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tabRatio="599"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 r:id="rId13"/>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workbook>
</file>

<file path=xl/calcChain.xml><?xml version="1.0" encoding="utf-8"?>
<calcChain xmlns="http://schemas.openxmlformats.org/spreadsheetml/2006/main">
  <c r="I49" i="4"/>
  <c r="F49"/>
  <c r="C84"/>
  <c r="C83"/>
  <c r="C82"/>
  <c r="C81"/>
  <c r="C80"/>
  <c r="C79"/>
  <c r="C85" s="1"/>
  <c r="BD40" i="2" l="1"/>
  <c r="BB29"/>
  <c r="Y18"/>
  <c r="C107" i="4"/>
  <c r="C90"/>
  <c r="C77"/>
  <c r="C40"/>
  <c r="C32"/>
  <c r="C11"/>
  <c r="BH38" i="2" l="1"/>
  <c r="O32" i="4"/>
  <c r="O40" s="1"/>
  <c r="O77" s="1"/>
  <c r="O11"/>
  <c r="G11" l="1"/>
  <c r="G32" s="1"/>
  <c r="G40" s="1"/>
  <c r="G77" s="1"/>
  <c r="G90" s="1"/>
  <c r="G107" s="1"/>
  <c r="BL116" i="2" l="1"/>
  <c r="BF116"/>
  <c r="BD116"/>
  <c r="BC116"/>
  <c r="BB116"/>
  <c r="BA116"/>
  <c r="AY116"/>
  <c r="AX116"/>
  <c r="AW116"/>
  <c r="AU116"/>
  <c r="AR116"/>
  <c r="AP116"/>
  <c r="AO116"/>
  <c r="AN116"/>
  <c r="AM116"/>
  <c r="AL116"/>
  <c r="AK116"/>
  <c r="AJ116"/>
  <c r="AG116"/>
  <c r="AF116"/>
  <c r="AE116"/>
  <c r="BH116" s="1"/>
  <c r="AC116"/>
  <c r="AB116"/>
  <c r="AA116"/>
  <c r="Z116"/>
  <c r="Y116"/>
  <c r="W116"/>
  <c r="U116"/>
  <c r="T116"/>
  <c r="S116"/>
  <c r="R116"/>
  <c r="P116"/>
  <c r="O116"/>
  <c r="N116"/>
  <c r="M116"/>
  <c r="L116"/>
  <c r="K116"/>
  <c r="J116"/>
  <c r="G116"/>
  <c r="F116"/>
  <c r="E116"/>
  <c r="D116"/>
  <c r="BL105"/>
  <c r="BH105"/>
  <c r="BL94"/>
  <c r="BJ94"/>
  <c r="AC94"/>
  <c r="BL83"/>
  <c r="BL72"/>
  <c r="BJ72"/>
  <c r="BL61"/>
  <c r="BJ61"/>
  <c r="BH61"/>
  <c r="AD61"/>
  <c r="BL50"/>
  <c r="BH50"/>
  <c r="BL39"/>
  <c r="BL28"/>
  <c r="AD28"/>
  <c r="BL17"/>
  <c r="BH17"/>
  <c r="AD17"/>
  <c r="BL6"/>
  <c r="BJ6"/>
  <c r="BH6"/>
  <c r="AD6"/>
  <c r="BH28" l="1"/>
  <c r="BI28" s="1"/>
  <c r="BK28" s="1"/>
  <c r="BM28" s="1"/>
  <c r="BH39"/>
  <c r="BH72"/>
  <c r="AD83"/>
  <c r="BH83"/>
  <c r="BH94"/>
  <c r="AD72"/>
  <c r="AD94"/>
  <c r="AD39"/>
  <c r="AD50"/>
  <c r="BI50" s="1"/>
  <c r="BK50" s="1"/>
  <c r="BM50" s="1"/>
  <c r="AD105"/>
  <c r="BI105" s="1"/>
  <c r="BK105" s="1"/>
  <c r="BM105" s="1"/>
  <c r="AD116"/>
  <c r="BI116" s="1"/>
  <c r="BK116" s="1"/>
  <c r="BM116" s="1"/>
  <c r="BI61"/>
  <c r="BK61" s="1"/>
  <c r="BM61" s="1"/>
  <c r="BI17"/>
  <c r="BK17" s="1"/>
  <c r="BM17" s="1"/>
  <c r="BI6"/>
  <c r="BK6" s="1"/>
  <c r="BM6" s="1"/>
  <c r="BI94" l="1"/>
  <c r="BK94" s="1"/>
  <c r="BM94" s="1"/>
  <c r="BI83"/>
  <c r="BK83" s="1"/>
  <c r="BM83" s="1"/>
  <c r="BI72"/>
  <c r="BK72" s="1"/>
  <c r="BM72" s="1"/>
  <c r="BI39"/>
  <c r="BK39" s="1"/>
  <c r="BM39" s="1"/>
  <c r="C50" i="4"/>
  <c r="M90"/>
  <c r="M107" s="1"/>
  <c r="N18" i="2" l="1"/>
  <c r="AS124"/>
  <c r="AV124"/>
  <c r="AS113"/>
  <c r="AV113"/>
  <c r="AS102"/>
  <c r="AV102"/>
  <c r="AS91"/>
  <c r="AV91"/>
  <c r="AS80"/>
  <c r="AV80"/>
  <c r="AS69"/>
  <c r="AV69"/>
  <c r="AS47"/>
  <c r="AV47"/>
  <c r="AS36"/>
  <c r="AV36"/>
  <c r="AS14"/>
  <c r="AV14"/>
  <c r="C95" i="4"/>
  <c r="C99"/>
  <c r="C102"/>
  <c r="C105"/>
  <c r="C7"/>
  <c r="D57" s="1"/>
  <c r="BG29" i="2"/>
  <c r="BJ62"/>
  <c r="BJ73"/>
  <c r="H112" i="4"/>
  <c r="BJ84" i="2"/>
  <c r="I112" i="4" l="1"/>
  <c r="F112"/>
  <c r="C112"/>
  <c r="M111"/>
  <c r="K111"/>
  <c r="L111" s="1"/>
  <c r="M110"/>
  <c r="K110"/>
  <c r="L110" s="1"/>
  <c r="M109"/>
  <c r="K109"/>
  <c r="L109" s="1"/>
  <c r="BG40" i="2"/>
  <c r="L40"/>
  <c r="C37" i="4"/>
  <c r="BH115" i="2"/>
  <c r="AD115"/>
  <c r="BH104"/>
  <c r="AD104"/>
  <c r="BH93"/>
  <c r="AD93"/>
  <c r="BH82"/>
  <c r="AD82"/>
  <c r="H127"/>
  <c r="BH71"/>
  <c r="AD71"/>
  <c r="BH60"/>
  <c r="AD60"/>
  <c r="BH49"/>
  <c r="AD49"/>
  <c r="AD38"/>
  <c r="BH27"/>
  <c r="AD27"/>
  <c r="BH16"/>
  <c r="AD16"/>
  <c r="BH5"/>
  <c r="AD5"/>
  <c r="BJ127" l="1"/>
  <c r="BI115"/>
  <c r="BK115" s="1"/>
  <c r="BM115" s="1"/>
  <c r="BI71"/>
  <c r="BK71" s="1"/>
  <c r="BH2" s="1"/>
  <c r="BI60"/>
  <c r="BI49"/>
  <c r="BK49" s="1"/>
  <c r="BI38"/>
  <c r="BI16"/>
  <c r="BI5"/>
  <c r="BI82"/>
  <c r="BK82" s="1"/>
  <c r="BM82" s="1"/>
  <c r="BI27"/>
  <c r="BI93"/>
  <c r="BK93" s="1"/>
  <c r="BM93" s="1"/>
  <c r="BI104"/>
  <c r="BK104" s="1"/>
  <c r="BM104" s="1"/>
  <c r="M112" i="4"/>
  <c r="K112"/>
  <c r="L112" s="1"/>
  <c r="H107"/>
  <c r="H77"/>
  <c r="H90" s="1"/>
  <c r="H40"/>
  <c r="H32"/>
  <c r="H11"/>
  <c r="H3"/>
  <c r="BM49" i="2" l="1"/>
  <c r="BM71"/>
  <c r="BK16"/>
  <c r="BM16" s="1"/>
  <c r="BK60"/>
  <c r="BK38"/>
  <c r="BJ37" s="1"/>
  <c r="BK27"/>
  <c r="BK5"/>
  <c r="J77" i="4"/>
  <c r="I77"/>
  <c r="F77"/>
  <c r="F90" s="1"/>
  <c r="F107"/>
  <c r="F105"/>
  <c r="E105"/>
  <c r="F102"/>
  <c r="E102"/>
  <c r="F99"/>
  <c r="E99"/>
  <c r="F95"/>
  <c r="E95"/>
  <c r="C74"/>
  <c r="C69"/>
  <c r="C64"/>
  <c r="C55"/>
  <c r="C28"/>
  <c r="D44"/>
  <c r="B83" i="11"/>
  <c r="B69"/>
  <c r="B64"/>
  <c r="B54"/>
  <c r="B28"/>
  <c r="C28" i="5"/>
  <c r="C7"/>
  <c r="B7" i="11"/>
  <c r="C102" i="5"/>
  <c r="C96"/>
  <c r="C92"/>
  <c r="C109"/>
  <c r="C115"/>
  <c r="I90" i="4" l="1"/>
  <c r="I107"/>
  <c r="BM60" i="2"/>
  <c r="BM38"/>
  <c r="BM27"/>
  <c r="BM5"/>
  <c r="D111" i="4"/>
  <c r="D110"/>
  <c r="D109"/>
  <c r="D87"/>
  <c r="D112"/>
  <c r="D94"/>
  <c r="D96"/>
  <c r="D98"/>
  <c r="D100"/>
  <c r="D102"/>
  <c r="D104"/>
  <c r="D92"/>
  <c r="D80"/>
  <c r="D82"/>
  <c r="D84"/>
  <c r="D74"/>
  <c r="D72"/>
  <c r="D69"/>
  <c r="D61"/>
  <c r="D63"/>
  <c r="D60"/>
  <c r="D55"/>
  <c r="D50"/>
  <c r="D45"/>
  <c r="D47"/>
  <c r="D49"/>
  <c r="D37"/>
  <c r="D36"/>
  <c r="D14"/>
  <c r="D16"/>
  <c r="D18"/>
  <c r="D20"/>
  <c r="D22"/>
  <c r="D24"/>
  <c r="D26"/>
  <c r="D13"/>
  <c r="D5"/>
  <c r="D93"/>
  <c r="D95"/>
  <c r="D97"/>
  <c r="D99"/>
  <c r="D101"/>
  <c r="D103"/>
  <c r="D105"/>
  <c r="D85"/>
  <c r="D81"/>
  <c r="D83"/>
  <c r="D79"/>
  <c r="D73"/>
  <c r="D68"/>
  <c r="D67"/>
  <c r="D62"/>
  <c r="D64"/>
  <c r="D54"/>
  <c r="D53"/>
  <c r="D43"/>
  <c r="D46"/>
  <c r="D48"/>
  <c r="D42"/>
  <c r="D35"/>
  <c r="D34"/>
  <c r="D15"/>
  <c r="D17"/>
  <c r="D19"/>
  <c r="D21"/>
  <c r="D23"/>
  <c r="D25"/>
  <c r="D27"/>
  <c r="D6"/>
  <c r="AB118" i="2"/>
  <c r="AB124" s="1"/>
  <c r="AB117"/>
  <c r="AB107"/>
  <c r="AB106"/>
  <c r="AB96"/>
  <c r="AB95"/>
  <c r="AB85"/>
  <c r="AB84"/>
  <c r="AB74"/>
  <c r="AB80" s="1"/>
  <c r="AB73"/>
  <c r="AB63"/>
  <c r="AB62"/>
  <c r="AB52"/>
  <c r="AB58" s="1"/>
  <c r="AB51"/>
  <c r="AB41"/>
  <c r="AB47" s="1"/>
  <c r="AB40"/>
  <c r="AB30"/>
  <c r="AB36" s="1"/>
  <c r="AB29"/>
  <c r="AB19"/>
  <c r="AB24" s="1"/>
  <c r="AB18"/>
  <c r="AB127"/>
  <c r="AB8"/>
  <c r="AB14" s="1"/>
  <c r="AB7"/>
  <c r="AB126"/>
  <c r="AB97"/>
  <c r="AB98" s="1"/>
  <c r="BG126"/>
  <c r="AB90" l="1"/>
  <c r="AB91"/>
  <c r="AB68"/>
  <c r="AB69"/>
  <c r="AB101"/>
  <c r="AB102"/>
  <c r="AB108"/>
  <c r="AB109" s="1"/>
  <c r="AB113"/>
  <c r="AB75"/>
  <c r="AB76" s="1"/>
  <c r="AB88"/>
  <c r="AB89" s="1"/>
  <c r="AB20"/>
  <c r="AB25" s="1"/>
  <c r="AB86"/>
  <c r="AB87" s="1"/>
  <c r="AB57"/>
  <c r="AB22"/>
  <c r="AB23"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V58"/>
  <c r="AS58"/>
  <c r="BL25"/>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72" i="8" l="1"/>
  <c r="BH7"/>
  <c r="BJ7" s="1"/>
  <c r="BH68"/>
  <c r="BJ68" s="1"/>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H73"/>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1"/>
  <c r="U41"/>
  <c r="U47" s="1"/>
  <c r="U40"/>
  <c r="U30"/>
  <c r="U36" s="1"/>
  <c r="U29"/>
  <c r="U19"/>
  <c r="U18"/>
  <c r="U8"/>
  <c r="U14" s="1"/>
  <c r="U7"/>
  <c r="U101" l="1"/>
  <c r="U123"/>
  <c r="U57"/>
  <c r="U58"/>
  <c r="U79"/>
  <c r="U13"/>
  <c r="U31"/>
  <c r="U32" s="1"/>
  <c r="U35"/>
  <c r="U42"/>
  <c r="U43" s="1"/>
  <c r="U46"/>
  <c r="U64"/>
  <c r="U65" s="1"/>
  <c r="U68"/>
  <c r="U86"/>
  <c r="U87" s="1"/>
  <c r="U90"/>
  <c r="U108"/>
  <c r="U109" s="1"/>
  <c r="U112"/>
  <c r="U20"/>
  <c r="U25" s="1"/>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1"/>
  <c r="AC41"/>
  <c r="AC47" s="1"/>
  <c r="AC40"/>
  <c r="H101" i="4" s="1"/>
  <c r="AC30" i="2"/>
  <c r="AC29"/>
  <c r="H100" i="4" s="1"/>
  <c r="AC19" i="2"/>
  <c r="AC18"/>
  <c r="AC8"/>
  <c r="AC14" s="1"/>
  <c r="AC7"/>
  <c r="I100" i="4" l="1"/>
  <c r="K100" s="1"/>
  <c r="L100" s="1"/>
  <c r="AC36" i="2"/>
  <c r="H102" i="4"/>
  <c r="I101"/>
  <c r="AC101" i="2"/>
  <c r="AC123"/>
  <c r="BK126"/>
  <c r="AC13"/>
  <c r="AC35"/>
  <c r="AC57"/>
  <c r="AC58"/>
  <c r="AC79"/>
  <c r="G27" i="5"/>
  <c r="F27" i="11"/>
  <c r="I27" i="4"/>
  <c r="H27" i="11"/>
  <c r="AC64" i="2"/>
  <c r="AC65" s="1"/>
  <c r="AC68"/>
  <c r="AC86"/>
  <c r="AC87" s="1"/>
  <c r="AC90"/>
  <c r="AC20"/>
  <c r="AC25" s="1"/>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V25" s="1"/>
  <c r="AS20"/>
  <c r="AS25" s="1"/>
  <c r="AS9"/>
  <c r="AS10" s="1"/>
  <c r="AV9"/>
  <c r="AV10" s="1"/>
  <c r="AS11"/>
  <c r="AS12" s="1"/>
  <c r="AV11"/>
  <c r="AV12" s="1"/>
  <c r="M100" i="4" l="1"/>
  <c r="I27" i="11"/>
  <c r="Q27" s="1"/>
  <c r="R27" s="1"/>
  <c r="K101" i="4"/>
  <c r="L101" s="1"/>
  <c r="M101"/>
  <c r="I102"/>
  <c r="C27" i="11"/>
  <c r="H27" i="4"/>
  <c r="AV21" i="2"/>
  <c r="AS21"/>
  <c r="AC21"/>
  <c r="AC130"/>
  <c r="AC131" s="1"/>
  <c r="AC134"/>
  <c r="D27" i="5"/>
  <c r="I27"/>
  <c r="M27" s="1"/>
  <c r="J27" i="4"/>
  <c r="AC132" i="2"/>
  <c r="AC133" s="1"/>
  <c r="I42" i="4"/>
  <c r="I50" s="1"/>
  <c r="F42"/>
  <c r="K27" i="11" l="1"/>
  <c r="L27" s="1"/>
  <c r="O27"/>
  <c r="M27"/>
  <c r="N27" s="1"/>
  <c r="K102" i="4"/>
  <c r="L102" s="1"/>
  <c r="M102"/>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J19"/>
  <c r="BG19"/>
  <c r="BF19"/>
  <c r="BE19"/>
  <c r="BD19"/>
  <c r="BC19"/>
  <c r="BB19"/>
  <c r="BA19"/>
  <c r="AZ19"/>
  <c r="AY19"/>
  <c r="AX19"/>
  <c r="AW19"/>
  <c r="AU19"/>
  <c r="AT19"/>
  <c r="AR19"/>
  <c r="AQ19"/>
  <c r="AP19"/>
  <c r="AO19"/>
  <c r="AN19"/>
  <c r="AM19"/>
  <c r="AL19"/>
  <c r="AK19"/>
  <c r="AJ19"/>
  <c r="AI19"/>
  <c r="AH19"/>
  <c r="AG19"/>
  <c r="AF19"/>
  <c r="AE19"/>
  <c r="AA19"/>
  <c r="Z19"/>
  <c r="Y19"/>
  <c r="X19"/>
  <c r="W19"/>
  <c r="V19"/>
  <c r="T19"/>
  <c r="S19"/>
  <c r="R19"/>
  <c r="Q19"/>
  <c r="P19"/>
  <c r="O19"/>
  <c r="N19"/>
  <c r="M19"/>
  <c r="L19"/>
  <c r="K19"/>
  <c r="J19"/>
  <c r="I19"/>
  <c r="H19"/>
  <c r="G19"/>
  <c r="F19"/>
  <c r="E19"/>
  <c r="D19"/>
  <c r="C19"/>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I92" i="4" s="1"/>
  <c r="T30" i="2"/>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H53" s="1"/>
  <c r="H54" s="1"/>
  <c r="G52"/>
  <c r="F52"/>
  <c r="E52"/>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L85"/>
  <c r="AL91" s="1"/>
  <c r="AK85"/>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J49" i="4"/>
  <c r="J44"/>
  <c r="K44" s="1"/>
  <c r="L44" s="1"/>
  <c r="AP91" i="2"/>
  <c r="I93" i="4"/>
  <c r="I95" s="1"/>
  <c r="V47" i="2"/>
  <c r="I103" i="4"/>
  <c r="M103" s="1"/>
  <c r="BB36" i="2"/>
  <c r="J43" i="4"/>
  <c r="O43" s="1"/>
  <c r="AK91" i="2"/>
  <c r="I104" i="4"/>
  <c r="M104" s="1"/>
  <c r="BB47" i="2"/>
  <c r="V36"/>
  <c r="M92" i="4"/>
  <c r="M94"/>
  <c r="I96"/>
  <c r="I97"/>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BH19"/>
  <c r="AD107"/>
  <c r="AD113" s="1"/>
  <c r="AD52"/>
  <c r="BH52"/>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Q25" s="1"/>
  <c r="AG20"/>
  <c r="AG25" s="1"/>
  <c r="AX20"/>
  <c r="AX25" s="1"/>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F25" s="1"/>
  <c r="J20"/>
  <c r="J25" s="1"/>
  <c r="N20"/>
  <c r="N25" s="1"/>
  <c r="R20"/>
  <c r="R25" s="1"/>
  <c r="W20"/>
  <c r="W25" s="1"/>
  <c r="AA20"/>
  <c r="AA25" s="1"/>
  <c r="AH20"/>
  <c r="AH25" s="1"/>
  <c r="AL20"/>
  <c r="AL25" s="1"/>
  <c r="AO20"/>
  <c r="AO25" s="1"/>
  <c r="AT20"/>
  <c r="AT25" s="1"/>
  <c r="AY20"/>
  <c r="AY25" s="1"/>
  <c r="BB20"/>
  <c r="BB25" s="1"/>
  <c r="BF20"/>
  <c r="BF25" s="1"/>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I25" s="1"/>
  <c r="Z20"/>
  <c r="Z25" s="1"/>
  <c r="AN20"/>
  <c r="AN25" s="1"/>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AK86"/>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C25" s="1"/>
  <c r="G20"/>
  <c r="G25" s="1"/>
  <c r="K20"/>
  <c r="K25" s="1"/>
  <c r="O20"/>
  <c r="O25" s="1"/>
  <c r="S20"/>
  <c r="S25" s="1"/>
  <c r="X20"/>
  <c r="X25" s="1"/>
  <c r="AE20"/>
  <c r="AE25" s="1"/>
  <c r="AI20"/>
  <c r="AI25" s="1"/>
  <c r="AP20"/>
  <c r="AP25" s="1"/>
  <c r="AU20"/>
  <c r="AU25" s="1"/>
  <c r="AZ20"/>
  <c r="AZ25" s="1"/>
  <c r="BC20"/>
  <c r="BC25" s="1"/>
  <c r="BG20"/>
  <c r="BG25" s="1"/>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E25" s="1"/>
  <c r="M20"/>
  <c r="M25" s="1"/>
  <c r="V20"/>
  <c r="V25" s="1"/>
  <c r="AK20"/>
  <c r="AK25" s="1"/>
  <c r="AR20"/>
  <c r="AR25" s="1"/>
  <c r="BE20"/>
  <c r="BE25" s="1"/>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D25" s="1"/>
  <c r="H20"/>
  <c r="H25" s="1"/>
  <c r="L20"/>
  <c r="L25" s="1"/>
  <c r="P20"/>
  <c r="P25" s="1"/>
  <c r="T20"/>
  <c r="T25" s="1"/>
  <c r="Y20"/>
  <c r="Y25" s="1"/>
  <c r="AF20"/>
  <c r="AF25" s="1"/>
  <c r="AJ20"/>
  <c r="AJ25" s="1"/>
  <c r="AM20"/>
  <c r="AM25" s="1"/>
  <c r="AQ20"/>
  <c r="AQ25" s="1"/>
  <c r="AW20"/>
  <c r="AW25" s="1"/>
  <c r="BA20"/>
  <c r="BA25" s="1"/>
  <c r="BD20"/>
  <c r="BD25" s="1"/>
  <c r="BJ20"/>
  <c r="BJ25" s="1"/>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M46" s="1"/>
  <c r="N46" s="1"/>
  <c r="AT84" i="2"/>
  <c r="AT88" s="1"/>
  <c r="AT89" s="1"/>
  <c r="AR84"/>
  <c r="H45" i="4"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33"/>
  <c r="BG34" s="1"/>
  <c r="BF33"/>
  <c r="BF34" s="1"/>
  <c r="BE33"/>
  <c r="BE34" s="1"/>
  <c r="BD33"/>
  <c r="BD34" s="1"/>
  <c r="BC33"/>
  <c r="BC34" s="1"/>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22"/>
  <c r="Y23" s="1"/>
  <c r="X18"/>
  <c r="X22" s="1"/>
  <c r="X23" s="1"/>
  <c r="W18"/>
  <c r="W22" s="1"/>
  <c r="W23" s="1"/>
  <c r="V18"/>
  <c r="V22" s="1"/>
  <c r="V23" s="1"/>
  <c r="T18"/>
  <c r="T22" s="1"/>
  <c r="T23" s="1"/>
  <c r="S18"/>
  <c r="S22" s="1"/>
  <c r="S23" s="1"/>
  <c r="R18"/>
  <c r="R22" s="1"/>
  <c r="R23" s="1"/>
  <c r="Q18"/>
  <c r="Q22" s="1"/>
  <c r="Q23" s="1"/>
  <c r="P18"/>
  <c r="P22" s="1"/>
  <c r="P23" s="1"/>
  <c r="O18"/>
  <c r="O22" s="1"/>
  <c r="O23" s="1"/>
  <c r="N22"/>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M45" i="4" l="1"/>
  <c r="N45" s="1"/>
  <c r="O44"/>
  <c r="I105"/>
  <c r="M105" s="1"/>
  <c r="M93"/>
  <c r="AP88" i="2"/>
  <c r="AP89" s="1"/>
  <c r="H44" i="4"/>
  <c r="M44" s="1"/>
  <c r="N44" s="1"/>
  <c r="I82" i="11"/>
  <c r="Q82" s="1"/>
  <c r="M63" i="4"/>
  <c r="N63" s="1"/>
  <c r="M61"/>
  <c r="N61" s="1"/>
  <c r="M62"/>
  <c r="N62" s="1"/>
  <c r="M67"/>
  <c r="N67" s="1"/>
  <c r="M49"/>
  <c r="N49" s="1"/>
  <c r="V33" i="2"/>
  <c r="V34" s="1"/>
  <c r="H92" i="4"/>
  <c r="BB44" i="2"/>
  <c r="BB45" s="1"/>
  <c r="H104" i="4"/>
  <c r="K104" s="1"/>
  <c r="L104" s="1"/>
  <c r="V55" i="2"/>
  <c r="V56" s="1"/>
  <c r="H94" i="4"/>
  <c r="K94" s="1"/>
  <c r="L94" s="1"/>
  <c r="AQ55" i="2"/>
  <c r="AQ56" s="1"/>
  <c r="H98" i="4"/>
  <c r="K98" s="1"/>
  <c r="L98" s="1"/>
  <c r="BB33" i="2"/>
  <c r="BB34" s="1"/>
  <c r="H103" i="4"/>
  <c r="V44" i="2"/>
  <c r="V45" s="1"/>
  <c r="H93" i="4"/>
  <c r="K93" s="1"/>
  <c r="L93" s="1"/>
  <c r="K96"/>
  <c r="L96" s="1"/>
  <c r="I99"/>
  <c r="M95"/>
  <c r="K97"/>
  <c r="L97" s="1"/>
  <c r="M97"/>
  <c r="H73"/>
  <c r="M73" s="1"/>
  <c r="N73" s="1"/>
  <c r="H72"/>
  <c r="M72" s="1"/>
  <c r="N72"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BH58"/>
  <c r="AD68"/>
  <c r="BH35"/>
  <c r="AD90"/>
  <c r="BJ21"/>
  <c r="BA21"/>
  <c r="AQ21"/>
  <c r="AJ21"/>
  <c r="Y21"/>
  <c r="P21"/>
  <c r="H21"/>
  <c r="AR21"/>
  <c r="V21"/>
  <c r="E21"/>
  <c r="BG21"/>
  <c r="AZ21"/>
  <c r="AP21"/>
  <c r="AE21"/>
  <c r="S21"/>
  <c r="K21"/>
  <c r="C21"/>
  <c r="Z21"/>
  <c r="BB21"/>
  <c r="AT21"/>
  <c r="AL21"/>
  <c r="AA21"/>
  <c r="R21"/>
  <c r="J21"/>
  <c r="AX21"/>
  <c r="Q21"/>
  <c r="BH46"/>
  <c r="AD13"/>
  <c r="AD57"/>
  <c r="AD58"/>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25" s="1"/>
  <c r="BH119"/>
  <c r="BH120" s="1"/>
  <c r="BI30"/>
  <c r="BI36" s="1"/>
  <c r="AD31"/>
  <c r="AD32" s="1"/>
  <c r="AD40"/>
  <c r="BH40"/>
  <c r="BH44" s="1"/>
  <c r="BH45" s="1"/>
  <c r="AD84"/>
  <c r="AE88"/>
  <c r="AE89" s="1"/>
  <c r="BH84"/>
  <c r="BH88" s="1"/>
  <c r="BH89" s="1"/>
  <c r="D48" i="5"/>
  <c r="K48" s="1"/>
  <c r="L48" s="1"/>
  <c r="BI41" i="2"/>
  <c r="BI47" s="1"/>
  <c r="AD42"/>
  <c r="AD43" s="1"/>
  <c r="BI107"/>
  <c r="BI113" s="1"/>
  <c r="AD108"/>
  <c r="AD109" s="1"/>
  <c r="BI19"/>
  <c r="AD20"/>
  <c r="AD25" s="1"/>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BH134" i="2"/>
  <c r="H74" i="4"/>
  <c r="M74" s="1"/>
  <c r="N74" s="1"/>
  <c r="H105"/>
  <c r="K105" s="1"/>
  <c r="L105" s="1"/>
  <c r="K103"/>
  <c r="L103" s="1"/>
  <c r="H99"/>
  <c r="K99" s="1"/>
  <c r="L99" s="1"/>
  <c r="H95"/>
  <c r="K95" s="1"/>
  <c r="L95" s="1"/>
  <c r="K92"/>
  <c r="L92" s="1"/>
  <c r="M99"/>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58"/>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I20"/>
  <c r="BI25" s="1"/>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C128" s="1"/>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K112"/>
  <c r="BM107"/>
  <c r="BK79"/>
  <c r="BM74"/>
  <c r="C49" i="11"/>
  <c r="M42"/>
  <c r="N42" s="1"/>
  <c r="BK64" i="2"/>
  <c r="BK68"/>
  <c r="BK86"/>
  <c r="BK90"/>
  <c r="BK123"/>
  <c r="BI33"/>
  <c r="BI34" s="1"/>
  <c r="BI22"/>
  <c r="BI23" s="1"/>
  <c r="BI110"/>
  <c r="BI111" s="1"/>
  <c r="BI55"/>
  <c r="BI56" s="1"/>
  <c r="BI99"/>
  <c r="BI100" s="1"/>
  <c r="BI66"/>
  <c r="BI67" s="1"/>
  <c r="BK73"/>
  <c r="BI77"/>
  <c r="BI78" s="1"/>
  <c r="BK22"/>
  <c r="BK20"/>
  <c r="BK25" s="1"/>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8" i="11"/>
  <c r="G127" i="2"/>
  <c r="F127"/>
  <c r="E127"/>
  <c r="I15" i="4" s="1"/>
  <c r="D127" i="2"/>
  <c r="H14" i="11" s="1"/>
  <c r="C127" i="2"/>
  <c r="BJ126"/>
  <c r="BF126"/>
  <c r="F81" i="11" s="1"/>
  <c r="BE126" i="2"/>
  <c r="BD126"/>
  <c r="F80" i="11" s="1"/>
  <c r="BC126" i="2"/>
  <c r="F79" i="11" s="1"/>
  <c r="BB126" i="2"/>
  <c r="BA126"/>
  <c r="AZ126"/>
  <c r="AY126"/>
  <c r="AX126"/>
  <c r="AW126"/>
  <c r="AV126"/>
  <c r="AV135" s="1"/>
  <c r="AU126"/>
  <c r="AT126"/>
  <c r="AS126"/>
  <c r="AS135" s="1"/>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C135" l="1"/>
  <c r="AG135"/>
  <c r="AI135"/>
  <c r="AW135"/>
  <c r="BA135"/>
  <c r="BE135"/>
  <c r="AH135"/>
  <c r="AT135"/>
  <c r="AZ135"/>
  <c r="V135"/>
  <c r="X135"/>
  <c r="S135"/>
  <c r="AU135"/>
  <c r="AR135"/>
  <c r="I135"/>
  <c r="H135"/>
  <c r="M135"/>
  <c r="E135"/>
  <c r="Q135"/>
  <c r="AM135"/>
  <c r="J135"/>
  <c r="AQ135"/>
  <c r="BB135"/>
  <c r="AP135"/>
  <c r="K135"/>
  <c r="BJ135"/>
  <c r="AN135"/>
  <c r="AJ135"/>
  <c r="BF135"/>
  <c r="BD135"/>
  <c r="BC135"/>
  <c r="AY135"/>
  <c r="AX135"/>
  <c r="AF135"/>
  <c r="AE135"/>
  <c r="AA135"/>
  <c r="Z135"/>
  <c r="Y135"/>
  <c r="W135"/>
  <c r="R135"/>
  <c r="P135"/>
  <c r="O135"/>
  <c r="N135"/>
  <c r="L135"/>
  <c r="G135"/>
  <c r="F135"/>
  <c r="D135"/>
  <c r="T135"/>
  <c r="F56" i="11"/>
  <c r="AO135" i="2"/>
  <c r="F53" i="11"/>
  <c r="AL135" i="2"/>
  <c r="F52" i="11"/>
  <c r="AK135" i="2"/>
  <c r="I14" i="11"/>
  <c r="Q14" s="1"/>
  <c r="I16"/>
  <c r="Q16" s="1"/>
  <c r="I18"/>
  <c r="Q18" s="1"/>
  <c r="I19"/>
  <c r="Q19" s="1"/>
  <c r="I21"/>
  <c r="Q21" s="1"/>
  <c r="I23"/>
  <c r="Q23" s="1"/>
  <c r="I25"/>
  <c r="Q25" s="1"/>
  <c r="I36"/>
  <c r="Q36" s="1"/>
  <c r="I53"/>
  <c r="Q53" s="1"/>
  <c r="I68"/>
  <c r="Q68" s="1"/>
  <c r="R68" s="1"/>
  <c r="R69" s="1"/>
  <c r="I78"/>
  <c r="Q78" s="1"/>
  <c r="I80"/>
  <c r="Q80" s="1"/>
  <c r="R80" s="1"/>
  <c r="I81"/>
  <c r="Q81" s="1"/>
  <c r="R81" s="1"/>
  <c r="I13"/>
  <c r="Q13" s="1"/>
  <c r="I15"/>
  <c r="O15" s="1"/>
  <c r="I17"/>
  <c r="Q17" s="1"/>
  <c r="R17" s="1"/>
  <c r="I20"/>
  <c r="Q20" s="1"/>
  <c r="R20" s="1"/>
  <c r="I22"/>
  <c r="Q22" s="1"/>
  <c r="R22" s="1"/>
  <c r="I24"/>
  <c r="K24" s="1"/>
  <c r="L24" s="1"/>
  <c r="I26"/>
  <c r="Q26" s="1"/>
  <c r="R26" s="1"/>
  <c r="I35"/>
  <c r="Q35" s="1"/>
  <c r="R35" s="1"/>
  <c r="I52"/>
  <c r="Q52" s="1"/>
  <c r="I56"/>
  <c r="Q56" s="1"/>
  <c r="I77"/>
  <c r="Q77" s="1"/>
  <c r="I79"/>
  <c r="Q79" s="1"/>
  <c r="R79" s="1"/>
  <c r="F77"/>
  <c r="F78"/>
  <c r="O78" s="1"/>
  <c r="K19"/>
  <c r="L19" s="1"/>
  <c r="BM21" i="2"/>
  <c r="BM25"/>
  <c r="K21" i="11"/>
  <c r="L21" s="1"/>
  <c r="K23"/>
  <c r="L23" s="1"/>
  <c r="K14"/>
  <c r="L14" s="1"/>
  <c r="H34"/>
  <c r="R14"/>
  <c r="R16"/>
  <c r="R18"/>
  <c r="R19"/>
  <c r="R21"/>
  <c r="R23"/>
  <c r="R25"/>
  <c r="R36"/>
  <c r="BK10" i="2"/>
  <c r="BM9"/>
  <c r="BM10" s="1"/>
  <c r="I34" i="11"/>
  <c r="Q34" s="1"/>
  <c r="BK89" i="2"/>
  <c r="BM88"/>
  <c r="BM89" s="1"/>
  <c r="BK122"/>
  <c r="BM121"/>
  <c r="BM122" s="1"/>
  <c r="BK78"/>
  <c r="BM77"/>
  <c r="BM78" s="1"/>
  <c r="G13" i="5"/>
  <c r="F13" i="11"/>
  <c r="R13" s="1"/>
  <c r="BG134" i="2"/>
  <c r="F82" i="11"/>
  <c r="H13"/>
  <c r="AD127" i="2"/>
  <c r="I5" i="4" s="1"/>
  <c r="H15" i="11"/>
  <c r="I17" i="4"/>
  <c r="H17" i="11"/>
  <c r="K17" s="1"/>
  <c r="L17" s="1"/>
  <c r="I22" i="4"/>
  <c r="H22" i="11"/>
  <c r="K22" s="1"/>
  <c r="L22" s="1"/>
  <c r="I35" i="4"/>
  <c r="H35" i="11"/>
  <c r="I53" i="4"/>
  <c r="H52" i="11"/>
  <c r="I57" i="4"/>
  <c r="H56" i="11"/>
  <c r="I79" i="4"/>
  <c r="H77" i="11"/>
  <c r="I81" i="4"/>
  <c r="H79" i="11"/>
  <c r="O16"/>
  <c r="O19"/>
  <c r="O23"/>
  <c r="O36"/>
  <c r="O68"/>
  <c r="I69"/>
  <c r="O80"/>
  <c r="F34"/>
  <c r="F69"/>
  <c r="I16" i="4"/>
  <c r="H16" i="11"/>
  <c r="K16" s="1"/>
  <c r="L16" s="1"/>
  <c r="I36" i="4"/>
  <c r="H36" i="11"/>
  <c r="K36" s="1"/>
  <c r="L36" s="1"/>
  <c r="I54" i="4"/>
  <c r="H53" i="11"/>
  <c r="I68" i="4"/>
  <c r="I69" s="1"/>
  <c r="H68" i="11"/>
  <c r="I80" i="4"/>
  <c r="H78" i="11"/>
  <c r="I82" i="4"/>
  <c r="H80" i="11"/>
  <c r="K80" s="1"/>
  <c r="L80" s="1"/>
  <c r="I83" i="4"/>
  <c r="H81" i="11"/>
  <c r="O17"/>
  <c r="O22"/>
  <c r="O26"/>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J68"/>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R77" i="11" l="1"/>
  <c r="M16" i="4"/>
  <c r="N16" s="1"/>
  <c r="M81"/>
  <c r="N81" s="1"/>
  <c r="I54" i="11"/>
  <c r="I28"/>
  <c r="H34" i="4"/>
  <c r="H37" s="1"/>
  <c r="O25" i="11"/>
  <c r="O21"/>
  <c r="O18"/>
  <c r="O14"/>
  <c r="K25"/>
  <c r="L25" s="1"/>
  <c r="O79"/>
  <c r="O35"/>
  <c r="O24"/>
  <c r="O20"/>
  <c r="K81"/>
  <c r="L81" s="1"/>
  <c r="K78"/>
  <c r="L78" s="1"/>
  <c r="K53"/>
  <c r="L53" s="1"/>
  <c r="O81"/>
  <c r="K15"/>
  <c r="L15" s="1"/>
  <c r="K18"/>
  <c r="L18" s="1"/>
  <c r="O21" i="4"/>
  <c r="AD135" i="2"/>
  <c r="O52" i="11"/>
  <c r="O53"/>
  <c r="O56"/>
  <c r="R56"/>
  <c r="R53"/>
  <c r="F54"/>
  <c r="R52"/>
  <c r="R78"/>
  <c r="Q28"/>
  <c r="Q54"/>
  <c r="Q83"/>
  <c r="I83"/>
  <c r="K20"/>
  <c r="L20" s="1"/>
  <c r="Q69"/>
  <c r="K79"/>
  <c r="L79" s="1"/>
  <c r="K56"/>
  <c r="L56" s="1"/>
  <c r="K35"/>
  <c r="L35" s="1"/>
  <c r="K26"/>
  <c r="L26" s="1"/>
  <c r="M15" i="4"/>
  <c r="N15" s="1"/>
  <c r="M22"/>
  <c r="N22" s="1"/>
  <c r="O20"/>
  <c r="M82"/>
  <c r="N82" s="1"/>
  <c r="M83"/>
  <c r="N83" s="1"/>
  <c r="M35"/>
  <c r="N35" s="1"/>
  <c r="M80"/>
  <c r="N80" s="1"/>
  <c r="M17"/>
  <c r="N17" s="1"/>
  <c r="M36"/>
  <c r="N36" s="1"/>
  <c r="O14"/>
  <c r="O23"/>
  <c r="O24"/>
  <c r="O77" i="11"/>
  <c r="C14"/>
  <c r="M14" s="1"/>
  <c r="N14" s="1"/>
  <c r="H14" i="4"/>
  <c r="M14" s="1"/>
  <c r="N14" s="1"/>
  <c r="C53" i="11"/>
  <c r="M53" s="1"/>
  <c r="N53" s="1"/>
  <c r="H54" i="4"/>
  <c r="M54" s="1"/>
  <c r="N54" s="1"/>
  <c r="C25" i="11"/>
  <c r="M25" s="1"/>
  <c r="N25" s="1"/>
  <c r="H25" i="4"/>
  <c r="M25" s="1"/>
  <c r="N25" s="1"/>
  <c r="C21" i="11"/>
  <c r="M21" s="1"/>
  <c r="N21" s="1"/>
  <c r="H21" i="4"/>
  <c r="M21" s="1"/>
  <c r="N21" s="1"/>
  <c r="H69"/>
  <c r="M68"/>
  <c r="N68" s="1"/>
  <c r="C18" i="11"/>
  <c r="M18" s="1"/>
  <c r="N18" s="1"/>
  <c r="H18" i="4"/>
  <c r="M18" s="1"/>
  <c r="N18" s="1"/>
  <c r="C52" i="11"/>
  <c r="C54" s="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36"/>
  <c r="K80"/>
  <c r="K17"/>
  <c r="K57"/>
  <c r="O13" i="11"/>
  <c r="R28"/>
  <c r="K34"/>
  <c r="L34" s="1"/>
  <c r="I55" i="4"/>
  <c r="K54"/>
  <c r="F83" i="11"/>
  <c r="R82"/>
  <c r="I85" i="4"/>
  <c r="Q37" i="1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D26" i="5"/>
  <c r="K26" s="1"/>
  <c r="L26" s="1"/>
  <c r="C26" i="11"/>
  <c r="D80" i="5"/>
  <c r="K80" s="1"/>
  <c r="L80" s="1"/>
  <c r="C80" i="11"/>
  <c r="D36" i="5"/>
  <c r="K36" s="1"/>
  <c r="L36" s="1"/>
  <c r="C36" i="11"/>
  <c r="D81" i="5"/>
  <c r="K81" s="1"/>
  <c r="L81" s="1"/>
  <c r="C81" i="11"/>
  <c r="BI126" i="2"/>
  <c r="F5" i="11"/>
  <c r="F37"/>
  <c r="H28"/>
  <c r="K13"/>
  <c r="L13" s="1"/>
  <c r="D16" i="5"/>
  <c r="K16" s="1"/>
  <c r="L16" s="1"/>
  <c r="C16" i="11"/>
  <c r="D77" i="5"/>
  <c r="C77" i="11"/>
  <c r="D79" i="5"/>
  <c r="K79" s="1"/>
  <c r="L79" s="1"/>
  <c r="C79" i="11"/>
  <c r="D22" i="5"/>
  <c r="K22" s="1"/>
  <c r="L22" s="1"/>
  <c r="C22" i="11"/>
  <c r="D35" i="5"/>
  <c r="K35" s="1"/>
  <c r="L35" s="1"/>
  <c r="C35" i="11"/>
  <c r="H69"/>
  <c r="K69" s="1"/>
  <c r="L69" s="1"/>
  <c r="K68"/>
  <c r="L68" s="1"/>
  <c r="K77"/>
  <c r="L77" s="1"/>
  <c r="H83"/>
  <c r="H54"/>
  <c r="K52"/>
  <c r="L52" s="1"/>
  <c r="H5"/>
  <c r="BI127" i="2"/>
  <c r="O82" i="1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M52" i="11" l="1"/>
  <c r="N52" s="1"/>
  <c r="K83"/>
  <c r="L83" s="1"/>
  <c r="K28"/>
  <c r="L28" s="1"/>
  <c r="O54"/>
  <c r="M34" i="4"/>
  <c r="N34" s="1"/>
  <c r="K54" i="11"/>
  <c r="L54" s="1"/>
  <c r="M54"/>
  <c r="N54" s="1"/>
  <c r="I85"/>
  <c r="Q85"/>
  <c r="R83"/>
  <c r="Q5"/>
  <c r="BI135" i="2"/>
  <c r="R54" i="11"/>
  <c r="D69" i="5"/>
  <c r="K69" s="1"/>
  <c r="L69" s="1"/>
  <c r="G111" i="4"/>
  <c r="G110"/>
  <c r="G109"/>
  <c r="G112"/>
  <c r="M5"/>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BI134" i="2"/>
  <c r="G83" i="11"/>
  <c r="K5"/>
  <c r="L5" s="1"/>
  <c r="G37"/>
  <c r="F85"/>
  <c r="G85" s="1"/>
  <c r="H95" i="5"/>
  <c r="H91"/>
  <c r="K37" i="11"/>
  <c r="L37" s="1"/>
  <c r="H85"/>
  <c r="K85" s="1"/>
  <c r="L85" s="1"/>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H87" i="4" l="1"/>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97" s="1"/>
  <c r="J110" l="1"/>
  <c r="J109"/>
  <c r="J111"/>
  <c r="J112"/>
  <c r="I6"/>
  <c r="K6" s="1"/>
  <c r="L6" s="1"/>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<sst xmlns="http://schemas.openxmlformats.org/spreadsheetml/2006/main" count="1463" uniqueCount="329">
  <si>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</si>
  <si>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</si>
  <si>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</si>
  <si>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</si>
  <si>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</si>
  <si>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</si>
  <si>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</si>
  <si>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</si>
  <si>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</si>
  <si>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</si>
  <si>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</si>
  <si>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</si>
  <si>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</si>
  <si>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</si>
  <si>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</si>
  <si>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</si>
  <si>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</si>
  <si>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</si>
  <si>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</si>
  <si>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</si>
  <si>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</si>
  <si>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</si>
  <si>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</si>
  <si>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</si>
  <si>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</si>
  <si>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</si>
  <si>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</si>
  <si>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</si>
  <si>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</si>
  <si>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</si>
  <si>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</si>
  <si>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</si>
  <si>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</si>
  <si>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</si>
  <si>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</si>
  <si>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</si>
  <si>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</si>
  <si>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</si>
  <si>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</si>
  <si>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</si>
  <si>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</si>
  <si>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</si>
  <si>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- 36</t>
  </si>
  <si>
    <t>PU - 41</t>
  </si>
  <si>
    <t>PU - 42</t>
  </si>
  <si>
    <t>PU - 43</t>
  </si>
  <si>
    <t>PU - 44</t>
  </si>
  <si>
    <t>PU - 50</t>
  </si>
  <si>
    <t>PU - 51</t>
  </si>
  <si>
    <t>PU - 52</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</si>
  <si>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</si>
  <si>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</si>
  <si>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</si>
  <si>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</si>
  <si>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</si>
  <si>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</si>
  <si>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</si>
  <si>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</si>
  <si>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</si>
  <si>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</si>
  <si>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</si>
  <si>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</si>
  <si>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</si>
  <si>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</si>
  <si>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</si>
  <si>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</si>
  <si>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</si>
  <si>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</si>
  <si>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</si>
  <si>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</si>
  <si>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</si>
  <si>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</si>
  <si>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</si>
  <si>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</si>
  <si>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</si>
  <si>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</si>
  <si>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</si>
  <si>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</si>
  <si>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</si>
  <si>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</si>
  <si>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</si>
  <si>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</si>
  <si>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</si>
  <si>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</si>
  <si>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</si>
  <si>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</si>
  <si>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</si>
  <si>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</si>
  <si>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</si>
  <si>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</si>
  <si>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</si>
  <si>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</si>
  <si>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</si>
  <si>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</si>
  <si>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</si>
  <si>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</si>
  <si>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</si>
  <si>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</si>
  <si>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</si>
  <si>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</si>
  <si>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</si>
  <si>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</si>
  <si>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</si>
  <si>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</si>
  <si>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</si>
  <si>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</si>
  <si>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</si>
  <si>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</si>
  <si>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</si>
  <si>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</si>
  <si>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</si>
  <si>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</si>
  <si>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</si>
  <si>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</si>
  <si>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</si>
  <si>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</si>
  <si>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</si>
  <si>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</si>
  <si>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</si>
  <si>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</si>
  <si>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</si>
  <si>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</si>
  <si>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</si>
  <si>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</si>
  <si>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</si>
  <si>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</si>
  <si>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</si>
  <si>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</si>
  <si>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</si>
  <si>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</si>
  <si>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</si>
  <si>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</si>
  <si>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</si>
  <si>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</si>
  <si>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</si>
  <si>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</si>
  <si>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</si>
  <si>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</si>
  <si>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</si>
  <si>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</si>
  <si>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</si>
  <si>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</si>
  <si>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</si>
  <si>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</si>
  <si>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</si>
  <si>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</si>
  <si>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</si>
  <si>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</si>
  <si>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</si>
  <si>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</si>
  <si>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</si>
  <si>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</si>
  <si>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</si>
  <si>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</si>
  <si>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</si>
  <si>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</si>
  <si>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</si>
  <si>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</si>
  <si>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</si>
  <si>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</si>
  <si>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</si>
  <si>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</si>
  <si>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</si>
  <si>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</si>
  <si>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</si>
  <si>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</si>
  <si>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</si>
  <si>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</si>
  <si>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</si>
  <si>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</si>
  <si>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</si>
  <si>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</si>
  <si>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</si>
  <si>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</si>
  <si>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</si>
  <si>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</si>
  <si>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</si>
  <si>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</si>
  <si>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</si>
  <si>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</si>
  <si>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</si>
  <si>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</si>
  <si>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</si>
  <si>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</si>
  <si>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</si>
  <si>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</si>
  <si>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</si>
  <si>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</si>
  <si>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</si>
  <si>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</si>
  <si>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</si>
  <si>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</si>
  <si>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</si>
  <si>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</si>
  <si>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</si>
  <si>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</si>
  <si>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</si>
  <si>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</si>
  <si>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</si>
  <si>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</si>
  <si>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</si>
  <si>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</si>
  <si>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</si>
  <si>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</si>
  <si>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</si>
  <si>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</si>
  <si>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</si>
  <si>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</si>
  <si>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</si>
  <si>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</si>
  <si>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</si>
  <si>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</si>
  <si>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</si>
  <si>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</si>
  <si>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</si>
  <si>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</si>
  <si>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</si>
  <si>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</si>
  <si>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</si>
  <si>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</si>
  <si>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</si>
  <si>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</si>
  <si>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</si>
  <si>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</si>
  <si>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</si>
  <si>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</si>
  <si>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</si>
  <si>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</si>
  <si>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</si>
  <si>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</si>
  <si>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</si>
  <si>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</si>
  <si>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</si>
  <si>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</si>
  <si>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</si>
  <si>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</si>
  <si>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</si>
  <si>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</si>
  <si>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</si>
  <si>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</si>
  <si>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</si>
  <si>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</si>
  <si>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</si>
  <si>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</si>
  <si>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</si>
  <si>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</si>
  <si>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</si>
  <si>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</si>
  <si>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</si>
  <si>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</si>
  <si>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</si>
  <si>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</si>
  <si>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</si>
  <si>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</si>
  <si>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</si>
  <si>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</si>
  <si>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</si>
  <si>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</si>
  <si>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</si>
  <si>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</si>
  <si>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</si>
  <si>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</si>
  <si>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</si>
  <si>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</si>
  <si>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</si>
  <si>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</si>
  <si>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</si>
  <si>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</si>
  <si>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</si>
  <si>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</si>
  <si>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</si>
  <si>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</si>
  <si>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</si>
  <si>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</si>
  <si>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</si>
  <si>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</si>
  <si>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</si>
  <si>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</si>
  <si>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</si>
  <si>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</si>
  <si>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</si>
  <si>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</si>
  <si>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</si>
  <si>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</si>
  <si>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</si>
  <si>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</si>
  <si>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</si>
  <si>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</si>
  <si>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</si>
  <si>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</si>
  <si>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</si>
  <si>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</si>
  <si>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</si>
  <si>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</si>
  <si>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</si>
  <si>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</si>
  <si>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</si>
  <si>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</si>
  <si>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</si>
  <si>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</si>
  <si>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</si>
  <si>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</si>
  <si>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</si>
  <si>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</si>
  <si>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PU - 34</t>
  </si>
  <si>
    <t>PU - 35</t>
  </si>
  <si>
    <t>Adjustments (PU-33)</t>
  </si>
  <si>
    <t>Diesel-Home Rly Loco (PU-27)</t>
  </si>
  <si>
    <t>STAFF COST (Main PriAply Units)</t>
  </si>
  <si>
    <t>OTHER THAN STAFF COST (Main PriAply Units)</t>
  </si>
  <si>
    <t>% BG(SL) Utilization</t>
  </si>
  <si>
    <t>LEASE CHAFGES &amp; DEBITS</t>
  </si>
  <si>
    <t>Actuals 2023-24</t>
  </si>
  <si>
    <t>% of Total OWE 2023-24</t>
  </si>
  <si>
    <t>VOA Utilization</t>
  </si>
  <si>
    <t>% of Total VOA 2024-25</t>
  </si>
  <si>
    <t xml:space="preserve">VOA 2024-25 </t>
  </si>
  <si>
    <t>BP to end of April-24</t>
  </si>
  <si>
    <t>Actuals upto April-23</t>
  </si>
  <si>
    <t>Actuals upto April-24</t>
  </si>
  <si>
    <t>ORDINARY WORKING EXPENSES PU WISE PRYJ DIVISION April-24</t>
  </si>
  <si>
    <t>PU Wise expenditure to end of April-24 on VOA PRYJ. DIVISION</t>
  </si>
  <si>
    <t>VOA-AC</t>
  </si>
  <si>
    <t>% VOA Utilization</t>
  </si>
  <si>
    <t>FINANCE REGISTER - GRANT WISE AND PU WISE SUMMARY FROM MONTH :APRIL    23 TO APRIL    23</t>
  </si>
  <si>
    <t>Report generated on : 06.05.2024 at 11:08:54 AM</t>
  </si>
  <si>
    <t>FINANCE REGISTER - GRANT WISE AND PU WISE SUMMARY FROM MONTH :APRIL    24 TO APRIL    24</t>
  </si>
  <si>
    <t>Report generated on : 06.05.2024 at 12:05:02 PM</t>
  </si>
  <si>
    <t>PU - 53</t>
  </si>
</sst>
</file>

<file path=xl/styles.xml><?xml version="1.0" encoding="utf-8"?>
<styleSheet xmlns="http://schemas.openxmlformats.org/spreadsheetml/2006/main">
  <numFmts count="1">
    <numFmt numFmtId="164" formatCode="0.0%"/>
  </numFmts>
  <fonts count="26">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i/>
      <sz val="10"/>
      <name val="Arial"/>
    </font>
    <font>
      <sz val="12"/>
      <color theme="9"/>
      <name val="Arial"/>
      <family val="2"/>
    </font>
    <font>
      <b/>
      <sz val="12"/>
      <color theme="9"/>
      <name val="Arial"/>
      <family val="2"/>
    </font>
  </fonts>
  <fills count="9">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7">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8" fillId="0" borderId="0" xfId="0" applyNumberFormat="1" applyFont="1"/>
    <xf numFmtId="1" fontId="3" fillId="0" borderId="3" xfId="0" applyNumberFormat="1" applyFont="1" applyBorder="1" applyAlignment="1">
      <alignment horizontal="right"/>
    </xf>
    <xf numFmtId="1" fontId="3" fillId="0" borderId="3" xfId="0" applyNumberFormat="1" applyFont="1" applyFill="1" applyBorder="1" applyAlignment="1">
      <alignment horizontal="right"/>
    </xf>
    <xf numFmtId="0" fontId="8" fillId="0" borderId="0" xfId="0" applyFont="1" applyAlignment="1">
      <alignment wrapText="1"/>
    </xf>
    <xf numFmtId="0" fontId="8" fillId="0" borderId="0" xfId="0" applyFont="1" applyBorder="1"/>
    <xf numFmtId="0" fontId="8" fillId="0" borderId="0" xfId="0" applyFont="1" applyBorder="1" applyAlignment="1">
      <alignment wrapText="1"/>
    </xf>
    <xf numFmtId="0" fontId="10" fillId="0" borderId="3" xfId="0" applyFont="1" applyBorder="1"/>
    <xf numFmtId="0" fontId="22" fillId="0" borderId="3" xfId="0" applyFont="1" applyBorder="1"/>
    <xf numFmtId="1" fontId="4" fillId="0" borderId="3" xfId="0" applyNumberFormat="1" applyFont="1" applyFill="1" applyBorder="1"/>
    <xf numFmtId="1" fontId="4" fillId="0" borderId="3" xfId="0" applyNumberFormat="1" applyFont="1" applyBorder="1" applyAlignment="1">
      <alignment horizontal="right"/>
    </xf>
    <xf numFmtId="1" fontId="7" fillId="0" borderId="0" xfId="0" applyNumberFormat="1" applyFont="1"/>
    <xf numFmtId="0" fontId="4" fillId="0" borderId="3" xfId="0" applyFont="1" applyFill="1" applyBorder="1"/>
    <xf numFmtId="1" fontId="10" fillId="0" borderId="3" xfId="0" applyNumberFormat="1" applyFont="1" applyFill="1" applyBorder="1"/>
    <xf numFmtId="1" fontId="22" fillId="0" borderId="3" xfId="0" applyNumberFormat="1" applyFont="1" applyBorder="1"/>
    <xf numFmtId="1" fontId="2" fillId="0" borderId="3" xfId="0" applyNumberFormat="1" applyFont="1" applyFill="1" applyBorder="1"/>
    <xf numFmtId="1" fontId="0" fillId="0" borderId="0" xfId="0" applyNumberFormat="1" applyFont="1"/>
    <xf numFmtId="0" fontId="3" fillId="0" borderId="8" xfId="0" applyFont="1" applyBorder="1"/>
    <xf numFmtId="1" fontId="2" fillId="0" borderId="3" xfId="0" applyNumberFormat="1" applyFont="1" applyFill="1" applyBorder="1" applyAlignment="1">
      <alignment horizontal="right"/>
    </xf>
    <xf numFmtId="1" fontId="7" fillId="0" borderId="3" xfId="0" applyNumberFormat="1" applyFont="1" applyBorder="1" applyAlignment="1">
      <alignment wrapText="1"/>
    </xf>
    <xf numFmtId="0" fontId="6" fillId="3" borderId="0" xfId="0" applyFont="1" applyFill="1" applyBorder="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7" fillId="0" borderId="0" xfId="0"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1" fontId="3" fillId="5" borderId="3" xfId="0" applyNumberFormat="1"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7" fillId="2" borderId="0" xfId="0" applyFont="1" applyFill="1"/>
    <xf numFmtId="2" fontId="7" fillId="0" borderId="0" xfId="0" applyNumberFormat="1" applyFont="1"/>
    <xf numFmtId="2" fontId="6" fillId="0" borderId="0" xfId="0" applyNumberFormat="1" applyFont="1" applyBorder="1" applyAlignment="1">
      <alignment wrapText="1"/>
    </xf>
    <xf numFmtId="2" fontId="6" fillId="3" borderId="3" xfId="0" applyNumberFormat="1" applyFont="1" applyFill="1" applyBorder="1" applyAlignment="1">
      <alignment wrapText="1"/>
    </xf>
    <xf numFmtId="2" fontId="6" fillId="2" borderId="3" xfId="0" applyNumberFormat="1" applyFont="1" applyFill="1" applyBorder="1"/>
    <xf numFmtId="1" fontId="7" fillId="0" borderId="3" xfId="0" applyNumberFormat="1" applyFont="1" applyBorder="1"/>
    <xf numFmtId="2" fontId="0" fillId="0" borderId="3" xfId="0" applyNumberFormat="1" applyFont="1" applyBorder="1" applyAlignment="1">
      <alignment wrapText="1"/>
    </xf>
    <xf numFmtId="1" fontId="4" fillId="0" borderId="0" xfId="0" applyNumberFormat="1" applyFont="1"/>
    <xf numFmtId="1" fontId="4" fillId="6" borderId="3" xfId="0" applyNumberFormat="1" applyFont="1" applyFill="1" applyBorder="1"/>
    <xf numFmtId="1" fontId="14" fillId="0" borderId="0" xfId="0" applyNumberFormat="1" applyFont="1"/>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1" fontId="4" fillId="7" borderId="3" xfId="0" applyNumberFormat="1" applyFont="1" applyFill="1" applyBorder="1" applyAlignment="1">
      <alignment horizontal="center" vertical="center"/>
    </xf>
    <xf numFmtId="0" fontId="4" fillId="8" borderId="3" xfId="0" applyFont="1" applyFill="1" applyBorder="1" applyAlignment="1">
      <alignment horizontal="center" vertical="center"/>
    </xf>
    <xf numFmtId="0" fontId="2" fillId="8" borderId="3" xfId="0" applyFont="1" applyFill="1" applyBorder="1" applyAlignment="1">
      <alignment horizontal="center" vertical="center"/>
    </xf>
    <xf numFmtId="0" fontId="2" fillId="5" borderId="0" xfId="0" applyFont="1" applyFill="1"/>
    <xf numFmtId="0" fontId="2" fillId="5" borderId="3" xfId="0" applyFont="1" applyFill="1" applyBorder="1" applyAlignment="1">
      <alignment horizontal="center" vertical="center" wrapText="1"/>
    </xf>
    <xf numFmtId="0" fontId="2" fillId="5" borderId="3" xfId="0" applyFont="1" applyFill="1" applyBorder="1" applyAlignment="1">
      <alignment horizontal="center"/>
    </xf>
    <xf numFmtId="0" fontId="22" fillId="5" borderId="3" xfId="0" applyFont="1" applyFill="1" applyBorder="1"/>
    <xf numFmtId="1" fontId="4" fillId="5" borderId="3" xfId="0" applyNumberFormat="1" applyFont="1" applyFill="1" applyBorder="1"/>
    <xf numFmtId="1" fontId="2" fillId="5" borderId="3" xfId="0" applyNumberFormat="1" applyFont="1" applyFill="1" applyBorder="1"/>
    <xf numFmtId="164" fontId="2" fillId="5" borderId="3" xfId="1" applyNumberFormat="1" applyFont="1" applyFill="1" applyBorder="1"/>
    <xf numFmtId="10" fontId="2" fillId="5" borderId="3" xfId="1" applyNumberFormat="1" applyFont="1" applyFill="1" applyBorder="1"/>
    <xf numFmtId="0" fontId="2" fillId="5" borderId="3" xfId="0" applyFont="1" applyFill="1" applyBorder="1"/>
    <xf numFmtId="0" fontId="15" fillId="5" borderId="3" xfId="0" applyFont="1" applyFill="1" applyBorder="1"/>
    <xf numFmtId="0" fontId="3" fillId="5" borderId="3" xfId="0" applyFont="1" applyFill="1" applyBorder="1"/>
    <xf numFmtId="0" fontId="0" fillId="5" borderId="0" xfId="0" applyFill="1"/>
    <xf numFmtId="1" fontId="24" fillId="0" borderId="3" xfId="0" applyNumberFormat="1" applyFont="1" applyFill="1" applyBorder="1"/>
    <xf numFmtId="1" fontId="25" fillId="0" borderId="3" xfId="0" applyNumberFormat="1" applyFont="1" applyBorder="1"/>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3" xfId="0"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2" borderId="4" xfId="0" applyFont="1" applyFill="1" applyBorder="1" applyAlignment="1">
      <alignment horizontal="center" vertical="top" wrapText="1"/>
    </xf>
    <xf numFmtId="0" fontId="5" fillId="2" borderId="5" xfId="0" applyFont="1" applyFill="1" applyBorder="1" applyAlignment="1">
      <alignment horizontal="center" vertical="top"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PRYJ%20MAY'21%20-%20AS%20OBG(SL)%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OWE%20ZONAL,%20PRYJ,%20JHS,%20AGC-March-24/OWE%20PRYJ%20March-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PRYJ"/>
      <sheetName val="Sheet1"/>
    </sheetNames>
    <sheetDataSet>
      <sheetData sheetId="0" refreshError="1"/>
      <sheetData sheetId="1" refreshError="1"/>
      <sheetData sheetId="2" refreshError="1"/>
      <sheetData sheetId="3" refreshError="1">
        <row r="5">
          <cell r="L5" t="str">
            <v/>
          </cell>
        </row>
        <row r="6">
          <cell r="L6" t="str">
            <v/>
          </cell>
        </row>
        <row r="7">
          <cell r="L7" t="str">
            <v/>
          </cell>
        </row>
        <row r="8">
          <cell r="L8" t="str">
            <v/>
          </cell>
        </row>
        <row r="11">
          <cell r="L11" t="str">
            <v/>
          </cell>
        </row>
        <row r="12">
          <cell r="L12" t="str">
            <v/>
          </cell>
        </row>
        <row r="13">
          <cell r="L13" t="str">
            <v/>
          </cell>
        </row>
        <row r="14">
          <cell r="L14" t="str">
            <v/>
          </cell>
        </row>
        <row r="15">
          <cell r="L15" t="str">
            <v/>
          </cell>
        </row>
        <row r="16">
          <cell r="L16" t="str">
            <v/>
          </cell>
        </row>
        <row r="17">
          <cell r="L17" t="str">
            <v/>
          </cell>
        </row>
        <row r="19">
          <cell r="L19" t="str">
            <v/>
          </cell>
        </row>
        <row r="20">
          <cell r="L20" t="str">
            <v/>
          </cell>
        </row>
        <row r="21">
          <cell r="L21" t="str">
            <v/>
          </cell>
        </row>
        <row r="22">
          <cell r="L22" t="str">
            <v/>
          </cell>
        </row>
        <row r="25">
          <cell r="L25" t="str">
            <v/>
          </cell>
        </row>
        <row r="26">
          <cell r="L26" t="str">
            <v/>
          </cell>
        </row>
        <row r="27">
          <cell r="L27" t="str">
            <v/>
          </cell>
        </row>
        <row r="28">
          <cell r="L28" t="str">
            <v/>
          </cell>
        </row>
        <row r="29">
          <cell r="L29" t="str">
            <v/>
          </cell>
        </row>
        <row r="30">
          <cell r="L30" t="str">
            <v/>
          </cell>
        </row>
        <row r="31">
          <cell r="L31" t="str">
            <v/>
          </cell>
        </row>
        <row r="32">
          <cell r="L32" t="str">
            <v/>
          </cell>
        </row>
        <row r="33">
          <cell r="L33" t="str">
            <v/>
          </cell>
        </row>
        <row r="34">
          <cell r="L34" t="str">
            <v/>
          </cell>
        </row>
        <row r="37">
          <cell r="L37" t="str">
            <v/>
          </cell>
        </row>
        <row r="39">
          <cell r="L39" t="str">
            <v/>
          </cell>
        </row>
        <row r="41">
          <cell r="L41" t="str">
            <v/>
          </cell>
        </row>
        <row r="42">
          <cell r="L42" t="str">
            <v/>
          </cell>
        </row>
        <row r="43">
          <cell r="L43" t="str">
            <v/>
          </cell>
        </row>
        <row r="44">
          <cell r="L44" t="str">
            <v/>
          </cell>
        </row>
        <row r="45">
          <cell r="L45" t="str">
            <v/>
          </cell>
        </row>
        <row r="46">
          <cell r="L46" t="str">
            <v/>
          </cell>
        </row>
        <row r="47">
          <cell r="L47" t="str">
            <v/>
          </cell>
        </row>
        <row r="48">
          <cell r="L48" t="str">
            <v/>
          </cell>
        </row>
        <row r="50">
          <cell r="L50" t="str">
            <v/>
          </cell>
        </row>
        <row r="51">
          <cell r="J51" t="str">
            <v/>
          </cell>
          <cell r="L51" t="str">
            <v/>
          </cell>
        </row>
        <row r="52">
          <cell r="L52" t="str">
            <v/>
          </cell>
        </row>
        <row r="53">
          <cell r="L53" t="str">
            <v/>
          </cell>
        </row>
        <row r="54">
          <cell r="L54" t="str">
            <v/>
          </cell>
        </row>
        <row r="56">
          <cell r="L56" t="str">
            <v/>
          </cell>
        </row>
        <row r="60">
          <cell r="B60">
            <v>0</v>
          </cell>
          <cell r="G60">
            <v>0</v>
          </cell>
          <cell r="H60">
            <v>0</v>
          </cell>
          <cell r="J60">
            <v>0</v>
          </cell>
        </row>
        <row r="61">
          <cell r="B61">
            <v>152671</v>
          </cell>
          <cell r="C61">
            <v>650631</v>
          </cell>
          <cell r="D61">
            <v>187957</v>
          </cell>
          <cell r="E61">
            <v>435800</v>
          </cell>
          <cell r="F61">
            <v>429087</v>
          </cell>
          <cell r="G61">
            <v>856580</v>
          </cell>
          <cell r="H61">
            <v>755223</v>
          </cell>
          <cell r="I61">
            <v>862518</v>
          </cell>
          <cell r="J61">
            <v>201386</v>
          </cell>
          <cell r="K61">
            <v>225057</v>
          </cell>
          <cell r="L61">
            <v>297912</v>
          </cell>
        </row>
      </sheetData>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sheetName val="Sheet1"/>
      <sheetName val="Sheet2"/>
      <sheetName val="Sheet3"/>
      <sheetName val="Sheet4"/>
      <sheetName val="RG"/>
      <sheetName val="Detailed Review analysis"/>
      <sheetName val="Sheet5"/>
    </sheetNames>
    <sheetDataSet>
      <sheetData sheetId="0" refreshError="1"/>
      <sheetData sheetId="1" refreshError="1"/>
      <sheetData sheetId="2" refreshError="1"/>
      <sheetData sheetId="3" refreshError="1"/>
      <sheetData sheetId="4">
        <row r="118">
          <cell r="BG118">
            <v>2515904</v>
          </cell>
        </row>
        <row r="129">
          <cell r="AW129">
            <v>0</v>
          </cell>
          <cell r="AX129">
            <v>2290</v>
          </cell>
          <cell r="BC129">
            <v>102557</v>
          </cell>
          <cell r="BD129">
            <v>102557</v>
          </cell>
          <cell r="BF129">
            <v>84275</v>
          </cell>
          <cell r="BG129">
            <v>3084028</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9" t="s">
        <v>214</v>
      </c>
      <c r="B1" s="286"/>
      <c r="C1" s="286"/>
      <c r="D1" s="286"/>
      <c r="E1" s="286"/>
      <c r="F1" s="286"/>
      <c r="G1" s="286"/>
      <c r="H1" s="286"/>
      <c r="I1" s="286"/>
      <c r="J1" s="286"/>
      <c r="K1" s="286"/>
      <c r="L1" s="286"/>
      <c r="M1" s="286"/>
      <c r="N1" s="286"/>
      <c r="O1" s="286"/>
      <c r="P1" s="286"/>
    </row>
    <row r="3" spans="1:27">
      <c r="A3" s="349" t="s">
        <v>215</v>
      </c>
      <c r="B3" s="286"/>
      <c r="C3" s="286"/>
      <c r="D3" s="286"/>
      <c r="E3" s="286"/>
      <c r="F3" s="286"/>
      <c r="G3" s="286"/>
      <c r="H3" s="286"/>
      <c r="I3" s="286"/>
      <c r="J3" s="286"/>
      <c r="K3" s="286"/>
      <c r="L3" s="286"/>
      <c r="M3" s="286"/>
      <c r="N3" s="286"/>
      <c r="O3" s="286"/>
      <c r="P3" s="286"/>
    </row>
    <row r="5" spans="1:27" ht="76.5">
      <c r="A5" s="142" t="s">
        <v>216</v>
      </c>
      <c r="B5" s="142" t="s">
        <v>217</v>
      </c>
      <c r="C5" s="142" t="s">
        <v>218</v>
      </c>
      <c r="D5" s="142" t="s">
        <v>219</v>
      </c>
      <c r="E5" s="142" t="s">
        <v>220</v>
      </c>
      <c r="F5" s="142" t="s">
        <v>221</v>
      </c>
      <c r="G5" s="142" t="s">
        <v>222</v>
      </c>
      <c r="H5" s="146" t="s">
        <v>223</v>
      </c>
      <c r="I5" s="142" t="s">
        <v>224</v>
      </c>
      <c r="J5" s="142" t="s">
        <v>225</v>
      </c>
      <c r="K5" s="142" t="s">
        <v>226</v>
      </c>
      <c r="L5" s="142" t="s">
        <v>227</v>
      </c>
      <c r="M5" s="142" t="s">
        <v>228</v>
      </c>
      <c r="N5" s="142" t="s">
        <v>229</v>
      </c>
      <c r="O5" s="142" t="s">
        <v>230</v>
      </c>
      <c r="P5" s="170" t="s">
        <v>231</v>
      </c>
      <c r="Q5" s="171" t="s">
        <v>64</v>
      </c>
      <c r="R5" s="171" t="s">
        <v>281</v>
      </c>
      <c r="S5" s="143"/>
      <c r="T5" s="143"/>
      <c r="U5" s="143"/>
      <c r="V5" s="143"/>
      <c r="X5" s="143"/>
      <c r="Y5" s="143"/>
      <c r="Z5" s="143"/>
      <c r="AA5" s="143"/>
    </row>
    <row r="6" spans="1:27">
      <c r="A6" s="144" t="s">
        <v>232</v>
      </c>
      <c r="B6" s="144" t="s">
        <v>233</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232</v>
      </c>
      <c r="B7" s="144" t="s">
        <v>234</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232</v>
      </c>
      <c r="B8" s="144" t="s">
        <v>235</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232</v>
      </c>
      <c r="B9" s="144" t="s">
        <v>236</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232</v>
      </c>
      <c r="B10" s="144" t="s">
        <v>237</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232</v>
      </c>
      <c r="B11" s="144" t="s">
        <v>238</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232</v>
      </c>
      <c r="B12" s="144" t="s">
        <v>239</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232</v>
      </c>
      <c r="B13" s="144" t="s">
        <v>240</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232</v>
      </c>
      <c r="B14" s="144" t="s">
        <v>241</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232</v>
      </c>
      <c r="B15" s="144" t="s">
        <v>242</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232</v>
      </c>
      <c r="B16" s="144" t="s">
        <v>243</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232</v>
      </c>
      <c r="B17" s="144" t="s">
        <v>244</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232</v>
      </c>
      <c r="B18" s="144" t="s">
        <v>122</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271</v>
      </c>
      <c r="B1" s="36"/>
    </row>
    <row r="2" spans="1:19">
      <c r="M2" s="36" t="s">
        <v>142</v>
      </c>
      <c r="P2" s="175" t="s">
        <v>283</v>
      </c>
    </row>
    <row r="3" spans="1:19" s="36" customFormat="1" ht="15" customHeight="1">
      <c r="A3" s="327" t="s">
        <v>143</v>
      </c>
      <c r="B3" s="331" t="s">
        <v>288</v>
      </c>
      <c r="C3" s="333" t="str">
        <f>'PU Wise OWE'!$B$7</f>
        <v>Actuals upto April-23</v>
      </c>
      <c r="D3" s="331" t="s">
        <v>165</v>
      </c>
      <c r="E3" s="331"/>
      <c r="F3" s="333" t="str">
        <f>'PU Wise OWE'!$B$5</f>
        <v xml:space="preserve">VOA 2024-25 </v>
      </c>
      <c r="G3" s="331" t="s">
        <v>294</v>
      </c>
      <c r="H3" s="331" t="s">
        <v>302</v>
      </c>
      <c r="I3" s="333" t="str">
        <f>'PU Wise OWE'!B8</f>
        <v>Actuals upto April-24</v>
      </c>
      <c r="J3" s="331" t="s">
        <v>197</v>
      </c>
      <c r="K3" s="335" t="s">
        <v>198</v>
      </c>
      <c r="L3" s="335"/>
      <c r="M3" s="335" t="s">
        <v>139</v>
      </c>
      <c r="N3" s="335"/>
      <c r="O3" s="344" t="s">
        <v>300</v>
      </c>
      <c r="P3" s="176" t="s">
        <v>284</v>
      </c>
      <c r="Q3" s="156"/>
    </row>
    <row r="4" spans="1:19" ht="15.6" customHeight="1">
      <c r="A4" s="328"/>
      <c r="B4" s="332"/>
      <c r="C4" s="332"/>
      <c r="D4" s="332"/>
      <c r="E4" s="332"/>
      <c r="F4" s="332"/>
      <c r="G4" s="332"/>
      <c r="H4" s="332"/>
      <c r="I4" s="332"/>
      <c r="J4" s="332"/>
      <c r="K4" s="19" t="s">
        <v>137</v>
      </c>
      <c r="L4" s="18" t="s">
        <v>138</v>
      </c>
      <c r="M4" s="19" t="s">
        <v>137</v>
      </c>
      <c r="N4" s="18" t="s">
        <v>138</v>
      </c>
      <c r="O4" s="344"/>
      <c r="P4" s="175" t="s">
        <v>285</v>
      </c>
      <c r="R4" s="71" t="s">
        <v>272</v>
      </c>
    </row>
    <row r="5" spans="1:19" ht="15.75">
      <c r="A5" s="63" t="s">
        <v>140</v>
      </c>
      <c r="B5" s="105">
        <v>4575.6000000000004</v>
      </c>
      <c r="C5" s="72">
        <f>ROUND('PU Wise OWE'!$AD$128/10000,2)</f>
        <v>271.39</v>
      </c>
      <c r="D5" s="68">
        <f>C5/C7</f>
        <v>0.6976606683804627</v>
      </c>
      <c r="E5" s="68"/>
      <c r="F5" s="22">
        <f>ROUND('PU Wise OWE'!$AD$126/10000,2)</f>
        <v>1465.83</v>
      </c>
      <c r="G5" s="68">
        <f>F5/F7</f>
        <v>0.65477716679993025</v>
      </c>
      <c r="H5" s="23">
        <f>ROUND('PU Wise OWE'!$AD$127/10000,2)</f>
        <v>292.25</v>
      </c>
      <c r="I5" s="23">
        <f>ROUND('PU Wise OWE'!$AD$129/10000,2)</f>
        <v>285.75</v>
      </c>
      <c r="J5" s="24">
        <f>I5/$I$7</f>
        <v>0.60935300891372035</v>
      </c>
      <c r="K5" s="22">
        <f>H5-I5</f>
        <v>6.5</v>
      </c>
      <c r="L5" s="24">
        <f>K5/I5</f>
        <v>2.2747156605424323E-2</v>
      </c>
      <c r="M5" s="22">
        <f>I5-C5</f>
        <v>14.360000000000014</v>
      </c>
      <c r="N5" s="54">
        <f>M5/C5</f>
        <v>5.2912782342754025E-2</v>
      </c>
      <c r="O5" s="54">
        <f>I5/F5</f>
        <v>0.19494075029164365</v>
      </c>
      <c r="P5" s="149">
        <f>10.57+1.36+2.68+11.45+3.4+9.35</f>
        <v>38.809999999999995</v>
      </c>
      <c r="Q5" s="165">
        <f>Q28+I5-I28</f>
        <v>376.41600000000011</v>
      </c>
      <c r="R5" s="70">
        <f>Q5-F5</f>
        <v>-1089.4139999999998</v>
      </c>
      <c r="S5" s="70"/>
    </row>
    <row r="6" spans="1:19" ht="15.75">
      <c r="A6" s="80" t="s">
        <v>136</v>
      </c>
      <c r="B6" s="105">
        <v>3242.41</v>
      </c>
      <c r="C6" s="72">
        <f>C7-C5</f>
        <v>117.61000000000001</v>
      </c>
      <c r="D6" s="68">
        <f>C6/C7</f>
        <v>0.3023393316195373</v>
      </c>
      <c r="E6" s="68"/>
      <c r="F6" s="21">
        <f>F7-F5</f>
        <v>772.84000000000015</v>
      </c>
      <c r="G6" s="68">
        <f>F6/F7</f>
        <v>0.34522283320006975</v>
      </c>
      <c r="H6" s="21">
        <f>H7-H5</f>
        <v>185.39</v>
      </c>
      <c r="I6" s="21">
        <f>I7-I5</f>
        <v>183.19</v>
      </c>
      <c r="J6" s="24">
        <f>I6/$I$7</f>
        <v>0.3906469910862797</v>
      </c>
      <c r="K6" s="22">
        <f>H6-I6</f>
        <v>2.1999999999999886</v>
      </c>
      <c r="L6" s="24">
        <f>K6/I6</f>
        <v>1.2009389158796816E-2</v>
      </c>
      <c r="M6" s="22">
        <f>I6-C6</f>
        <v>65.579999999999984</v>
      </c>
      <c r="N6" s="54">
        <f>M6/C6</f>
        <v>0.55760564577841998</v>
      </c>
      <c r="O6" s="54">
        <f>I6/F6</f>
        <v>0.23703483256560215</v>
      </c>
      <c r="P6" s="149">
        <f>26.18+9.93</f>
        <v>36.11</v>
      </c>
      <c r="Q6" s="165">
        <f>Q85+I6-I85</f>
        <v>887.97199999999987</v>
      </c>
      <c r="R6" s="70">
        <f>Q6-F6</f>
        <v>115.13199999999972</v>
      </c>
      <c r="S6" s="70"/>
    </row>
    <row r="7" spans="1:19">
      <c r="A7" s="27" t="s">
        <v>163</v>
      </c>
      <c r="B7" s="106">
        <f>SUM(B5:B6)</f>
        <v>7818.01</v>
      </c>
      <c r="C7" s="73">
        <f>ROUND('PU Wise OWE'!BK128/10000,2)</f>
        <v>389</v>
      </c>
      <c r="D7" s="69">
        <f>SUM(D5:D6)</f>
        <v>1</v>
      </c>
      <c r="E7" s="69"/>
      <c r="F7" s="26">
        <f>ROUND('PU Wise OWE'!BK126/10000,2)</f>
        <v>2238.67</v>
      </c>
      <c r="G7" s="69">
        <f>SUM(G5:G6)</f>
        <v>1</v>
      </c>
      <c r="H7" s="25">
        <f>ROUND('PU Wise OWE'!BK127/10000,2)</f>
        <v>477.64</v>
      </c>
      <c r="I7" s="25">
        <f>ROUND('PU Wise OWE'!BK129/10000,2)</f>
        <v>468.94</v>
      </c>
      <c r="J7" s="56">
        <f>I7/$I$7</f>
        <v>1</v>
      </c>
      <c r="K7" s="26">
        <f>H7-I7</f>
        <v>8.6999999999999886</v>
      </c>
      <c r="L7" s="56">
        <f>K7/I7</f>
        <v>1.8552480061415081E-2</v>
      </c>
      <c r="M7" s="26">
        <f>I7-C7</f>
        <v>79.94</v>
      </c>
      <c r="N7" s="57">
        <f>M7/C7</f>
        <v>0.20550128534704371</v>
      </c>
      <c r="O7" s="54">
        <f>I7/F7</f>
        <v>0.20947258863521645</v>
      </c>
      <c r="Q7" s="70">
        <f>SUM(Q5:Q6)</f>
        <v>1264.3879999999999</v>
      </c>
      <c r="R7" s="70">
        <f>Q7-F7</f>
        <v>-974.28200000000015</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164</v>
      </c>
      <c r="B10" s="64"/>
      <c r="C10" s="75"/>
      <c r="D10" s="65"/>
      <c r="E10" s="65"/>
      <c r="F10" s="65"/>
      <c r="G10" s="65"/>
      <c r="H10" s="65"/>
      <c r="I10" s="65"/>
      <c r="J10" s="65"/>
      <c r="K10" s="65"/>
      <c r="L10" s="65"/>
      <c r="M10" s="36" t="s">
        <v>142</v>
      </c>
    </row>
    <row r="11" spans="1:19" ht="15" customHeight="1">
      <c r="A11" s="325"/>
      <c r="B11" s="325" t="s">
        <v>288</v>
      </c>
      <c r="C11" s="334" t="str">
        <f>'PU Wise OWE'!$B$7</f>
        <v>Actuals upto April-23</v>
      </c>
      <c r="D11" s="325" t="s">
        <v>165</v>
      </c>
      <c r="E11" s="325"/>
      <c r="F11" s="347" t="str">
        <f>'PU Wise OWE'!$B$5</f>
        <v xml:space="preserve">VOA 2024-25 </v>
      </c>
      <c r="G11" s="325" t="s">
        <v>295</v>
      </c>
      <c r="H11" s="325" t="s">
        <v>302</v>
      </c>
      <c r="I11" s="334" t="str">
        <f>'PU Wise OWE'!B8</f>
        <v>Actuals upto April-24</v>
      </c>
      <c r="J11" s="325" t="s">
        <v>197</v>
      </c>
      <c r="K11" s="322" t="s">
        <v>198</v>
      </c>
      <c r="L11" s="322"/>
      <c r="M11" s="322" t="s">
        <v>139</v>
      </c>
      <c r="N11" s="322"/>
      <c r="O11" s="345" t="s">
        <v>300</v>
      </c>
      <c r="P11" s="351" t="s">
        <v>259</v>
      </c>
      <c r="Q11" s="164"/>
    </row>
    <row r="12" spans="1:19" ht="17.25" customHeight="1">
      <c r="A12" s="326"/>
      <c r="B12" s="326"/>
      <c r="C12" s="326"/>
      <c r="D12" s="326"/>
      <c r="E12" s="326"/>
      <c r="F12" s="348"/>
      <c r="G12" s="326"/>
      <c r="H12" s="326"/>
      <c r="I12" s="326"/>
      <c r="J12" s="326"/>
      <c r="K12" s="66" t="s">
        <v>137</v>
      </c>
      <c r="L12" s="67" t="s">
        <v>138</v>
      </c>
      <c r="M12" s="66" t="s">
        <v>137</v>
      </c>
      <c r="N12" s="67" t="s">
        <v>138</v>
      </c>
      <c r="O12" s="345"/>
      <c r="P12" s="351"/>
      <c r="Q12" s="164"/>
    </row>
    <row r="13" spans="1:19" ht="15.75">
      <c r="A13" s="20" t="s">
        <v>144</v>
      </c>
      <c r="B13" s="107">
        <v>2522.8000000000002</v>
      </c>
      <c r="C13" s="72">
        <f>ROUND('PU Wise OWE'!$C$128/10000,2)</f>
        <v>104.09</v>
      </c>
      <c r="D13" s="68">
        <f>C13/$C$7</f>
        <v>0.26758354755784064</v>
      </c>
      <c r="E13" s="21"/>
      <c r="F13" s="22">
        <f>ROUND('PU Wise OWE'!$C$126/10000,2)</f>
        <v>612.04999999999995</v>
      </c>
      <c r="G13" s="24">
        <f>F13/$F$7</f>
        <v>0.2733989377621534</v>
      </c>
      <c r="H13" s="23">
        <f>ROUND('PU Wise OWE'!$C$127/10000,2)</f>
        <v>116.29</v>
      </c>
      <c r="I13" s="23">
        <f>ROUND('PU Wise OWE'!$C$129/10000,2)</f>
        <v>108.79</v>
      </c>
      <c r="J13" s="24">
        <f>I13/$I$7</f>
        <v>0.23199129952659189</v>
      </c>
      <c r="K13" s="22">
        <f>H13-I13</f>
        <v>7.5</v>
      </c>
      <c r="L13" s="24">
        <f>K13/I13</f>
        <v>6.8940159941171059E-2</v>
      </c>
      <c r="M13" s="22">
        <f t="shared" ref="M13:M28" si="0">I13-C13</f>
        <v>4.7000000000000028</v>
      </c>
      <c r="N13" s="54">
        <f t="shared" ref="N13:N28" si="1">M13/C13</f>
        <v>4.5153232779325612E-2</v>
      </c>
      <c r="O13" s="54">
        <f>I13/F13</f>
        <v>0.17774691610162571</v>
      </c>
      <c r="P13" s="157"/>
      <c r="Q13" s="165">
        <f>(I13/10)*12</f>
        <v>130.548</v>
      </c>
      <c r="R13" s="169">
        <f t="shared" ref="R13:R27" si="2">Q13-F13</f>
        <v>-481.50199999999995</v>
      </c>
    </row>
    <row r="14" spans="1:19" ht="15.75">
      <c r="A14" s="20" t="s">
        <v>145</v>
      </c>
      <c r="B14" s="107">
        <v>441.91</v>
      </c>
      <c r="C14" s="72">
        <f>ROUND('PU Wise OWE'!$D$128/10000,2)</f>
        <v>59.89</v>
      </c>
      <c r="D14" s="68">
        <f t="shared" ref="D14:D27" si="3">C14/$C$7</f>
        <v>0.15395886889460153</v>
      </c>
      <c r="E14" s="21"/>
      <c r="F14" s="22">
        <f>ROUND('PU Wise OWE'!$D$126/10000,2)</f>
        <v>371.38</v>
      </c>
      <c r="G14" s="24">
        <f t="shared" ref="G14:G27" si="4">F14/$F$7</f>
        <v>0.165893141910152</v>
      </c>
      <c r="H14" s="23">
        <f>ROUND('PU Wise OWE'!$D$127/10000,2)</f>
        <v>70.56</v>
      </c>
      <c r="I14" s="23">
        <f>ROUND('PU Wise OWE'!$D$129/10000,2)</f>
        <v>72.2</v>
      </c>
      <c r="J14" s="24">
        <f t="shared" ref="J14:J28" si="5">I14/$I$7</f>
        <v>0.15396425982001963</v>
      </c>
      <c r="K14" s="22">
        <f t="shared" ref="K14:K28" si="6">H14-I14</f>
        <v>-1.6400000000000006</v>
      </c>
      <c r="L14" s="24">
        <f t="shared" ref="L14:L28" si="7">K14/I14</f>
        <v>-2.2714681440443221E-2</v>
      </c>
      <c r="M14" s="22">
        <f t="shared" si="0"/>
        <v>12.310000000000002</v>
      </c>
      <c r="N14" s="54">
        <f t="shared" si="1"/>
        <v>0.20554349641008518</v>
      </c>
      <c r="O14" s="54">
        <f t="shared" ref="O14:O27" si="8">I14/F14</f>
        <v>0.1944100382357693</v>
      </c>
      <c r="P14" s="157"/>
      <c r="Q14" s="165">
        <f>(I14/10)*12</f>
        <v>86.640000000000015</v>
      </c>
      <c r="R14" s="70">
        <f t="shared" si="2"/>
        <v>-284.74</v>
      </c>
    </row>
    <row r="15" spans="1:19" ht="15.75">
      <c r="A15" s="23" t="s">
        <v>166</v>
      </c>
      <c r="B15" s="22">
        <v>98.2</v>
      </c>
      <c r="C15" s="72">
        <f>ROUND('PU Wise OWE'!$E$128/10000,2)</f>
        <v>0.01</v>
      </c>
      <c r="D15" s="68">
        <f t="shared" si="3"/>
        <v>2.5706940874035991E-5</v>
      </c>
      <c r="E15" s="21"/>
      <c r="F15" s="22">
        <f>ROUND('PU Wise OWE'!$E$126/10000,2)</f>
        <v>0</v>
      </c>
      <c r="G15" s="24">
        <f t="shared" si="4"/>
        <v>0</v>
      </c>
      <c r="H15" s="23">
        <f>ROUND('PU Wise OWE'!$E$127/10000,2)</f>
        <v>1.24</v>
      </c>
      <c r="I15" s="23">
        <f>ROUND('PU Wise OWE'!$E$129/10000,2)</f>
        <v>0.04</v>
      </c>
      <c r="J15" s="24">
        <f t="shared" si="5"/>
        <v>8.5298758903057959E-5</v>
      </c>
      <c r="K15" s="22">
        <f t="shared" si="6"/>
        <v>1.2</v>
      </c>
      <c r="L15" s="24">
        <f t="shared" si="7"/>
        <v>30</v>
      </c>
      <c r="M15" s="22">
        <f t="shared" si="0"/>
        <v>0.03</v>
      </c>
      <c r="N15" s="54">
        <f t="shared" si="1"/>
        <v>3</v>
      </c>
      <c r="O15" s="54" t="e">
        <f t="shared" si="8"/>
        <v>#DIV/0!</v>
      </c>
      <c r="P15" s="157" t="s">
        <v>260</v>
      </c>
      <c r="Q15" s="165">
        <f>F15</f>
        <v>0</v>
      </c>
      <c r="R15" s="70">
        <f t="shared" si="2"/>
        <v>0</v>
      </c>
    </row>
    <row r="16" spans="1:19" ht="15.75">
      <c r="A16" s="23" t="s">
        <v>167</v>
      </c>
      <c r="B16" s="22">
        <v>264.85000000000002</v>
      </c>
      <c r="C16" s="72">
        <f>ROUND('PU Wise OWE'!$F$128/10000,2)</f>
        <v>11.98</v>
      </c>
      <c r="D16" s="68">
        <f t="shared" si="3"/>
        <v>3.0796915167095117E-2</v>
      </c>
      <c r="E16" s="21"/>
      <c r="F16" s="22">
        <f>ROUND('PU Wise OWE'!$F$126/10000,2)</f>
        <v>84.25</v>
      </c>
      <c r="G16" s="24">
        <f t="shared" si="4"/>
        <v>3.7633952302036477E-2</v>
      </c>
      <c r="H16" s="23">
        <f>ROUND('PU Wise OWE'!$F$127/10000,2)</f>
        <v>15.83</v>
      </c>
      <c r="I16" s="23">
        <f>ROUND('PU Wise OWE'!$F$129/10000,2)</f>
        <v>12.88</v>
      </c>
      <c r="J16" s="24">
        <f t="shared" si="5"/>
        <v>2.7466200366784665E-2</v>
      </c>
      <c r="K16" s="22">
        <f t="shared" si="6"/>
        <v>2.9499999999999993</v>
      </c>
      <c r="L16" s="24">
        <f t="shared" si="7"/>
        <v>0.22903726708074526</v>
      </c>
      <c r="M16" s="22">
        <f t="shared" si="0"/>
        <v>0.90000000000000036</v>
      </c>
      <c r="N16" s="54">
        <f t="shared" si="1"/>
        <v>7.5125208681135258E-2</v>
      </c>
      <c r="O16" s="54">
        <f t="shared" si="8"/>
        <v>0.15287833827893177</v>
      </c>
      <c r="P16" s="157"/>
      <c r="Q16" s="165">
        <f>(I16/10)*12</f>
        <v>15.456</v>
      </c>
      <c r="R16" s="70">
        <f t="shared" si="2"/>
        <v>-68.793999999999997</v>
      </c>
    </row>
    <row r="17" spans="1:18" ht="15.75">
      <c r="A17" s="23" t="s">
        <v>168</v>
      </c>
      <c r="B17" s="22">
        <v>134.78</v>
      </c>
      <c r="C17" s="72">
        <f>ROUND('PU Wise OWE'!$G$128/10000,2)</f>
        <v>8.65</v>
      </c>
      <c r="D17" s="68">
        <f t="shared" si="3"/>
        <v>2.2236503856041132E-2</v>
      </c>
      <c r="E17" s="21"/>
      <c r="F17" s="22">
        <f>ROUND('PU Wise OWE'!$G$126/10000,2)</f>
        <v>51.95</v>
      </c>
      <c r="G17" s="24">
        <f t="shared" si="4"/>
        <v>2.3205742695439704E-2</v>
      </c>
      <c r="H17" s="23">
        <f>ROUND('PU Wise OWE'!$G$127/10000,2)</f>
        <v>8.81</v>
      </c>
      <c r="I17" s="23">
        <f>ROUND('PU Wise OWE'!$G$129/10000,2)</f>
        <v>9.8000000000000007</v>
      </c>
      <c r="J17" s="24">
        <f t="shared" si="5"/>
        <v>2.0898195931249201E-2</v>
      </c>
      <c r="K17" s="22">
        <f t="shared" si="6"/>
        <v>-0.99000000000000021</v>
      </c>
      <c r="L17" s="24">
        <f t="shared" si="7"/>
        <v>-0.10102040816326532</v>
      </c>
      <c r="M17" s="22">
        <f t="shared" si="0"/>
        <v>1.1500000000000004</v>
      </c>
      <c r="N17" s="54">
        <f t="shared" si="1"/>
        <v>0.13294797687861276</v>
      </c>
      <c r="O17" s="54">
        <f t="shared" si="8"/>
        <v>0.18864292589027912</v>
      </c>
      <c r="P17" s="157"/>
      <c r="Q17" s="165">
        <f>(I17/10)*12</f>
        <v>11.760000000000002</v>
      </c>
      <c r="R17" s="70">
        <f t="shared" si="2"/>
        <v>-40.19</v>
      </c>
    </row>
    <row r="18" spans="1:18" ht="15.75">
      <c r="A18" s="20" t="s">
        <v>146</v>
      </c>
      <c r="B18" s="107">
        <v>247.05</v>
      </c>
      <c r="C18" s="72">
        <f>ROUND('PU Wise OWE'!$H$128/10000,2)</f>
        <v>15.35</v>
      </c>
      <c r="D18" s="68">
        <f t="shared" si="3"/>
        <v>3.9460154241645243E-2</v>
      </c>
      <c r="E18" s="21"/>
      <c r="F18" s="22">
        <f>ROUND('PU Wise OWE'!$H$126/10000,2)</f>
        <v>80.98</v>
      </c>
      <c r="G18" s="24">
        <f t="shared" si="4"/>
        <v>3.6173263589542003E-2</v>
      </c>
      <c r="H18" s="23">
        <f>ROUND('PU Wise OWE'!$H$127/10000,2)</f>
        <v>15.39</v>
      </c>
      <c r="I18" s="23">
        <f>ROUND('PU Wise OWE'!$H$129/10000,2)</f>
        <v>17.66</v>
      </c>
      <c r="J18" s="24">
        <f t="shared" si="5"/>
        <v>3.7659402055700092E-2</v>
      </c>
      <c r="K18" s="22">
        <f t="shared" si="6"/>
        <v>-2.2699999999999996</v>
      </c>
      <c r="L18" s="24">
        <f t="shared" si="7"/>
        <v>-0.12853907134767834</v>
      </c>
      <c r="M18" s="22">
        <f t="shared" si="0"/>
        <v>2.3100000000000005</v>
      </c>
      <c r="N18" s="54">
        <f t="shared" si="1"/>
        <v>0.15048859934853423</v>
      </c>
      <c r="O18" s="54">
        <f t="shared" si="8"/>
        <v>0.2180785379105952</v>
      </c>
      <c r="P18" s="157"/>
      <c r="Q18" s="165">
        <f>(I18/10)*12</f>
        <v>21.192</v>
      </c>
      <c r="R18" s="70">
        <f t="shared" si="2"/>
        <v>-59.788000000000004</v>
      </c>
    </row>
    <row r="19" spans="1:18" ht="72" customHeight="1">
      <c r="A19" s="58" t="s">
        <v>147</v>
      </c>
      <c r="B19" s="108">
        <v>188.24</v>
      </c>
      <c r="C19" s="72">
        <f>ROUND('PU Wise OWE'!$J$128/10000,2)</f>
        <v>24.19</v>
      </c>
      <c r="D19" s="68">
        <f t="shared" si="3"/>
        <v>6.2185089974293062E-2</v>
      </c>
      <c r="E19" s="21"/>
      <c r="F19" s="22">
        <f>ROUND('PU Wise OWE'!$J$126/10000,2)</f>
        <v>83.58</v>
      </c>
      <c r="G19" s="24">
        <f t="shared" si="4"/>
        <v>3.7334667458803664E-2</v>
      </c>
      <c r="H19" s="23">
        <f>ROUND('PU Wise OWE'!$J$127/10000,2)</f>
        <v>15.88</v>
      </c>
      <c r="I19" s="23">
        <f>ROUND('PU Wise OWE'!$J$129/10000,2)</f>
        <v>15.42</v>
      </c>
      <c r="J19" s="24">
        <f t="shared" si="5"/>
        <v>3.2882671557128845E-2</v>
      </c>
      <c r="K19" s="22">
        <f t="shared" si="6"/>
        <v>0.46000000000000085</v>
      </c>
      <c r="L19" s="24">
        <f t="shared" si="7"/>
        <v>2.9831387808041562E-2</v>
      </c>
      <c r="M19" s="22">
        <f t="shared" si="0"/>
        <v>-8.7700000000000014</v>
      </c>
      <c r="N19" s="54">
        <f t="shared" si="1"/>
        <v>-0.36254650682100042</v>
      </c>
      <c r="O19" s="54">
        <f t="shared" si="8"/>
        <v>0.18449389806173727</v>
      </c>
      <c r="P19" s="158" t="s">
        <v>274</v>
      </c>
      <c r="Q19" s="165">
        <f>(I19-10.57)/10*2+I19</f>
        <v>16.39</v>
      </c>
      <c r="R19" s="169">
        <f t="shared" si="2"/>
        <v>-67.19</v>
      </c>
    </row>
    <row r="20" spans="1:18" ht="48" customHeight="1">
      <c r="A20" s="20" t="s">
        <v>148</v>
      </c>
      <c r="B20" s="107">
        <v>12.03</v>
      </c>
      <c r="C20" s="72">
        <f>ROUND('PU Wise OWE'!$K$128/10000,2)</f>
        <v>0.91</v>
      </c>
      <c r="D20" s="68">
        <f t="shared" si="3"/>
        <v>2.3393316195372753E-3</v>
      </c>
      <c r="E20" s="21"/>
      <c r="F20" s="22">
        <f>ROUND('PU Wise OWE'!$K$126/10000,2)</f>
        <v>4.8499999999999996</v>
      </c>
      <c r="G20" s="24">
        <f t="shared" si="4"/>
        <v>2.1664649099688653E-3</v>
      </c>
      <c r="H20" s="23">
        <f>ROUND('PU Wise OWE'!$K$127/10000,2)</f>
        <v>0.92</v>
      </c>
      <c r="I20" s="23">
        <f>ROUND('PU Wise OWE'!$K$129/10000,2)</f>
        <v>0.76</v>
      </c>
      <c r="J20" s="24">
        <f t="shared" si="5"/>
        <v>1.6206764191581012E-3</v>
      </c>
      <c r="K20" s="22">
        <f t="shared" si="6"/>
        <v>0.16000000000000003</v>
      </c>
      <c r="L20" s="24">
        <f t="shared" si="7"/>
        <v>0.21052631578947373</v>
      </c>
      <c r="M20" s="22">
        <f t="shared" si="0"/>
        <v>-0.15000000000000002</v>
      </c>
      <c r="N20" s="54">
        <f t="shared" si="1"/>
        <v>-0.16483516483516486</v>
      </c>
      <c r="O20" s="54">
        <f t="shared" si="8"/>
        <v>0.15670103092783508</v>
      </c>
      <c r="P20" s="158" t="s">
        <v>273</v>
      </c>
      <c r="Q20" s="165">
        <f>(I20-1.36)/10*2+I20</f>
        <v>0.64</v>
      </c>
      <c r="R20" s="70">
        <f t="shared" si="2"/>
        <v>-4.21</v>
      </c>
    </row>
    <row r="21" spans="1:18" ht="60">
      <c r="A21" s="20" t="s">
        <v>149</v>
      </c>
      <c r="B21" s="107">
        <v>48.93</v>
      </c>
      <c r="C21" s="72">
        <f>ROUND('PU Wise OWE'!$L$128/10000,2)</f>
        <v>6.98</v>
      </c>
      <c r="D21" s="68">
        <f t="shared" si="3"/>
        <v>1.7943444730077123E-2</v>
      </c>
      <c r="E21" s="21"/>
      <c r="F21" s="22">
        <f>ROUND('PU Wise OWE'!$L$126/10000,2)</f>
        <v>19.3</v>
      </c>
      <c r="G21" s="24">
        <f t="shared" si="4"/>
        <v>8.6211902602884756E-3</v>
      </c>
      <c r="H21" s="23">
        <f>ROUND('PU Wise OWE'!$L$127/10000,2)</f>
        <v>3.67</v>
      </c>
      <c r="I21" s="23">
        <f>ROUND('PU Wise OWE'!$L$129/10000,2)</f>
        <v>4.45</v>
      </c>
      <c r="J21" s="24">
        <f t="shared" si="5"/>
        <v>9.4894869279651978E-3</v>
      </c>
      <c r="K21" s="22">
        <f t="shared" si="6"/>
        <v>-0.78000000000000025</v>
      </c>
      <c r="L21" s="24">
        <f t="shared" si="7"/>
        <v>-0.17528089887640455</v>
      </c>
      <c r="M21" s="22">
        <f t="shared" si="0"/>
        <v>-2.5300000000000002</v>
      </c>
      <c r="N21" s="54">
        <f t="shared" si="1"/>
        <v>-0.36246418338108882</v>
      </c>
      <c r="O21" s="54">
        <f t="shared" si="8"/>
        <v>0.23056994818652851</v>
      </c>
      <c r="P21" s="158" t="s">
        <v>275</v>
      </c>
      <c r="Q21" s="165">
        <f>(I21-2.68)/10*2+I21</f>
        <v>4.8040000000000003</v>
      </c>
      <c r="R21" s="70">
        <f t="shared" si="2"/>
        <v>-14.496</v>
      </c>
    </row>
    <row r="22" spans="1:18" ht="45">
      <c r="A22" s="20" t="s">
        <v>171</v>
      </c>
      <c r="B22" s="107">
        <v>120.4</v>
      </c>
      <c r="C22" s="72">
        <f>ROUND('PU Wise OWE'!$M$128/10000,2)</f>
        <v>6.15</v>
      </c>
      <c r="D22" s="68">
        <f t="shared" si="3"/>
        <v>1.5809768637532133E-2</v>
      </c>
      <c r="E22" s="21"/>
      <c r="F22" s="22">
        <f>ROUND('PU Wise OWE'!$M$126/10000,2)</f>
        <v>36.68</v>
      </c>
      <c r="G22" s="24">
        <f t="shared" si="4"/>
        <v>1.6384728432506799E-2</v>
      </c>
      <c r="H22" s="23">
        <f>ROUND('PU Wise OWE'!$M$127/10000,2)</f>
        <v>6.97</v>
      </c>
      <c r="I22" s="23">
        <f>ROUND('PU Wise OWE'!$M$129/10000,2)</f>
        <v>5.88</v>
      </c>
      <c r="J22" s="24">
        <f t="shared" si="5"/>
        <v>1.2538917558749521E-2</v>
      </c>
      <c r="K22" s="22">
        <f t="shared" si="6"/>
        <v>1.0899999999999999</v>
      </c>
      <c r="L22" s="24">
        <f t="shared" si="7"/>
        <v>0.18537414965986393</v>
      </c>
      <c r="M22" s="22">
        <f t="shared" si="0"/>
        <v>-0.27000000000000046</v>
      </c>
      <c r="N22" s="54">
        <f t="shared" si="1"/>
        <v>-4.3902439024390318E-2</v>
      </c>
      <c r="O22" s="54">
        <f t="shared" si="8"/>
        <v>0.16030534351145037</v>
      </c>
      <c r="P22" s="158" t="s">
        <v>261</v>
      </c>
      <c r="Q22" s="165">
        <f>(I22/10)*12</f>
        <v>7.0559999999999992</v>
      </c>
      <c r="R22" s="70">
        <f t="shared" si="2"/>
        <v>-29.624000000000002</v>
      </c>
    </row>
    <row r="23" spans="1:18" ht="60">
      <c r="A23" s="58" t="s">
        <v>150</v>
      </c>
      <c r="B23" s="108">
        <v>88.73</v>
      </c>
      <c r="C23" s="72">
        <f>ROUND('PU Wise OWE'!$P$128/10000,2)</f>
        <v>10.93</v>
      </c>
      <c r="D23" s="68">
        <f t="shared" si="3"/>
        <v>2.8097686375321337E-2</v>
      </c>
      <c r="E23" s="21"/>
      <c r="F23" s="22">
        <f>ROUND('PU Wise OWE'!$P$126/10000,2)</f>
        <v>29.51</v>
      </c>
      <c r="G23" s="24">
        <f t="shared" si="4"/>
        <v>1.318193391611984E-2</v>
      </c>
      <c r="H23" s="23">
        <f>ROUND('PU Wise OWE'!$P$127/10000,2)</f>
        <v>5.61</v>
      </c>
      <c r="I23" s="23">
        <f>ROUND('PU Wise OWE'!$P$129/10000,2)</f>
        <v>5.78</v>
      </c>
      <c r="J23" s="24">
        <f t="shared" si="5"/>
        <v>1.2325670661491876E-2</v>
      </c>
      <c r="K23" s="22">
        <f t="shared" si="6"/>
        <v>-0.16999999999999993</v>
      </c>
      <c r="L23" s="24">
        <f t="shared" si="7"/>
        <v>-2.9411764705882339E-2</v>
      </c>
      <c r="M23" s="22">
        <f t="shared" si="0"/>
        <v>-5.1499999999999995</v>
      </c>
      <c r="N23" s="54">
        <f t="shared" si="1"/>
        <v>-0.4711802378774016</v>
      </c>
      <c r="O23" s="54">
        <f t="shared" si="8"/>
        <v>0.19586580820060995</v>
      </c>
      <c r="P23" s="158" t="s">
        <v>282</v>
      </c>
      <c r="Q23" s="165">
        <f>(I23-11.45)/10*2+I23</f>
        <v>4.6460000000000008</v>
      </c>
      <c r="R23" s="169">
        <f t="shared" si="2"/>
        <v>-24.864000000000001</v>
      </c>
    </row>
    <row r="24" spans="1:18" ht="34.15" customHeight="1">
      <c r="A24" s="58" t="s">
        <v>151</v>
      </c>
      <c r="B24" s="108">
        <v>81.78</v>
      </c>
      <c r="C24" s="72">
        <f>ROUND('PU Wise OWE'!$S$128/10000,2)</f>
        <v>5.17</v>
      </c>
      <c r="D24" s="68">
        <f t="shared" si="3"/>
        <v>1.3290488431876607E-2</v>
      </c>
      <c r="E24" s="21"/>
      <c r="F24" s="22">
        <f>ROUND('PU Wise OWE'!$S$126/10000,2)</f>
        <v>44.34</v>
      </c>
      <c r="G24" s="24">
        <f t="shared" si="4"/>
        <v>1.9806402908870001E-2</v>
      </c>
      <c r="H24" s="23">
        <f>ROUND('PU Wise OWE'!$S$127/10000,2)</f>
        <v>22.17</v>
      </c>
      <c r="I24" s="23">
        <f>ROUND('PU Wise OWE'!$S$129/10000,2)</f>
        <v>1.45</v>
      </c>
      <c r="J24" s="24">
        <f t="shared" si="5"/>
        <v>3.0920800102358509E-3</v>
      </c>
      <c r="K24" s="22">
        <f t="shared" si="6"/>
        <v>20.720000000000002</v>
      </c>
      <c r="L24" s="24">
        <f t="shared" si="7"/>
        <v>14.289655172413795</v>
      </c>
      <c r="M24" s="22">
        <f t="shared" si="0"/>
        <v>-3.7199999999999998</v>
      </c>
      <c r="N24" s="54">
        <f t="shared" si="1"/>
        <v>-0.71953578336557056</v>
      </c>
      <c r="O24" s="54">
        <f t="shared" si="8"/>
        <v>3.2701849345963006E-2</v>
      </c>
      <c r="P24" s="158" t="s">
        <v>262</v>
      </c>
      <c r="Q24" s="165">
        <f>F24</f>
        <v>44.34</v>
      </c>
      <c r="R24" s="70">
        <f t="shared" si="2"/>
        <v>0</v>
      </c>
    </row>
    <row r="25" spans="1:18" ht="28.9" customHeight="1">
      <c r="A25" s="58" t="s">
        <v>152</v>
      </c>
      <c r="B25" s="108">
        <v>90.5</v>
      </c>
      <c r="C25" s="72">
        <f>ROUND('PU Wise OWE'!$T$128/10000,2)</f>
        <v>13.35</v>
      </c>
      <c r="D25" s="68">
        <f t="shared" si="3"/>
        <v>3.4318766066838043E-2</v>
      </c>
      <c r="E25" s="21"/>
      <c r="F25" s="22">
        <f>ROUND('PU Wise OWE'!$T$126/10000,2)</f>
        <v>22.73</v>
      </c>
      <c r="G25" s="24">
        <f t="shared" si="4"/>
        <v>1.0153349980122127E-2</v>
      </c>
      <c r="H25" s="22">
        <f>ROUND('PU Wise OWE'!$T$127/10000,2)</f>
        <v>4.32</v>
      </c>
      <c r="I25" s="23">
        <f>ROUND('PU Wise OWE'!$T$129/10000,2)</f>
        <v>23.18</v>
      </c>
      <c r="J25" s="24">
        <f t="shared" si="5"/>
        <v>4.943063078432209E-2</v>
      </c>
      <c r="K25" s="22">
        <f t="shared" si="6"/>
        <v>-18.86</v>
      </c>
      <c r="L25" s="24">
        <f t="shared" si="7"/>
        <v>-0.81363244176013805</v>
      </c>
      <c r="M25" s="22">
        <f t="shared" si="0"/>
        <v>9.83</v>
      </c>
      <c r="N25" s="54">
        <f t="shared" si="1"/>
        <v>0.73632958801498127</v>
      </c>
      <c r="O25" s="54">
        <f t="shared" si="8"/>
        <v>1.0197976242850857</v>
      </c>
      <c r="P25" s="158" t="s">
        <v>276</v>
      </c>
      <c r="Q25" s="165">
        <f>(I25-4)/10*2+I25</f>
        <v>27.015999999999998</v>
      </c>
      <c r="R25" s="70">
        <f t="shared" si="2"/>
        <v>4.2859999999999978</v>
      </c>
    </row>
    <row r="26" spans="1:18" ht="42.6" customHeight="1">
      <c r="A26" s="58" t="s">
        <v>170</v>
      </c>
      <c r="B26" s="108">
        <v>41.07</v>
      </c>
      <c r="C26" s="72">
        <f>ROUND('PU Wise OWE'!$V$128/10000,2)</f>
        <v>0.43</v>
      </c>
      <c r="D26" s="68">
        <f t="shared" si="3"/>
        <v>1.1053984575835475E-3</v>
      </c>
      <c r="E26" s="22"/>
      <c r="F26" s="22">
        <f>ROUND('PU Wise OWE'!$V$126/10000,2)</f>
        <v>3.83</v>
      </c>
      <c r="G26" s="24">
        <f t="shared" si="4"/>
        <v>1.7108372381815988E-3</v>
      </c>
      <c r="H26" s="22">
        <f>ROUND('PU Wise OWE'!$V$127/10000,2)</f>
        <v>0.73</v>
      </c>
      <c r="I26" s="23">
        <f>ROUND('PU Wise OWE'!$V$129/10000,2)</f>
        <v>1</v>
      </c>
      <c r="J26" s="24">
        <f t="shared" si="5"/>
        <v>2.1324689725764488E-3</v>
      </c>
      <c r="K26" s="22">
        <f t="shared" si="6"/>
        <v>-0.27</v>
      </c>
      <c r="L26" s="24">
        <f t="shared" si="7"/>
        <v>-0.27</v>
      </c>
      <c r="M26" s="22">
        <f t="shared" si="0"/>
        <v>0.57000000000000006</v>
      </c>
      <c r="N26" s="54">
        <f t="shared" si="1"/>
        <v>1.3255813953488373</v>
      </c>
      <c r="O26" s="54">
        <f t="shared" si="8"/>
        <v>0.2610966057441253</v>
      </c>
      <c r="P26" s="158" t="s">
        <v>279</v>
      </c>
      <c r="Q26" s="165">
        <f>(I26-3.4)/10*2+I26</f>
        <v>0.52</v>
      </c>
      <c r="R26" s="70">
        <f t="shared" si="2"/>
        <v>-3.31</v>
      </c>
    </row>
    <row r="27" spans="1:18" ht="60" customHeight="1">
      <c r="A27" s="58" t="s">
        <v>169</v>
      </c>
      <c r="B27" s="108">
        <v>169.78</v>
      </c>
      <c r="C27" s="72">
        <f>ROUND('PU Wise OWE'!$AC$128/10000,2)</f>
        <v>1.1000000000000001</v>
      </c>
      <c r="D27" s="68">
        <f t="shared" si="3"/>
        <v>2.8277634961439589E-3</v>
      </c>
      <c r="E27" s="22"/>
      <c r="F27" s="22">
        <f>ROUND('PU Wise OWE'!$AC$126/10000,2)</f>
        <v>10.37</v>
      </c>
      <c r="G27" s="24">
        <f t="shared" si="4"/>
        <v>4.6322146631705427E-3</v>
      </c>
      <c r="H27" s="23">
        <f>ROUND('PU Wise OWE'!$AC$127/10000,2)</f>
        <v>1.97</v>
      </c>
      <c r="I27" s="23">
        <f>ROUND('PU Wise OWE'!$AC$129/10000,2)</f>
        <v>4.09</v>
      </c>
      <c r="J27" s="24">
        <f t="shared" si="5"/>
        <v>8.7217980978376766E-3</v>
      </c>
      <c r="K27" s="22">
        <f t="shared" si="6"/>
        <v>-2.12</v>
      </c>
      <c r="L27" s="24">
        <f t="shared" si="7"/>
        <v>-0.51833740831295849</v>
      </c>
      <c r="M27" s="22">
        <f t="shared" si="0"/>
        <v>2.9899999999999998</v>
      </c>
      <c r="N27" s="54">
        <f t="shared" si="1"/>
        <v>2.7181818181818178</v>
      </c>
      <c r="O27" s="54">
        <f t="shared" si="8"/>
        <v>0.39440694310511093</v>
      </c>
      <c r="P27" s="158" t="s">
        <v>278</v>
      </c>
      <c r="Q27" s="165">
        <f>(I27-9.35)/10*2+I27</f>
        <v>3.0379999999999998</v>
      </c>
      <c r="R27" s="70">
        <f t="shared" si="2"/>
        <v>-7.331999999999999</v>
      </c>
    </row>
    <row r="28" spans="1:18">
      <c r="A28" s="25" t="s">
        <v>141</v>
      </c>
      <c r="B28" s="26">
        <f>SUM(B13:B27)</f>
        <v>4551.0499999999993</v>
      </c>
      <c r="C28" s="76">
        <f>SUM(C13:C27)</f>
        <v>269.18</v>
      </c>
      <c r="D28" s="56">
        <f>SUM(D13:D27)</f>
        <v>0.69197943444730081</v>
      </c>
      <c r="E28" s="26"/>
      <c r="F28" s="26">
        <f>F5</f>
        <v>1465.83</v>
      </c>
      <c r="G28" s="56">
        <f>SUM(G13:G27)</f>
        <v>0.65029682802735556</v>
      </c>
      <c r="H28" s="26">
        <f>SUM(H13:H27)</f>
        <v>290.36000000000007</v>
      </c>
      <c r="I28" s="26">
        <f>SUM(I13:I27)</f>
        <v>283.37999999999994</v>
      </c>
      <c r="J28" s="56">
        <f t="shared" si="5"/>
        <v>0.60429905744871404</v>
      </c>
      <c r="K28" s="26">
        <f t="shared" si="6"/>
        <v>6.9800000000001319</v>
      </c>
      <c r="L28" s="56">
        <f t="shared" si="7"/>
        <v>2.4631237207989744E-2</v>
      </c>
      <c r="M28" s="26">
        <f t="shared" si="0"/>
        <v>14.199999999999932</v>
      </c>
      <c r="N28" s="57">
        <f t="shared" si="1"/>
        <v>5.2752804814621933E-2</v>
      </c>
      <c r="Q28" s="76">
        <f>SUM(Q13:Q27)</f>
        <v>374.04599999999999</v>
      </c>
      <c r="R28" s="76">
        <f>SUM(R13:R27)</f>
        <v>-1081.7539999999999</v>
      </c>
    </row>
    <row r="29" spans="1:18">
      <c r="I29" s="70"/>
      <c r="J29" s="70"/>
      <c r="K29" s="70"/>
      <c r="L29" s="70"/>
      <c r="Q29" s="166"/>
    </row>
    <row r="30" spans="1:18">
      <c r="Q30" s="166"/>
    </row>
    <row r="31" spans="1:18">
      <c r="A31" s="77" t="s">
        <v>172</v>
      </c>
      <c r="B31" s="77"/>
      <c r="C31" s="78"/>
      <c r="D31" s="79"/>
      <c r="M31" s="155" t="s">
        <v>142</v>
      </c>
      <c r="Q31" s="166"/>
    </row>
    <row r="32" spans="1:18" ht="15" customHeight="1">
      <c r="A32" s="292"/>
      <c r="B32" s="316" t="s">
        <v>288</v>
      </c>
      <c r="C32" s="321" t="str">
        <f>'PU Wise OWE'!$B$7</f>
        <v>Actuals upto April-23</v>
      </c>
      <c r="D32" s="316" t="s">
        <v>165</v>
      </c>
      <c r="E32" s="316"/>
      <c r="F32" s="341" t="str">
        <f>'PU Wise OWE'!$B$5</f>
        <v xml:space="preserve">VOA 2024-25 </v>
      </c>
      <c r="G32" s="316" t="s">
        <v>295</v>
      </c>
      <c r="H32" s="316" t="s">
        <v>302</v>
      </c>
      <c r="I32" s="321" t="str">
        <f>'PU Wise OWE'!B8</f>
        <v>Actuals upto April-24</v>
      </c>
      <c r="J32" s="316" t="s">
        <v>197</v>
      </c>
      <c r="K32" s="289" t="s">
        <v>198</v>
      </c>
      <c r="L32" s="289"/>
      <c r="M32" s="289" t="s">
        <v>139</v>
      </c>
      <c r="N32" s="289"/>
      <c r="O32" s="292" t="s">
        <v>300</v>
      </c>
      <c r="P32" s="351" t="s">
        <v>259</v>
      </c>
      <c r="Q32" s="167"/>
    </row>
    <row r="33" spans="1:18" ht="17.25" customHeight="1">
      <c r="A33" s="292"/>
      <c r="B33" s="317"/>
      <c r="C33" s="317"/>
      <c r="D33" s="317"/>
      <c r="E33" s="317"/>
      <c r="F33" s="342"/>
      <c r="G33" s="317"/>
      <c r="H33" s="317"/>
      <c r="I33" s="317"/>
      <c r="J33" s="317"/>
      <c r="K33" s="81" t="s">
        <v>137</v>
      </c>
      <c r="L33" s="82" t="s">
        <v>138</v>
      </c>
      <c r="M33" s="81" t="s">
        <v>137</v>
      </c>
      <c r="N33" s="82" t="s">
        <v>138</v>
      </c>
      <c r="O33" s="292"/>
      <c r="P33" s="351"/>
      <c r="Q33" s="167"/>
    </row>
    <row r="34" spans="1:18" ht="15" customHeight="1">
      <c r="A34" s="86" t="s">
        <v>173</v>
      </c>
      <c r="B34" s="109">
        <v>10.44</v>
      </c>
      <c r="C34" s="72">
        <f>ROUND(('PU Wise OWE'!$AE$128+'PU Wise OWE'!$AF$128)/10000,2)</f>
        <v>0.16</v>
      </c>
      <c r="D34" s="87">
        <f>C34/$C$7</f>
        <v>4.1131105398457585E-4</v>
      </c>
      <c r="E34" s="21"/>
      <c r="F34" s="22">
        <f>ROUND(('PU Wise OWE'!$AE$126+'PU Wise OWE'!$AF$126)/10000,2)</f>
        <v>0.84</v>
      </c>
      <c r="G34" s="24">
        <f>F34/$F$7</f>
        <v>3.7522278853069005E-4</v>
      </c>
      <c r="H34" s="23">
        <f>ROUND(('PU Wise OWE'!$AE$127+'PU Wise OWE'!$AF$127)/10000,2)</f>
        <v>0.2</v>
      </c>
      <c r="I34" s="23">
        <f>ROUND(('PU Wise OWE'!$AE$129+'PU Wise OWE'!$AF$129)/10000,2)</f>
        <v>0.15</v>
      </c>
      <c r="J34" s="24">
        <f>I34/$I$7</f>
        <v>3.1987034588646735E-4</v>
      </c>
      <c r="K34" s="22">
        <f>H34-I34</f>
        <v>5.0000000000000017E-2</v>
      </c>
      <c r="L34" s="24">
        <f>K34/I34</f>
        <v>0.33333333333333348</v>
      </c>
      <c r="M34" s="22">
        <f>I34-C34</f>
        <v>-1.0000000000000009E-2</v>
      </c>
      <c r="N34" s="54">
        <f>M34/C34</f>
        <v>-6.2500000000000056E-2</v>
      </c>
      <c r="O34" s="54">
        <f>I34/F34</f>
        <v>0.17857142857142858</v>
      </c>
      <c r="P34" s="354" t="s">
        <v>270</v>
      </c>
      <c r="Q34" s="165">
        <f>(I34/10)*12</f>
        <v>0.18</v>
      </c>
      <c r="R34" s="70">
        <f>Q34-F34</f>
        <v>-0.65999999999999992</v>
      </c>
    </row>
    <row r="35" spans="1:18" ht="16.5" customHeight="1">
      <c r="A35" s="86" t="s">
        <v>174</v>
      </c>
      <c r="B35" s="109">
        <v>21.76</v>
      </c>
      <c r="C35" s="72">
        <f>ROUND('PU Wise OWE'!$AG$128/10000,2)</f>
        <v>0.62</v>
      </c>
      <c r="D35" s="87">
        <f>C35/$C$7</f>
        <v>1.5938303341902313E-3</v>
      </c>
      <c r="E35" s="21"/>
      <c r="F35" s="22">
        <f>ROUND('PU Wise OWE'!$AG$126/10000,2)</f>
        <v>2.58</v>
      </c>
      <c r="G35" s="24">
        <f>F35/$F$7</f>
        <v>1.1524699933442625E-3</v>
      </c>
      <c r="H35" s="23">
        <f>ROUND('PU Wise OWE'!$AG$127/10000,2)</f>
        <v>0.62</v>
      </c>
      <c r="I35" s="23">
        <f>ROUND('PU Wise OWE'!$AG$129/10000,2)</f>
        <v>0.95</v>
      </c>
      <c r="J35" s="24">
        <f>I35/$I$7</f>
        <v>2.0258455239476267E-3</v>
      </c>
      <c r="K35" s="22">
        <f>H35-I35</f>
        <v>-0.32999999999999996</v>
      </c>
      <c r="L35" s="24">
        <f>K35/I35</f>
        <v>-0.34736842105263155</v>
      </c>
      <c r="M35" s="22">
        <f>I35-C35</f>
        <v>0.32999999999999996</v>
      </c>
      <c r="N35" s="54">
        <f>M35/C35</f>
        <v>0.532258064516129</v>
      </c>
      <c r="O35" s="54">
        <f>I35/F35</f>
        <v>0.36821705426356588</v>
      </c>
      <c r="P35" s="355"/>
      <c r="Q35" s="165">
        <f>(I35/10)*12+6</f>
        <v>7.1400000000000006</v>
      </c>
      <c r="R35" s="169">
        <f>Q35-F35</f>
        <v>4.5600000000000005</v>
      </c>
    </row>
    <row r="36" spans="1:18" ht="15.75" customHeight="1">
      <c r="A36" s="86" t="s">
        <v>175</v>
      </c>
      <c r="B36" s="109">
        <v>2.4700000000000002</v>
      </c>
      <c r="C36" s="72">
        <f>ROUND('PU Wise OWE'!$AJ$128/10000,2)</f>
        <v>0.06</v>
      </c>
      <c r="D36" s="87">
        <f>C36/$C$7</f>
        <v>1.5424164524421594E-4</v>
      </c>
      <c r="E36" s="21"/>
      <c r="F36" s="22">
        <f>ROUND('PU Wise OWE'!$AJ$126/10000,2)</f>
        <v>1.1000000000000001</v>
      </c>
      <c r="G36" s="24">
        <f>F36/$F$7</f>
        <v>4.9136317545685605E-4</v>
      </c>
      <c r="H36" s="23">
        <f>ROUND('PU Wise OWE'!$AJ$127/10000,2)</f>
        <v>0.26</v>
      </c>
      <c r="I36" s="23">
        <f>ROUND('PU Wise OWE'!$AJ$129/10000,2)</f>
        <v>0.22</v>
      </c>
      <c r="J36" s="24">
        <f>I36/$I$7</f>
        <v>4.6914317396681881E-4</v>
      </c>
      <c r="K36" s="22">
        <f>H36-I36</f>
        <v>4.0000000000000008E-2</v>
      </c>
      <c r="L36" s="24">
        <f>K36/I36</f>
        <v>0.18181818181818185</v>
      </c>
      <c r="M36" s="22">
        <f>I36-C36</f>
        <v>0.16</v>
      </c>
      <c r="N36" s="54">
        <f>M36/C36</f>
        <v>2.666666666666667</v>
      </c>
      <c r="O36" s="54">
        <f>I36/F36</f>
        <v>0.19999999999999998</v>
      </c>
      <c r="P36" s="355"/>
      <c r="Q36" s="165">
        <f>(I36/10)*12</f>
        <v>0.26400000000000001</v>
      </c>
      <c r="R36" s="70">
        <f>Q36-F36</f>
        <v>-0.83600000000000008</v>
      </c>
    </row>
    <row r="37" spans="1:18">
      <c r="A37" s="25" t="s">
        <v>141</v>
      </c>
      <c r="B37" s="26">
        <v>34.619999999999997</v>
      </c>
      <c r="C37" s="76">
        <f>SUM(C34:C36)</f>
        <v>0.84000000000000008</v>
      </c>
      <c r="D37" s="88">
        <f>C37/$C$7</f>
        <v>2.1593830334190232E-3</v>
      </c>
      <c r="E37" s="26"/>
      <c r="F37" s="76">
        <f>SUM(F34:F36)</f>
        <v>4.5199999999999996</v>
      </c>
      <c r="G37" s="56">
        <f>F37/$F$7</f>
        <v>2.0190559573318085E-3</v>
      </c>
      <c r="H37" s="76">
        <f>SUM(H34:H36)</f>
        <v>1.08</v>
      </c>
      <c r="I37" s="76">
        <f>SUM(I34:I36)</f>
        <v>1.3199999999999998</v>
      </c>
      <c r="J37" s="56">
        <f>I37/$I$7</f>
        <v>2.8148590438009124E-3</v>
      </c>
      <c r="K37" s="26">
        <f>H37-I37</f>
        <v>-0.23999999999999977</v>
      </c>
      <c r="L37" s="56">
        <f>K37/I37</f>
        <v>-0.18181818181818166</v>
      </c>
      <c r="M37" s="26">
        <f>I37-C37</f>
        <v>0.47999999999999976</v>
      </c>
      <c r="N37" s="57">
        <f>M37/C37</f>
        <v>0.57142857142857106</v>
      </c>
      <c r="O37" s="54">
        <f>I37/F37</f>
        <v>0.29203539823008851</v>
      </c>
      <c r="P37" s="356"/>
      <c r="Q37" s="76">
        <f>SUM(Q34:Q36)</f>
        <v>7.5840000000000005</v>
      </c>
      <c r="R37" s="76">
        <f>SUM(R34:R36)</f>
        <v>3.0640000000000001</v>
      </c>
    </row>
    <row r="38" spans="1:18">
      <c r="Q38" s="166"/>
    </row>
    <row r="39" spans="1:18" ht="15.75" thickBot="1">
      <c r="A39" s="84"/>
      <c r="B39" s="84"/>
      <c r="C39" s="85"/>
      <c r="D39" s="84"/>
      <c r="M39" s="155" t="s">
        <v>142</v>
      </c>
      <c r="Q39" s="166"/>
    </row>
    <row r="40" spans="1:18" ht="15" customHeight="1">
      <c r="A40" s="292" t="s">
        <v>156</v>
      </c>
      <c r="B40" s="316" t="s">
        <v>288</v>
      </c>
      <c r="C40" s="321" t="str">
        <f>'PU Wise OWE'!$B$7</f>
        <v>Actuals upto April-23</v>
      </c>
      <c r="D40" s="316" t="s">
        <v>165</v>
      </c>
      <c r="E40" s="316"/>
      <c r="F40" s="341" t="str">
        <f>'PU Wise OWE'!$B$5</f>
        <v xml:space="preserve">VOA 2024-25 </v>
      </c>
      <c r="G40" s="316" t="s">
        <v>295</v>
      </c>
      <c r="H40" s="316" t="s">
        <v>302</v>
      </c>
      <c r="I40" s="321" t="str">
        <f>'PU Wise OWE'!B8</f>
        <v>Actuals upto April-24</v>
      </c>
      <c r="J40" s="316" t="s">
        <v>197</v>
      </c>
      <c r="K40" s="289" t="s">
        <v>198</v>
      </c>
      <c r="L40" s="289"/>
      <c r="M40" s="289" t="s">
        <v>139</v>
      </c>
      <c r="N40" s="289"/>
      <c r="O40" s="292" t="s">
        <v>300</v>
      </c>
      <c r="P40" s="352" t="s">
        <v>259</v>
      </c>
      <c r="Q40" s="167"/>
    </row>
    <row r="41" spans="1:18" ht="30">
      <c r="A41" s="292"/>
      <c r="B41" s="317"/>
      <c r="C41" s="317"/>
      <c r="D41" s="317"/>
      <c r="E41" s="317"/>
      <c r="F41" s="342"/>
      <c r="G41" s="317"/>
      <c r="H41" s="317"/>
      <c r="I41" s="317"/>
      <c r="J41" s="317"/>
      <c r="K41" s="81" t="s">
        <v>137</v>
      </c>
      <c r="L41" s="82" t="s">
        <v>138</v>
      </c>
      <c r="M41" s="81" t="s">
        <v>137</v>
      </c>
      <c r="N41" s="82" t="s">
        <v>138</v>
      </c>
      <c r="O41" s="292"/>
      <c r="P41" s="353"/>
      <c r="Q41" s="167"/>
    </row>
    <row r="42" spans="1:18" ht="15.75">
      <c r="A42" s="27" t="s">
        <v>157</v>
      </c>
      <c r="B42" s="106">
        <v>273.47000000000003</v>
      </c>
      <c r="C42" s="72">
        <f>SUM(C43:C47)</f>
        <v>4.57</v>
      </c>
      <c r="D42" s="87">
        <f t="shared" ref="D42:D49" si="9">C42/$C$7</f>
        <v>1.1748071979434447E-2</v>
      </c>
      <c r="E42" s="99"/>
      <c r="F42" s="21">
        <f>SUM(F43:F47)</f>
        <v>12.29</v>
      </c>
      <c r="G42" s="24">
        <f t="shared" ref="G42:G49" si="10">F42/$F$7</f>
        <v>5.4898667512406915E-3</v>
      </c>
      <c r="H42" s="21">
        <f>SUM(H43:H47)</f>
        <v>2.95</v>
      </c>
      <c r="I42" s="21">
        <f>SUM(I43:I47)</f>
        <v>2.36</v>
      </c>
      <c r="J42" s="24">
        <f t="shared" ref="J42:J49" si="11">I42/$I$7</f>
        <v>5.0326267752804198E-3</v>
      </c>
      <c r="K42" s="22">
        <f>H42-I42</f>
        <v>0.5900000000000003</v>
      </c>
      <c r="L42" s="24">
        <f>K42/I42</f>
        <v>0.25000000000000017</v>
      </c>
      <c r="M42" s="22">
        <f t="shared" ref="M42:M49" si="12">I42-C42</f>
        <v>-2.2100000000000004</v>
      </c>
      <c r="N42" s="54">
        <f t="shared" ref="N42:N49" si="13">M42/C42</f>
        <v>-0.48358862144420139</v>
      </c>
      <c r="O42" s="54">
        <f t="shared" ref="O42:O49" si="14">I42/F42</f>
        <v>0.19202603742880392</v>
      </c>
      <c r="P42" s="159"/>
      <c r="Q42" s="165">
        <v>266.16000000000003</v>
      </c>
      <c r="R42" s="70">
        <f t="shared" ref="R42:R48" si="15">Q42-F42</f>
        <v>253.87000000000003</v>
      </c>
    </row>
    <row r="43" spans="1:18" ht="15.75">
      <c r="A43" s="59" t="s">
        <v>153</v>
      </c>
      <c r="B43" s="21">
        <v>19.690000000000001</v>
      </c>
      <c r="C43" s="72">
        <f>ROUND('PU Wise OWE'!$AK$84/10000,2)</f>
        <v>0.02</v>
      </c>
      <c r="D43" s="87">
        <f t="shared" si="9"/>
        <v>5.1413881748071981E-5</v>
      </c>
      <c r="E43" s="99"/>
      <c r="F43" s="21">
        <f>ROUND('PU Wise OWE'!$AK$82/10000,2)</f>
        <v>0.02</v>
      </c>
      <c r="G43" s="24">
        <f t="shared" si="10"/>
        <v>8.9338759173973829E-6</v>
      </c>
      <c r="H43" s="21">
        <f>ROUND('PU Wise OWE'!$AK$83/10000,2)</f>
        <v>0</v>
      </c>
      <c r="I43" s="21">
        <f>ROUND('PU Wise OWE'!$AK$85/10000,2)</f>
        <v>0.03</v>
      </c>
      <c r="J43" s="24">
        <f t="shared" si="11"/>
        <v>6.3974069177293472E-5</v>
      </c>
      <c r="K43" s="22">
        <f t="shared" ref="K43:K49" si="16">H43-I43</f>
        <v>-0.03</v>
      </c>
      <c r="L43" s="24">
        <f t="shared" ref="L43:L49" si="17">K43/I43</f>
        <v>-1</v>
      </c>
      <c r="M43" s="22">
        <f t="shared" si="12"/>
        <v>9.9999999999999985E-3</v>
      </c>
      <c r="N43" s="54">
        <f t="shared" si="13"/>
        <v>0.49999999999999989</v>
      </c>
      <c r="O43" s="54">
        <f t="shared" si="14"/>
        <v>1.5</v>
      </c>
      <c r="P43" s="159"/>
      <c r="Q43" s="165">
        <f>(I43/10)*12</f>
        <v>3.6000000000000004E-2</v>
      </c>
      <c r="R43" s="70">
        <f t="shared" si="15"/>
        <v>1.6000000000000004E-2</v>
      </c>
    </row>
    <row r="44" spans="1:18" ht="15.75">
      <c r="A44" s="60" t="s">
        <v>160</v>
      </c>
      <c r="B44" s="110">
        <v>114.4</v>
      </c>
      <c r="C44" s="72">
        <f>ROUND('PU Wise OWE'!$AR$84/10000,2)</f>
        <v>0.45</v>
      </c>
      <c r="D44" s="87">
        <f t="shared" si="9"/>
        <v>1.1568123393316196E-3</v>
      </c>
      <c r="E44" s="99"/>
      <c r="F44" s="21">
        <f>ROUND('PU Wise OWE'!$AR$82/10000,2)</f>
        <v>0.53</v>
      </c>
      <c r="G44" s="24">
        <f t="shared" si="10"/>
        <v>2.3674771181103065E-4</v>
      </c>
      <c r="H44" s="21">
        <f>ROUND('PU Wise OWE'!$AR$83/10000,2)</f>
        <v>0.13</v>
      </c>
      <c r="I44" s="21">
        <f>ROUND('PU Wise OWE'!$AR$85/10000,2)</f>
        <v>0.21</v>
      </c>
      <c r="J44" s="24">
        <f t="shared" si="11"/>
        <v>4.4781848424105427E-4</v>
      </c>
      <c r="K44" s="22">
        <f t="shared" si="16"/>
        <v>-7.9999999999999988E-2</v>
      </c>
      <c r="L44" s="24">
        <f t="shared" si="17"/>
        <v>-0.38095238095238093</v>
      </c>
      <c r="M44" s="22">
        <f t="shared" si="12"/>
        <v>-0.24000000000000002</v>
      </c>
      <c r="N44" s="54">
        <f t="shared" si="13"/>
        <v>-0.53333333333333333</v>
      </c>
      <c r="O44" s="54">
        <f t="shared" si="14"/>
        <v>0.39622641509433959</v>
      </c>
      <c r="P44" s="159"/>
      <c r="Q44" s="165">
        <f>(I44/10)*12</f>
        <v>0.252</v>
      </c>
      <c r="R44" s="70">
        <f t="shared" si="15"/>
        <v>-0.27800000000000002</v>
      </c>
    </row>
    <row r="45" spans="1:18" ht="15.75">
      <c r="A45" s="60" t="s">
        <v>161</v>
      </c>
      <c r="B45" s="110">
        <v>46.69</v>
      </c>
      <c r="C45" s="72">
        <f>ROUND('PU Wise OWE'!$AU$84/10000,2)</f>
        <v>0.4</v>
      </c>
      <c r="D45" s="87">
        <f t="shared" si="9"/>
        <v>1.0282776349614397E-3</v>
      </c>
      <c r="E45" s="99"/>
      <c r="F45" s="21">
        <f>ROUND('PU Wise OWE'!$AU$82/10000,2)</f>
        <v>0.13</v>
      </c>
      <c r="G45" s="24">
        <f t="shared" si="10"/>
        <v>5.8070193463082995E-5</v>
      </c>
      <c r="H45" s="21">
        <f>ROUND('PU Wise OWE'!$AU$83/10000,2)</f>
        <v>0.03</v>
      </c>
      <c r="I45" s="21">
        <f>ROUND('PU Wise OWE'!$AU$85/10000,2)</f>
        <v>0.15</v>
      </c>
      <c r="J45" s="24">
        <f t="shared" si="11"/>
        <v>3.1987034588646735E-4</v>
      </c>
      <c r="K45" s="22">
        <f t="shared" si="16"/>
        <v>-0.12</v>
      </c>
      <c r="L45" s="24">
        <f t="shared" si="17"/>
        <v>-0.8</v>
      </c>
      <c r="M45" s="22">
        <f t="shared" si="12"/>
        <v>-0.25</v>
      </c>
      <c r="N45" s="54">
        <f t="shared" si="13"/>
        <v>-0.625</v>
      </c>
      <c r="O45" s="54">
        <f t="shared" si="14"/>
        <v>1.1538461538461537</v>
      </c>
      <c r="P45" s="159"/>
      <c r="Q45" s="165">
        <f>(I45/10)*12</f>
        <v>0.18</v>
      </c>
      <c r="R45" s="70">
        <f t="shared" si="15"/>
        <v>4.9999999999999989E-2</v>
      </c>
    </row>
    <row r="46" spans="1:18" ht="15.75">
      <c r="A46" s="59" t="s">
        <v>158</v>
      </c>
      <c r="B46" s="21">
        <v>54.55</v>
      </c>
      <c r="C46" s="72">
        <f>ROUND('PU Wise OWE'!$AZ$84/10000,2)</f>
        <v>0</v>
      </c>
      <c r="D46" s="87">
        <f t="shared" si="9"/>
        <v>0</v>
      </c>
      <c r="E46" s="99"/>
      <c r="F46" s="21">
        <f>ROUND('PU Wise OWE'!$AZ$82/10000,2)</f>
        <v>0</v>
      </c>
      <c r="G46" s="24">
        <f t="shared" si="10"/>
        <v>0</v>
      </c>
      <c r="H46" s="21">
        <f>ROUND('PU Wise OWE'!$AZ$83/10000,2)</f>
        <v>0</v>
      </c>
      <c r="I46" s="21">
        <f>ROUND('PU Wise OWE'!$AZ$85/10000,2)</f>
        <v>0</v>
      </c>
      <c r="J46" s="24">
        <f t="shared" si="11"/>
        <v>0</v>
      </c>
      <c r="K46" s="22">
        <f t="shared" si="16"/>
        <v>0</v>
      </c>
      <c r="L46" s="24" t="e">
        <f t="shared" si="17"/>
        <v>#DIV/0!</v>
      </c>
      <c r="M46" s="22">
        <f t="shared" si="12"/>
        <v>0</v>
      </c>
      <c r="N46" s="54" t="e">
        <f t="shared" si="13"/>
        <v>#DIV/0!</v>
      </c>
      <c r="O46" s="54" t="e">
        <f t="shared" si="14"/>
        <v>#DIV/0!</v>
      </c>
      <c r="P46" s="159"/>
      <c r="Q46" s="165">
        <f>(I46/10)*12</f>
        <v>0</v>
      </c>
      <c r="R46" s="169">
        <f t="shared" si="15"/>
        <v>0</v>
      </c>
    </row>
    <row r="47" spans="1:18" ht="15.75">
      <c r="A47" s="60" t="s">
        <v>159</v>
      </c>
      <c r="B47" s="110">
        <v>38.14</v>
      </c>
      <c r="C47" s="72">
        <f>ROUND('PU Wise OWE'!$BA$84/10000,2)</f>
        <v>3.7</v>
      </c>
      <c r="D47" s="87">
        <f t="shared" si="9"/>
        <v>9.5115681233933162E-3</v>
      </c>
      <c r="E47" s="99"/>
      <c r="F47" s="21">
        <f>ROUND('PU Wise OWE'!$BA$82/10000,2)</f>
        <v>11.61</v>
      </c>
      <c r="G47" s="24">
        <f t="shared" si="10"/>
        <v>5.1861149700491802E-3</v>
      </c>
      <c r="H47" s="21">
        <f>ROUND('PU Wise OWE'!$BA$83/10000,2)</f>
        <v>2.79</v>
      </c>
      <c r="I47" s="21">
        <f>ROUND('PU Wise OWE'!$BA$85/10000,2)</f>
        <v>1.97</v>
      </c>
      <c r="J47" s="24">
        <f t="shared" si="11"/>
        <v>4.2009638759756048E-3</v>
      </c>
      <c r="K47" s="22">
        <f t="shared" si="16"/>
        <v>0.82000000000000006</v>
      </c>
      <c r="L47" s="24">
        <f t="shared" si="17"/>
        <v>0.41624365482233505</v>
      </c>
      <c r="M47" s="22">
        <f t="shared" si="12"/>
        <v>-1.7300000000000002</v>
      </c>
      <c r="N47" s="54">
        <f t="shared" si="13"/>
        <v>-0.46756756756756762</v>
      </c>
      <c r="O47" s="54">
        <f t="shared" si="14"/>
        <v>0.16968130921619295</v>
      </c>
      <c r="P47" s="159"/>
      <c r="Q47" s="165">
        <f>(I47/10)*12</f>
        <v>2.3639999999999999</v>
      </c>
      <c r="R47" s="70">
        <f t="shared" si="15"/>
        <v>-9.2459999999999987</v>
      </c>
    </row>
    <row r="48" spans="1:18" ht="15.75">
      <c r="A48" s="61" t="s">
        <v>162</v>
      </c>
      <c r="B48" s="105">
        <v>663.48</v>
      </c>
      <c r="C48" s="72">
        <f>ROUND('PU Wise OWE'!$AM$84/10000,2)-ROUND('PU Wise OWE'!$BJ$84/10000,2)</f>
        <v>61.72</v>
      </c>
      <c r="D48" s="87">
        <f t="shared" si="9"/>
        <v>0.15866323907455013</v>
      </c>
      <c r="E48" s="99"/>
      <c r="F48" s="21">
        <f>ROUND('PU Wise OWE'!$AM$82/10000,2)-ROUND('PU Wise OWE'!$BJ$82/10000,2)</f>
        <v>498.07000000000005</v>
      </c>
      <c r="G48" s="24">
        <f t="shared" si="10"/>
        <v>0.22248477890890575</v>
      </c>
      <c r="H48" s="21">
        <f>ROUND('PU Wise OWE'!$AM$83/10000,2)-ROUND('PU Wise OWE'!$BJ$83/10000,2)</f>
        <v>119.53999999999999</v>
      </c>
      <c r="I48" s="21">
        <f>ROUND('PU Wise OWE'!$AM$85/10000,2)-ROUND('PU Wise OWE'!$BJ$85/10000,2)</f>
        <v>88.34</v>
      </c>
      <c r="J48" s="24">
        <f t="shared" si="11"/>
        <v>0.18838230903740352</v>
      </c>
      <c r="K48" s="22">
        <f t="shared" si="16"/>
        <v>31.199999999999989</v>
      </c>
      <c r="L48" s="24">
        <f t="shared" si="17"/>
        <v>0.35318089200815017</v>
      </c>
      <c r="M48" s="22">
        <f t="shared" si="12"/>
        <v>26.620000000000005</v>
      </c>
      <c r="N48" s="54">
        <f t="shared" si="13"/>
        <v>0.431302657161374</v>
      </c>
      <c r="O48" s="54">
        <f t="shared" si="14"/>
        <v>0.17736462746200332</v>
      </c>
      <c r="P48" s="159"/>
      <c r="Q48" s="165">
        <v>670.28</v>
      </c>
      <c r="R48" s="70">
        <f t="shared" si="15"/>
        <v>172.20999999999992</v>
      </c>
    </row>
    <row r="49" spans="1:18" s="36" customFormat="1" ht="15.75" thickBot="1">
      <c r="A49" s="62" t="s">
        <v>122</v>
      </c>
      <c r="B49" s="76">
        <f>B42+B48</f>
        <v>936.95</v>
      </c>
      <c r="C49" s="76">
        <f>C42+C48</f>
        <v>66.289999999999992</v>
      </c>
      <c r="D49" s="88">
        <f t="shared" si="9"/>
        <v>0.17041131105398455</v>
      </c>
      <c r="E49" s="100"/>
      <c r="F49" s="26">
        <f>F42+F48</f>
        <v>510.36000000000007</v>
      </c>
      <c r="G49" s="56">
        <f t="shared" si="10"/>
        <v>0.22797464566014644</v>
      </c>
      <c r="H49" s="26">
        <f>H42+H48</f>
        <v>122.49</v>
      </c>
      <c r="I49" s="26">
        <f>I42+I48</f>
        <v>90.7</v>
      </c>
      <c r="J49" s="56">
        <f t="shared" si="11"/>
        <v>0.19341493581268393</v>
      </c>
      <c r="K49" s="26">
        <f t="shared" si="16"/>
        <v>31.789999999999992</v>
      </c>
      <c r="L49" s="56">
        <f t="shared" si="17"/>
        <v>0.35049614112458644</v>
      </c>
      <c r="M49" s="26">
        <f t="shared" si="12"/>
        <v>24.410000000000011</v>
      </c>
      <c r="N49" s="57">
        <f t="shared" si="13"/>
        <v>0.36823050233821109</v>
      </c>
      <c r="O49" s="54">
        <f t="shared" si="14"/>
        <v>0.17771768947409669</v>
      </c>
      <c r="P49" s="160"/>
      <c r="Q49" s="76">
        <f>Q42+Q48</f>
        <v>936.44</v>
      </c>
      <c r="R49" s="76">
        <f>R42+R48</f>
        <v>426.07999999999993</v>
      </c>
    </row>
    <row r="50" spans="1:18">
      <c r="Q50" s="166"/>
    </row>
    <row r="51" spans="1:18">
      <c r="A51" s="77" t="s">
        <v>176</v>
      </c>
      <c r="B51" s="77"/>
      <c r="Q51" s="166"/>
    </row>
    <row r="52" spans="1:18" ht="30" customHeight="1">
      <c r="A52" s="83" t="s">
        <v>177</v>
      </c>
      <c r="B52" s="111">
        <v>188.88</v>
      </c>
      <c r="C52" s="72">
        <f>ROUND('PU Wise OWE'!$AK$128/10000,2)-C43</f>
        <v>14.290000000000001</v>
      </c>
      <c r="D52" s="87">
        <f>C52/$C$7</f>
        <v>3.6735218508997435E-2</v>
      </c>
      <c r="E52" s="311"/>
      <c r="F52" s="22">
        <f>ROUND('PU Wise OWE'!$AK$126/10000,2)-F43</f>
        <v>51.489999999999995</v>
      </c>
      <c r="G52" s="24">
        <f>F52/$F$7</f>
        <v>2.300026354933956E-2</v>
      </c>
      <c r="H52" s="22">
        <f>ROUND('PU Wise OWE'!$AK$127/10000,2)-H43</f>
        <v>12.36</v>
      </c>
      <c r="I52" s="22">
        <f>ROUND('PU Wise OWE'!$AK$129/10000,2)-I43</f>
        <v>9.6900000000000013</v>
      </c>
      <c r="J52" s="24">
        <f>I52/$I$7</f>
        <v>2.0663624344265795E-2</v>
      </c>
      <c r="K52" s="22">
        <f>H52-I52</f>
        <v>2.6699999999999982</v>
      </c>
      <c r="L52" s="24">
        <f>K52/I52</f>
        <v>0.27554179566563447</v>
      </c>
      <c r="M52" s="22">
        <f>I52-C52</f>
        <v>-4.5999999999999996</v>
      </c>
      <c r="N52" s="54">
        <f>M52/C52</f>
        <v>-0.32190342897130858</v>
      </c>
      <c r="O52" s="54">
        <f>I52/F52</f>
        <v>0.18819188191881922</v>
      </c>
      <c r="P52" s="158" t="s">
        <v>263</v>
      </c>
      <c r="Q52" s="165">
        <f>(I52/10)*12</f>
        <v>11.628</v>
      </c>
      <c r="R52" s="169">
        <f>Q52-F52</f>
        <v>-39.861999999999995</v>
      </c>
    </row>
    <row r="53" spans="1:18" ht="15.75">
      <c r="A53" s="20" t="s">
        <v>154</v>
      </c>
      <c r="B53" s="107">
        <v>121.46</v>
      </c>
      <c r="C53" s="72">
        <f>ROUND('PU Wise OWE'!$AL$128/10000,2)</f>
        <v>6.19</v>
      </c>
      <c r="D53" s="87">
        <f>C53/$C$7</f>
        <v>1.5912596401028278E-2</v>
      </c>
      <c r="E53" s="312"/>
      <c r="F53" s="22">
        <f>ROUND('PU Wise OWE'!$AL$126/10000,2)</f>
        <v>29.49</v>
      </c>
      <c r="G53" s="24">
        <f>F53/$F$7</f>
        <v>1.3173000040202441E-2</v>
      </c>
      <c r="H53" s="23">
        <f>ROUND('PU Wise OWE'!$AL$127/10000,2)</f>
        <v>7.08</v>
      </c>
      <c r="I53" s="23">
        <f>ROUND('PU Wise OWE'!$AL$129/10000,2)</f>
        <v>10.53</v>
      </c>
      <c r="J53" s="24">
        <f>I53/$I$7</f>
        <v>2.2454898281230005E-2</v>
      </c>
      <c r="K53" s="22">
        <f>H53-I53</f>
        <v>-3.4499999999999993</v>
      </c>
      <c r="L53" s="24">
        <f>K53/I53</f>
        <v>-0.3276353276353276</v>
      </c>
      <c r="M53" s="22">
        <f>I53-C53</f>
        <v>4.339999999999999</v>
      </c>
      <c r="N53" s="54">
        <f>M53/C53</f>
        <v>0.70113085621970894</v>
      </c>
      <c r="O53" s="54">
        <f>I53/F53</f>
        <v>0.35707019328585959</v>
      </c>
      <c r="P53" s="157" t="s">
        <v>264</v>
      </c>
      <c r="Q53" s="165">
        <f>(I53/10)*12</f>
        <v>12.635999999999999</v>
      </c>
      <c r="R53" s="70">
        <f>Q53-F53</f>
        <v>-16.853999999999999</v>
      </c>
    </row>
    <row r="54" spans="1:18" s="36" customFormat="1">
      <c r="A54" s="25" t="s">
        <v>122</v>
      </c>
      <c r="B54" s="26">
        <f>SUM(B52:B53)</f>
        <v>310.33999999999997</v>
      </c>
      <c r="C54" s="76">
        <f>SUM(C52:C53)</f>
        <v>20.48</v>
      </c>
      <c r="D54" s="88">
        <f>C54/$C$7</f>
        <v>5.2647814910025709E-2</v>
      </c>
      <c r="E54" s="313"/>
      <c r="F54" s="76">
        <f>SUM(F52:F53)</f>
        <v>80.97999999999999</v>
      </c>
      <c r="G54" s="56">
        <f>F54/$F$7</f>
        <v>3.6173263589541996E-2</v>
      </c>
      <c r="H54" s="76">
        <f>SUM(H52:H53)</f>
        <v>19.439999999999998</v>
      </c>
      <c r="I54" s="76">
        <f>SUM(I52:I53)</f>
        <v>20.22</v>
      </c>
      <c r="J54" s="56">
        <f>I54/$I$7</f>
        <v>4.3118522625495793E-2</v>
      </c>
      <c r="K54" s="26">
        <f>H54-I54</f>
        <v>-0.78000000000000114</v>
      </c>
      <c r="L54" s="56">
        <f>K54/I54</f>
        <v>-3.8575667655786405E-2</v>
      </c>
      <c r="M54" s="26">
        <f>I54-C54</f>
        <v>-0.26000000000000156</v>
      </c>
      <c r="N54" s="104">
        <f>M54/C54</f>
        <v>-1.2695312500000076E-2</v>
      </c>
      <c r="O54" s="54">
        <f>I54/F54</f>
        <v>0.24969128179797481</v>
      </c>
      <c r="P54" s="156"/>
      <c r="Q54" s="76">
        <f>SUM(Q52:Q53)</f>
        <v>24.263999999999999</v>
      </c>
      <c r="R54" s="76">
        <f>SUM(R52:R53)</f>
        <v>-56.715999999999994</v>
      </c>
    </row>
    <row r="55" spans="1:18">
      <c r="Q55" s="166"/>
    </row>
    <row r="56" spans="1:18" s="36" customFormat="1" ht="38.450000000000003" customHeight="1">
      <c r="A56" s="80" t="s">
        <v>155</v>
      </c>
      <c r="B56" s="112">
        <v>348.19</v>
      </c>
      <c r="C56" s="73">
        <f>ROUND('PU Wise OWE'!$AO$128/10000,2)</f>
        <v>20.07</v>
      </c>
      <c r="D56" s="88">
        <f>C56/$C$7</f>
        <v>5.1593830334190231E-2</v>
      </c>
      <c r="E56" s="55"/>
      <c r="F56" s="26">
        <f>ROUND('PU Wise OWE'!$AO$126/10000,2)</f>
        <v>116.37</v>
      </c>
      <c r="G56" s="56">
        <f>F56/$F$7</f>
        <v>5.1981757025376676E-2</v>
      </c>
      <c r="H56" s="25">
        <f>ROUND('PU Wise OWE'!$AO$127/10000,2)</f>
        <v>27.93</v>
      </c>
      <c r="I56" s="25">
        <f>ROUND('PU Wise OWE'!$AO$129/10000,2)</f>
        <v>45.05</v>
      </c>
      <c r="J56" s="56">
        <f>I56/$I$7</f>
        <v>9.6067727214569021E-2</v>
      </c>
      <c r="K56" s="26">
        <f>H56-I56</f>
        <v>-17.119999999999997</v>
      </c>
      <c r="L56" s="56">
        <f>K56/I56</f>
        <v>-0.38002219755826855</v>
      </c>
      <c r="M56" s="26">
        <f>I56-C56</f>
        <v>24.979999999999997</v>
      </c>
      <c r="N56" s="57">
        <f>M56/C56</f>
        <v>1.2446437468858991</v>
      </c>
      <c r="O56" s="54">
        <f>I56/F56</f>
        <v>0.38712726647761447</v>
      </c>
      <c r="P56" s="158" t="s">
        <v>277</v>
      </c>
      <c r="Q56" s="165">
        <f>(I56-26.18)/10*2+I56</f>
        <v>48.823999999999998</v>
      </c>
      <c r="R56" s="169">
        <f>Q56-F56</f>
        <v>-67.546000000000006</v>
      </c>
    </row>
    <row r="57" spans="1:18" s="36" customFormat="1">
      <c r="A57" s="118"/>
      <c r="B57" s="119"/>
      <c r="C57" s="115"/>
      <c r="D57" s="116"/>
      <c r="E57" s="117"/>
      <c r="F57" s="93"/>
      <c r="G57" s="92"/>
      <c r="H57" s="92"/>
      <c r="I57" s="90"/>
      <c r="J57" s="92"/>
      <c r="K57" s="92"/>
      <c r="L57" s="92"/>
      <c r="M57" s="26"/>
      <c r="N57" s="57"/>
      <c r="O57" s="102"/>
      <c r="P57" s="161"/>
      <c r="Q57" s="168"/>
    </row>
    <row r="58" spans="1:18">
      <c r="B58" s="316" t="s">
        <v>288</v>
      </c>
      <c r="C58" s="321" t="str">
        <f>'PU Wise OWE'!$B$7</f>
        <v>Actuals upto April-23</v>
      </c>
      <c r="D58" s="316" t="s">
        <v>165</v>
      </c>
      <c r="E58" s="316"/>
      <c r="F58" s="341" t="str">
        <f>'PU Wise OWE'!$B$5</f>
        <v xml:space="preserve">VOA 2024-25 </v>
      </c>
      <c r="G58" s="316" t="s">
        <v>295</v>
      </c>
      <c r="H58" s="316" t="s">
        <v>302</v>
      </c>
      <c r="I58" s="321" t="str">
        <f>'PU Wise OWE'!B8</f>
        <v>Actuals upto April-24</v>
      </c>
      <c r="J58" s="316" t="s">
        <v>197</v>
      </c>
      <c r="K58" s="289" t="s">
        <v>198</v>
      </c>
      <c r="L58" s="289"/>
      <c r="M58" s="289" t="s">
        <v>139</v>
      </c>
      <c r="N58" s="289"/>
      <c r="O58" s="292" t="s">
        <v>300</v>
      </c>
      <c r="P58" s="351" t="s">
        <v>259</v>
      </c>
      <c r="Q58" s="167"/>
    </row>
    <row r="59" spans="1:18" ht="30">
      <c r="A59" s="77" t="s">
        <v>178</v>
      </c>
      <c r="B59" s="317"/>
      <c r="C59" s="317"/>
      <c r="D59" s="317"/>
      <c r="E59" s="317"/>
      <c r="F59" s="342"/>
      <c r="G59" s="317"/>
      <c r="H59" s="317"/>
      <c r="I59" s="317"/>
      <c r="J59" s="317"/>
      <c r="K59" s="81" t="s">
        <v>137</v>
      </c>
      <c r="L59" s="82" t="s">
        <v>138</v>
      </c>
      <c r="M59" s="81" t="s">
        <v>137</v>
      </c>
      <c r="N59" s="82" t="s">
        <v>138</v>
      </c>
      <c r="O59" s="292"/>
      <c r="P59" s="351"/>
      <c r="Q59" s="167"/>
    </row>
    <row r="60" spans="1:18" ht="15.75">
      <c r="A60" s="23" t="s">
        <v>179</v>
      </c>
      <c r="B60" s="22">
        <v>80.099999999999994</v>
      </c>
      <c r="C60" s="72">
        <f>ROUND('PU Wise OWE'!$AM$62/10000,2)</f>
        <v>1.99</v>
      </c>
      <c r="D60" s="87">
        <f>C60/$C$7</f>
        <v>5.1156812339331623E-3</v>
      </c>
      <c r="E60" s="308"/>
      <c r="F60" s="22">
        <f>ROUND('PU Wise OWE'!$AM$60/10000,2)</f>
        <v>30.49</v>
      </c>
      <c r="G60" s="24">
        <f>F60/$F$7</f>
        <v>1.3619693836072309E-2</v>
      </c>
      <c r="H60" s="23">
        <f>ROUND('PU Wise OWE'!$AM$61/10000,2)</f>
        <v>7.32</v>
      </c>
      <c r="I60" s="23">
        <f>ROUND('PU Wise OWE'!$AM$63/10000,2)</f>
        <v>3.16</v>
      </c>
      <c r="J60" s="96">
        <f>I60/$I$7</f>
        <v>6.7386019533415796E-3</v>
      </c>
      <c r="K60" s="22">
        <f>H60-I60</f>
        <v>4.16</v>
      </c>
      <c r="L60" s="24">
        <f>K60/I60</f>
        <v>1.3164556962025316</v>
      </c>
      <c r="M60" s="22">
        <f>I60-C60</f>
        <v>1.1700000000000002</v>
      </c>
      <c r="N60" s="54">
        <f>M60/C60</f>
        <v>0.58793969849246241</v>
      </c>
      <c r="O60" s="54">
        <f>I60/F60</f>
        <v>0.10364053788127256</v>
      </c>
      <c r="P60" s="158"/>
      <c r="Q60" s="165">
        <f>(I60/10)*12</f>
        <v>3.7919999999999998</v>
      </c>
      <c r="R60" s="70">
        <f>Q60-F60</f>
        <v>-26.698</v>
      </c>
    </row>
    <row r="61" spans="1:18" ht="46.15" customHeight="1">
      <c r="A61" s="23" t="s">
        <v>180</v>
      </c>
      <c r="B61" s="22">
        <v>21.26</v>
      </c>
      <c r="C61" s="72">
        <f>ROUND('PU Wise OWE'!$AM$95/10000,2)</f>
        <v>-0.72</v>
      </c>
      <c r="D61" s="87">
        <f>C61/$C$7</f>
        <v>-1.8508997429305912E-3</v>
      </c>
      <c r="E61" s="309"/>
      <c r="F61" s="22">
        <f>ROUND('PU Wise OWE'!$AM$93/10000,2)</f>
        <v>2.5299999999999998</v>
      </c>
      <c r="G61" s="24">
        <f>F61/$F$7</f>
        <v>1.1301353035507689E-3</v>
      </c>
      <c r="H61" s="23">
        <f>ROUND('PU Wise OWE'!$AM$94/10000,2)</f>
        <v>0.61</v>
      </c>
      <c r="I61" s="23">
        <f>ROUND('PU Wise OWE'!$AM$96/10000,2)</f>
        <v>0.18</v>
      </c>
      <c r="J61" s="96">
        <f>I61/$I$7</f>
        <v>3.8384441506376081E-4</v>
      </c>
      <c r="K61" s="22">
        <f>H61-I61</f>
        <v>0.43</v>
      </c>
      <c r="L61" s="24">
        <f>K61/I61</f>
        <v>2.3888888888888888</v>
      </c>
      <c r="M61" s="22">
        <f>I61-C61</f>
        <v>0.89999999999999991</v>
      </c>
      <c r="N61" s="54">
        <f>M61/C61</f>
        <v>-1.25</v>
      </c>
      <c r="O61" s="54">
        <f>I61/F61</f>
        <v>7.1146245059288543E-2</v>
      </c>
      <c r="P61" s="158" t="s">
        <v>268</v>
      </c>
      <c r="Q61" s="165">
        <f>(I61/10)*12</f>
        <v>0.21599999999999997</v>
      </c>
      <c r="R61" s="70">
        <f>Q61-F61</f>
        <v>-2.3140000000000001</v>
      </c>
    </row>
    <row r="62" spans="1:18" ht="43.15" customHeight="1">
      <c r="A62" s="23" t="s">
        <v>181</v>
      </c>
      <c r="B62" s="22">
        <v>9.89</v>
      </c>
      <c r="C62" s="72">
        <f>ROUND('PU Wise OWE'!$AN$18/10000,2)</f>
        <v>1.0900000000000001</v>
      </c>
      <c r="D62" s="87">
        <f>C62/$C$7</f>
        <v>2.8020565552699232E-3</v>
      </c>
      <c r="E62" s="309"/>
      <c r="F62" s="22">
        <f>ROUND('PU Wise OWE'!$AN$16/10000,2)</f>
        <v>7.43</v>
      </c>
      <c r="G62" s="24">
        <f>F62/$F$7</f>
        <v>3.3189349033131278E-3</v>
      </c>
      <c r="H62" s="23">
        <f>ROUND('PU Wise OWE'!$AN$17/10000,2)</f>
        <v>1.78</v>
      </c>
      <c r="I62" s="23">
        <f>ROUND('PU Wise OWE'!$AN$19/10000,2)</f>
        <v>1.76</v>
      </c>
      <c r="J62" s="96">
        <f>I62/$I$7</f>
        <v>3.7531453917345504E-3</v>
      </c>
      <c r="K62" s="22">
        <f>H62-I62</f>
        <v>2.0000000000000018E-2</v>
      </c>
      <c r="L62" s="24">
        <f>K62/I62</f>
        <v>1.1363636363636374E-2</v>
      </c>
      <c r="M62" s="22">
        <f>I62-C62</f>
        <v>0.66999999999999993</v>
      </c>
      <c r="N62" s="54">
        <f>M62/C62</f>
        <v>0.61467889908256867</v>
      </c>
      <c r="O62" s="54">
        <f>I62/F62</f>
        <v>0.23687752355316286</v>
      </c>
      <c r="P62" s="158" t="s">
        <v>265</v>
      </c>
      <c r="Q62" s="165">
        <f>(I62/10)*12</f>
        <v>2.1120000000000001</v>
      </c>
      <c r="R62" s="70">
        <f>Q62-F62</f>
        <v>-5.3179999999999996</v>
      </c>
    </row>
    <row r="63" spans="1:18" ht="15.75">
      <c r="A63" s="23" t="s">
        <v>182</v>
      </c>
      <c r="B63" s="22">
        <v>1.64</v>
      </c>
      <c r="C63" s="72">
        <f>ROUND('PU Wise OWE'!$AN$62/10000,2)</f>
        <v>0.15</v>
      </c>
      <c r="D63" s="87">
        <f>C63/$C$7</f>
        <v>3.8560411311053982E-4</v>
      </c>
      <c r="E63" s="309"/>
      <c r="F63" s="22">
        <f>ROUND('PU Wise OWE'!$AN$60/10000,2)</f>
        <v>9.91</v>
      </c>
      <c r="G63" s="24">
        <f>F63/$F$7</f>
        <v>4.4267355170704032E-3</v>
      </c>
      <c r="H63" s="23">
        <f>ROUND('PU Wise OWE'!$AN$61/10000,2)</f>
        <v>2.38</v>
      </c>
      <c r="I63" s="23">
        <f>ROUND('PU Wise OWE'!$AN$63/10000,2)</f>
        <v>0.7</v>
      </c>
      <c r="J63" s="96">
        <f>I63/$I$7</f>
        <v>1.4927282808035141E-3</v>
      </c>
      <c r="K63" s="22">
        <f>H63-I63</f>
        <v>1.68</v>
      </c>
      <c r="L63" s="24">
        <f>K63/I63</f>
        <v>2.4</v>
      </c>
      <c r="M63" s="22">
        <f>I63-C63</f>
        <v>0.54999999999999993</v>
      </c>
      <c r="N63" s="54">
        <f>M63/C63</f>
        <v>3.6666666666666665</v>
      </c>
      <c r="O63" s="54">
        <f>I63/F63</f>
        <v>7.0635721493440967E-2</v>
      </c>
      <c r="P63" s="157"/>
      <c r="Q63" s="165">
        <f>(I63/10)*12</f>
        <v>0.83999999999999986</v>
      </c>
      <c r="R63" s="70">
        <f>Q63-F63</f>
        <v>-9.07</v>
      </c>
    </row>
    <row r="64" spans="1:18" s="36" customFormat="1">
      <c r="A64" s="25" t="s">
        <v>122</v>
      </c>
      <c r="B64" s="26">
        <f>SUM(B60:B63)</f>
        <v>112.89</v>
      </c>
      <c r="C64" s="76">
        <f>SUM(C60:C63)</f>
        <v>2.5100000000000002</v>
      </c>
      <c r="D64" s="88">
        <f>C64/$C$7</f>
        <v>6.4524421593830338E-3</v>
      </c>
      <c r="E64" s="310"/>
      <c r="F64" s="26">
        <f>SUM(F60:F63)</f>
        <v>50.36</v>
      </c>
      <c r="G64" s="56">
        <f>F64/$F$7</f>
        <v>2.2495499560006609E-2</v>
      </c>
      <c r="H64" s="26">
        <f>SUM(H60:H63)</f>
        <v>12.09</v>
      </c>
      <c r="I64" s="26">
        <f>SUM(I60:I63)</f>
        <v>5.8000000000000007</v>
      </c>
      <c r="J64" s="56">
        <f>I64/$I$7</f>
        <v>1.2368320040943405E-2</v>
      </c>
      <c r="K64" s="26">
        <f>H64-I64</f>
        <v>6.2899999999999991</v>
      </c>
      <c r="L64" s="56">
        <f>K64/I64</f>
        <v>1.0844827586206893</v>
      </c>
      <c r="M64" s="26">
        <f>I64-C64</f>
        <v>3.2900000000000005</v>
      </c>
      <c r="N64" s="57">
        <f>M64/C64</f>
        <v>1.310756972111554</v>
      </c>
      <c r="O64" s="54">
        <f>I64/F64</f>
        <v>0.11517077045274028</v>
      </c>
      <c r="P64" s="156"/>
      <c r="Q64" s="76">
        <f>SUM(Q60:Q63)</f>
        <v>6.96</v>
      </c>
      <c r="R64" s="76">
        <f>SUM(R60:R63)</f>
        <v>-43.4</v>
      </c>
    </row>
    <row r="65" spans="1:18">
      <c r="Q65" s="166"/>
    </row>
    <row r="66" spans="1:18">
      <c r="A66" s="77" t="s">
        <v>183</v>
      </c>
      <c r="B66" s="77"/>
      <c r="Q66" s="166"/>
    </row>
    <row r="67" spans="1:18" ht="27.6" customHeight="1">
      <c r="A67" s="23" t="s">
        <v>184</v>
      </c>
      <c r="B67" s="22">
        <v>1117.51</v>
      </c>
      <c r="C67" s="72">
        <f>ROUND('PU Wise OWE'!$AP$73/10000,2)</f>
        <v>0</v>
      </c>
      <c r="D67" s="87">
        <f>C67/$C$7</f>
        <v>0</v>
      </c>
      <c r="E67" s="23"/>
      <c r="F67" s="22">
        <f>ROUND('PU Wise OWE'!$AP$71/10000,2)</f>
        <v>-0.05</v>
      </c>
      <c r="G67" s="24">
        <f>F67/$F$7</f>
        <v>-2.233468979349346E-5</v>
      </c>
      <c r="H67" s="23">
        <f>ROUND('PU Wise OWE'!$AP$72/10000,2)</f>
        <v>-0.03</v>
      </c>
      <c r="I67" s="23">
        <f>ROUND('PU Wise OWE'!$AP$74/10000,2)</f>
        <v>0</v>
      </c>
      <c r="J67" s="96">
        <f>I67/$I$7</f>
        <v>0</v>
      </c>
      <c r="K67" s="22">
        <f>H67-I67</f>
        <v>-0.03</v>
      </c>
      <c r="L67" s="24" t="e">
        <f>K67/I67</f>
        <v>#DIV/0!</v>
      </c>
      <c r="M67" s="22">
        <f>I67-C67</f>
        <v>0</v>
      </c>
      <c r="N67" s="54" t="e">
        <f>M67/C67</f>
        <v>#DIV/0!</v>
      </c>
      <c r="O67" s="54">
        <f>I67/F67</f>
        <v>0</v>
      </c>
      <c r="P67" s="158" t="s">
        <v>269</v>
      </c>
      <c r="Q67" s="165">
        <f>(I67-256.76-544.78)/10*2+I67</f>
        <v>-160.30799999999999</v>
      </c>
      <c r="R67" s="70">
        <f>Q67-F67</f>
        <v>-160.25799999999998</v>
      </c>
    </row>
    <row r="68" spans="1:18" ht="15.75">
      <c r="A68" s="89" t="s">
        <v>185</v>
      </c>
      <c r="B68" s="113">
        <v>38.520000000000003</v>
      </c>
      <c r="C68" s="72">
        <f>ROUND('PU Wise OWE'!$AP$128/10000,2)-C67</f>
        <v>-0.05</v>
      </c>
      <c r="D68" s="87">
        <f>C68/$C$7</f>
        <v>-1.2853470437017997E-4</v>
      </c>
      <c r="E68" s="23"/>
      <c r="F68" s="22">
        <f>ROUND('PU Wise OWE'!$AP$126/10000,2)-F67</f>
        <v>-42.71</v>
      </c>
      <c r="G68" s="24">
        <f>F68/$F$7</f>
        <v>-1.9078292021602113E-2</v>
      </c>
      <c r="H68" s="23">
        <f>ROUND('PU Wise OWE'!$AP$127/10000,2)-H67</f>
        <v>-10.25</v>
      </c>
      <c r="I68" s="23">
        <f>ROUND('PU Wise OWE'!$AP$129/10000,2)-I67</f>
        <v>-13.33</v>
      </c>
      <c r="J68" s="96">
        <f>I68/$I$7</f>
        <v>-2.8425811404444067E-2</v>
      </c>
      <c r="K68" s="22">
        <f>H68-I68</f>
        <v>3.08</v>
      </c>
      <c r="L68" s="24">
        <f>K68/I68</f>
        <v>-0.23105776444111029</v>
      </c>
      <c r="M68" s="22">
        <f>I68-C68</f>
        <v>-13.28</v>
      </c>
      <c r="N68" s="54">
        <f>M68/C68</f>
        <v>265.59999999999997</v>
      </c>
      <c r="O68" s="54">
        <f>I68/F68</f>
        <v>0.31210489346757198</v>
      </c>
      <c r="P68" s="157"/>
      <c r="Q68" s="165">
        <f>(I68/10)*12</f>
        <v>-15.995999999999999</v>
      </c>
      <c r="R68" s="70">
        <f>Q68-F68</f>
        <v>26.714000000000002</v>
      </c>
    </row>
    <row r="69" spans="1:18" s="36" customFormat="1">
      <c r="A69" s="25" t="s">
        <v>122</v>
      </c>
      <c r="B69" s="26">
        <f>SUM(B67:B68)</f>
        <v>1156.03</v>
      </c>
      <c r="C69" s="76">
        <f>SUM(C67:C68)</f>
        <v>-0.05</v>
      </c>
      <c r="D69" s="88">
        <f>C69/$C$7</f>
        <v>-1.2853470437017997E-4</v>
      </c>
      <c r="E69" s="90"/>
      <c r="F69" s="91">
        <f>SUM(F67:F68)</f>
        <v>-42.76</v>
      </c>
      <c r="G69" s="92">
        <f>F69/$F$7</f>
        <v>-1.9100626711395605E-2</v>
      </c>
      <c r="H69" s="91">
        <f>SUM(H67:H68)</f>
        <v>-10.28</v>
      </c>
      <c r="I69" s="91">
        <f>SUM(I67:I68)</f>
        <v>-13.33</v>
      </c>
      <c r="J69" s="56">
        <f>I69/$I$7</f>
        <v>-2.8425811404444067E-2</v>
      </c>
      <c r="K69" s="22">
        <f>H69-I69</f>
        <v>3.0500000000000007</v>
      </c>
      <c r="L69" s="24">
        <f>K69/I69</f>
        <v>-0.22880720180045017</v>
      </c>
      <c r="M69" s="93">
        <f>I69-C69</f>
        <v>-13.28</v>
      </c>
      <c r="N69" s="103">
        <f>M69/C69</f>
        <v>265.59999999999997</v>
      </c>
      <c r="P69" s="162"/>
      <c r="Q69" s="76">
        <f>SUM(Q67:Q68)</f>
        <v>-176.304</v>
      </c>
      <c r="R69" s="76">
        <f>SUM(R67:R68)</f>
        <v>-133.54399999999998</v>
      </c>
    </row>
    <row r="70" spans="1:18">
      <c r="E70" s="31"/>
      <c r="F70" s="34"/>
      <c r="G70" s="34"/>
      <c r="H70" s="34"/>
      <c r="I70" s="31"/>
      <c r="J70" s="31"/>
      <c r="K70" s="31"/>
      <c r="L70" s="31"/>
      <c r="M70" s="34"/>
      <c r="N70" s="94"/>
      <c r="Q70" s="166"/>
    </row>
    <row r="71" spans="1:18">
      <c r="A71" s="77" t="s">
        <v>187</v>
      </c>
      <c r="B71" s="77"/>
      <c r="E71" s="31"/>
      <c r="F71" s="34"/>
      <c r="G71" s="34"/>
      <c r="H71" s="34"/>
      <c r="I71" s="31"/>
      <c r="J71" s="31"/>
      <c r="K71" s="31"/>
      <c r="L71" s="31"/>
      <c r="M71" s="34"/>
      <c r="N71" s="94"/>
      <c r="Q71" s="166"/>
    </row>
    <row r="72" spans="1:18" ht="38.450000000000003" customHeight="1">
      <c r="A72" s="23" t="s">
        <v>186</v>
      </c>
      <c r="B72" s="22">
        <v>12.31</v>
      </c>
      <c r="C72" s="72">
        <f>ROUND('PU Wise OWE'!$AQ$29/10000,2)+ROUND('PU Wise OWE'!$BB$29/10000,2)</f>
        <v>-0.18</v>
      </c>
      <c r="D72" s="87">
        <f>C72/$C$7</f>
        <v>-4.627249357326478E-4</v>
      </c>
      <c r="E72" s="23"/>
      <c r="F72" s="72">
        <f>ROUND('PU Wise OWE'!$AQ$27/10000,2)+ROUND('PU Wise OWE'!$BB$27/10000,2)</f>
        <v>-4.58</v>
      </c>
      <c r="G72" s="24">
        <f>F72/$F$7</f>
        <v>-2.0458575850840007E-3</v>
      </c>
      <c r="H72" s="72">
        <f>ROUND('PU Wise OWE'!$AQ$28/10000,2)+ROUND('PU Wise OWE'!$BB$28/10000,2)</f>
        <v>-1.1000000000000001</v>
      </c>
      <c r="I72" s="72">
        <f>ROUND('PU Wise OWE'!$AQ$30/10000,2)+ROUND('PU Wise OWE'!$BB$30/10000,2)</f>
        <v>-1.02</v>
      </c>
      <c r="J72" s="96">
        <f>I72/$I$7</f>
        <v>-2.1751183520279781E-3</v>
      </c>
      <c r="K72" s="22">
        <f>H72-I72</f>
        <v>-8.0000000000000071E-2</v>
      </c>
      <c r="L72" s="24">
        <f>K72/I72</f>
        <v>7.8431372549019676E-2</v>
      </c>
      <c r="M72" s="22">
        <f>I72-C72</f>
        <v>-0.84000000000000008</v>
      </c>
      <c r="N72" s="54">
        <f>M72/C72</f>
        <v>4.666666666666667</v>
      </c>
      <c r="O72" s="54">
        <f>I72/F72</f>
        <v>0.22270742358078602</v>
      </c>
      <c r="P72" s="158" t="s">
        <v>280</v>
      </c>
      <c r="Q72" s="165">
        <f>(I72/10)*12</f>
        <v>-1.2240000000000002</v>
      </c>
      <c r="R72" s="70">
        <f>Q72-F72</f>
        <v>3.3559999999999999</v>
      </c>
    </row>
    <row r="73" spans="1:18" ht="52.9" customHeight="1">
      <c r="A73" s="23" t="s">
        <v>188</v>
      </c>
      <c r="B73" s="22">
        <v>114.52</v>
      </c>
      <c r="C73" s="72">
        <f>ROUND('PU Wise OWE'!$AQ$40/10000,2)+ROUND('PU Wise OWE'!$BB$40/10000,2)</f>
        <v>2.74</v>
      </c>
      <c r="D73" s="87">
        <f>C73/$C$7</f>
        <v>7.0437017994858615E-3</v>
      </c>
      <c r="E73" s="23"/>
      <c r="F73" s="72">
        <f>ROUND('PU Wise OWE'!$AQ$38/10000,2)+ROUND('PU Wise OWE'!$BB$38/10000,2)</f>
        <v>18.87</v>
      </c>
      <c r="G73" s="24">
        <f>F73/$F$7</f>
        <v>8.4291119280644321E-3</v>
      </c>
      <c r="H73" s="72">
        <f>ROUND('PU Wise OWE'!$AQ$39/10000,2)+ROUND('PU Wise OWE'!$BB$39/10000,2)</f>
        <v>4.53</v>
      </c>
      <c r="I73" s="72">
        <f>ROUND('PU Wise OWE'!$AQ$41/10000,2)+ROUND('PU Wise OWE'!$BB$41/10000,2)</f>
        <v>6.2</v>
      </c>
      <c r="J73" s="96">
        <f>I73/$I$7</f>
        <v>1.3221307629973984E-2</v>
      </c>
      <c r="K73" s="22">
        <f>H73-I73</f>
        <v>-1.67</v>
      </c>
      <c r="L73" s="24">
        <f>K73/I73</f>
        <v>-0.26935483870967741</v>
      </c>
      <c r="M73" s="22">
        <f>I73-C73</f>
        <v>3.46</v>
      </c>
      <c r="N73" s="54">
        <f>M73/C73</f>
        <v>1.2627737226277371</v>
      </c>
      <c r="O73" s="54">
        <f>I73/F73</f>
        <v>0.32856385797562265</v>
      </c>
      <c r="P73" s="158" t="s">
        <v>266</v>
      </c>
      <c r="Q73" s="165">
        <f>(I73/10)*12</f>
        <v>7.4399999999999995</v>
      </c>
      <c r="R73" s="70">
        <f>Q73-F73</f>
        <v>-11.430000000000001</v>
      </c>
    </row>
    <row r="74" spans="1:18" s="36" customFormat="1">
      <c r="A74" s="25" t="s">
        <v>122</v>
      </c>
      <c r="B74" s="26">
        <v>126.83</v>
      </c>
      <c r="C74" s="76">
        <f>SUM(C72:C73)</f>
        <v>2.56</v>
      </c>
      <c r="D74" s="88">
        <f>C74/$C$7</f>
        <v>6.5809768637532136E-3</v>
      </c>
      <c r="E74" s="25"/>
      <c r="F74" s="76">
        <f>SUM(F72:F73)</f>
        <v>14.290000000000001</v>
      </c>
      <c r="G74" s="56">
        <f>F74/$F$7</f>
        <v>6.3832543429804302E-3</v>
      </c>
      <c r="H74" s="76">
        <f>SUM(H72:H73)</f>
        <v>3.43</v>
      </c>
      <c r="I74" s="76">
        <f>SUM(I72:I73)</f>
        <v>5.18</v>
      </c>
      <c r="J74" s="56">
        <f>I74/$I$7</f>
        <v>1.1046189277946006E-2</v>
      </c>
      <c r="K74" s="26">
        <f>H74-I74</f>
        <v>-1.7499999999999996</v>
      </c>
      <c r="L74" s="56">
        <f>K74/I74</f>
        <v>-0.33783783783783777</v>
      </c>
      <c r="M74" s="26">
        <f>I74-C74</f>
        <v>2.6199999999999997</v>
      </c>
      <c r="N74" s="57">
        <f>M74/C74</f>
        <v>1.0234374999999998</v>
      </c>
      <c r="P74" s="162"/>
      <c r="Q74" s="76">
        <f>SUM(Q72:Q73)</f>
        <v>6.2159999999999993</v>
      </c>
      <c r="R74" s="76">
        <f>SUM(R72:R73)</f>
        <v>-8.0740000000000016</v>
      </c>
    </row>
    <row r="75" spans="1:18">
      <c r="D75" s="31"/>
      <c r="E75" s="31"/>
      <c r="F75" s="34"/>
      <c r="G75" s="34"/>
      <c r="H75" s="34"/>
      <c r="I75" s="31"/>
      <c r="J75" s="31"/>
      <c r="K75" s="31"/>
      <c r="L75" s="31"/>
      <c r="M75" s="34"/>
      <c r="N75" s="94"/>
      <c r="Q75" s="166"/>
    </row>
    <row r="76" spans="1:18">
      <c r="A76" s="77" t="s">
        <v>189</v>
      </c>
      <c r="B76" s="77"/>
      <c r="D76" s="31"/>
      <c r="E76" s="31"/>
      <c r="F76" s="34"/>
      <c r="G76" s="34"/>
      <c r="H76" s="34"/>
      <c r="I76" s="31"/>
      <c r="J76" s="31"/>
      <c r="K76" s="31"/>
      <c r="L76" s="31"/>
      <c r="M76" s="34"/>
      <c r="N76" s="94"/>
      <c r="Q76" s="166"/>
    </row>
    <row r="77" spans="1:18" ht="15.75">
      <c r="A77" s="23" t="s">
        <v>191</v>
      </c>
      <c r="B77" s="22">
        <v>2</v>
      </c>
      <c r="C77" s="72">
        <f>ROUND('PU Wise OWE'!$AW$128/10000,2)</f>
        <v>0.01</v>
      </c>
      <c r="D77" s="87">
        <f t="shared" ref="D77:D83" si="18">C77/$C$7</f>
        <v>2.5706940874035991E-5</v>
      </c>
      <c r="E77" s="23"/>
      <c r="F77" s="22">
        <f>ROUND('PU Wise OWE'!$AW$126/10000,2)</f>
        <v>0</v>
      </c>
      <c r="G77" s="24">
        <f t="shared" ref="G77:G83" si="19">F77/$F$7</f>
        <v>0</v>
      </c>
      <c r="H77" s="23">
        <f>ROUND('PU Wise OWE'!$AW$127/10000,2)</f>
        <v>0</v>
      </c>
      <c r="I77" s="23">
        <f>ROUND('PU Wise OWE'!$AW$129/10000,2)</f>
        <v>0</v>
      </c>
      <c r="J77" s="96">
        <f t="shared" ref="J77:J85" si="20">I77/$I$7</f>
        <v>0</v>
      </c>
      <c r="K77" s="22">
        <f>H77-I77</f>
        <v>0</v>
      </c>
      <c r="L77" s="24" t="e">
        <f>K77/I77</f>
        <v>#DIV/0!</v>
      </c>
      <c r="M77" s="22">
        <f t="shared" ref="M77:M83" si="21">I77-C77</f>
        <v>-0.01</v>
      </c>
      <c r="N77" s="54">
        <f t="shared" ref="N77:N83" si="22">M77/C77</f>
        <v>-1</v>
      </c>
      <c r="O77" s="54" t="e">
        <f t="shared" ref="O77:O82" si="23">I77/F77</f>
        <v>#DIV/0!</v>
      </c>
      <c r="P77" s="157"/>
      <c r="Q77" s="165">
        <f t="shared" ref="Q77:Q82" si="24">(I77/10)*12</f>
        <v>0</v>
      </c>
      <c r="R77" s="70">
        <f t="shared" ref="R77:R82" si="25">Q77-F77</f>
        <v>0</v>
      </c>
    </row>
    <row r="78" spans="1:18" ht="15.75">
      <c r="A78" s="23" t="s">
        <v>190</v>
      </c>
      <c r="B78" s="22">
        <v>1.66</v>
      </c>
      <c r="C78" s="72">
        <f>ROUND('PU Wise OWE'!$AX$128/10000,2)</f>
        <v>0.02</v>
      </c>
      <c r="D78" s="87">
        <f t="shared" si="18"/>
        <v>5.1413881748071981E-5</v>
      </c>
      <c r="E78" s="23"/>
      <c r="F78" s="22">
        <f>ROUND('PU Wise OWE'!$AW$126/10000,2)</f>
        <v>0</v>
      </c>
      <c r="G78" s="24">
        <f t="shared" si="19"/>
        <v>0</v>
      </c>
      <c r="H78" s="23">
        <f>ROUND('PU Wise OWE'!$AX$127/10000,2)</f>
        <v>0.04</v>
      </c>
      <c r="I78" s="23">
        <f>ROUND('PU Wise OWE'!$AX$129/10000,2)</f>
        <v>0.01</v>
      </c>
      <c r="J78" s="96">
        <f t="shared" si="20"/>
        <v>2.132468972576449E-5</v>
      </c>
      <c r="K78" s="22">
        <f t="shared" ref="K78:K83" si="26">H78-I78</f>
        <v>0.03</v>
      </c>
      <c r="L78" s="24">
        <f t="shared" ref="L78:L83" si="27">K78/I78</f>
        <v>3</v>
      </c>
      <c r="M78" s="22">
        <f t="shared" si="21"/>
        <v>-0.01</v>
      </c>
      <c r="N78" s="54">
        <f t="shared" si="22"/>
        <v>-0.5</v>
      </c>
      <c r="O78" s="54" t="e">
        <f t="shared" si="23"/>
        <v>#DIV/0!</v>
      </c>
      <c r="P78" s="157"/>
      <c r="Q78" s="165">
        <f t="shared" si="24"/>
        <v>1.2E-2</v>
      </c>
      <c r="R78" s="70">
        <f t="shared" si="25"/>
        <v>1.2E-2</v>
      </c>
    </row>
    <row r="79" spans="1:18" ht="34.15" customHeight="1">
      <c r="A79" s="23" t="s">
        <v>192</v>
      </c>
      <c r="B79" s="22">
        <v>16.940000000000001</v>
      </c>
      <c r="C79" s="72">
        <f>ROUND('PU Wise OWE'!$BC$128/10000,2)</f>
        <v>1.3</v>
      </c>
      <c r="D79" s="87">
        <f t="shared" si="18"/>
        <v>3.3419023136246786E-3</v>
      </c>
      <c r="E79" s="23"/>
      <c r="F79" s="22">
        <f>ROUND('PU Wise OWE'!$BC$126/10000,2)</f>
        <v>5.58</v>
      </c>
      <c r="G79" s="24">
        <f t="shared" si="19"/>
        <v>2.49255138095387E-3</v>
      </c>
      <c r="H79" s="23">
        <f>ROUND('PU Wise OWE'!$BC$127/10000,2)</f>
        <v>1.34</v>
      </c>
      <c r="I79" s="23">
        <f>ROUND('PU Wise OWE'!$BC$129/10000,2)</f>
        <v>2.23</v>
      </c>
      <c r="J79" s="96">
        <f t="shared" si="20"/>
        <v>4.7554058088454809E-3</v>
      </c>
      <c r="K79" s="22">
        <f t="shared" si="26"/>
        <v>-0.8899999999999999</v>
      </c>
      <c r="L79" s="24">
        <f t="shared" si="27"/>
        <v>-0.3991031390134529</v>
      </c>
      <c r="M79" s="22">
        <f t="shared" si="21"/>
        <v>0.92999999999999994</v>
      </c>
      <c r="N79" s="54">
        <f t="shared" si="22"/>
        <v>0.71538461538461529</v>
      </c>
      <c r="O79" s="54">
        <f t="shared" si="23"/>
        <v>0.3996415770609319</v>
      </c>
      <c r="P79" s="158" t="s">
        <v>267</v>
      </c>
      <c r="Q79" s="165">
        <f t="shared" si="24"/>
        <v>2.6760000000000002</v>
      </c>
      <c r="R79" s="70">
        <f t="shared" si="25"/>
        <v>-2.9039999999999999</v>
      </c>
    </row>
    <row r="80" spans="1:18" ht="52.9" customHeight="1">
      <c r="A80" s="23" t="s">
        <v>193</v>
      </c>
      <c r="B80" s="22">
        <v>16.95</v>
      </c>
      <c r="C80" s="72">
        <f>ROUND('PU Wise OWE'!$BD$128/10000,2)</f>
        <v>1.3</v>
      </c>
      <c r="D80" s="87">
        <f t="shared" si="18"/>
        <v>3.3419023136246786E-3</v>
      </c>
      <c r="E80" s="23"/>
      <c r="F80" s="22">
        <f>ROUND('PU Wise OWE'!$BD$126/10000,2)</f>
        <v>5.65</v>
      </c>
      <c r="G80" s="24">
        <f t="shared" si="19"/>
        <v>2.523819946664761E-3</v>
      </c>
      <c r="H80" s="23">
        <f>ROUND('PU Wise OWE'!$BD$127/10000,2)</f>
        <v>1.36</v>
      </c>
      <c r="I80" s="23">
        <f>ROUND('PU Wise OWE'!$BD$129/10000,2)</f>
        <v>2.23</v>
      </c>
      <c r="J80" s="96">
        <f t="shared" si="20"/>
        <v>4.7554058088454809E-3</v>
      </c>
      <c r="K80" s="22">
        <f t="shared" si="26"/>
        <v>-0.86999999999999988</v>
      </c>
      <c r="L80" s="24">
        <f t="shared" si="27"/>
        <v>-0.39013452914798202</v>
      </c>
      <c r="M80" s="22">
        <f t="shared" si="21"/>
        <v>0.92999999999999994</v>
      </c>
      <c r="N80" s="54">
        <f t="shared" si="22"/>
        <v>0.71538461538461529</v>
      </c>
      <c r="O80" s="54">
        <f t="shared" si="23"/>
        <v>0.39469026548672564</v>
      </c>
      <c r="P80" s="158" t="s">
        <v>267</v>
      </c>
      <c r="Q80" s="165">
        <f t="shared" si="24"/>
        <v>2.6760000000000002</v>
      </c>
      <c r="R80" s="70">
        <f t="shared" si="25"/>
        <v>-2.9740000000000002</v>
      </c>
    </row>
    <row r="81" spans="1:18" ht="43.9" customHeight="1">
      <c r="A81" s="23" t="s">
        <v>194</v>
      </c>
      <c r="B81" s="22">
        <v>17.329999999999998</v>
      </c>
      <c r="C81" s="72">
        <f>ROUND('PU Wise OWE'!$BF$128/10000,2)</f>
        <v>1.0900000000000001</v>
      </c>
      <c r="D81" s="87">
        <f t="shared" si="18"/>
        <v>2.8020565552699232E-3</v>
      </c>
      <c r="E81" s="23"/>
      <c r="F81" s="22">
        <f>ROUND('PU Wise OWE'!$BF$126/10000,2)</f>
        <v>7.37</v>
      </c>
      <c r="G81" s="24">
        <f t="shared" si="19"/>
        <v>3.2921332755609357E-3</v>
      </c>
      <c r="H81" s="23">
        <f>ROUND('PU Wise OWE'!$BF$127/10000,2)</f>
        <v>1.77</v>
      </c>
      <c r="I81" s="23">
        <f>ROUND('PU Wise OWE'!$BF$129/10000,2)</f>
        <v>3.13</v>
      </c>
      <c r="J81" s="96">
        <f t="shared" si="20"/>
        <v>6.674627884164285E-3</v>
      </c>
      <c r="K81" s="22">
        <f t="shared" si="26"/>
        <v>-1.3599999999999999</v>
      </c>
      <c r="L81" s="24">
        <f t="shared" si="27"/>
        <v>-0.43450479233226835</v>
      </c>
      <c r="M81" s="22">
        <f t="shared" si="21"/>
        <v>2.04</v>
      </c>
      <c r="N81" s="54">
        <f t="shared" si="22"/>
        <v>1.8715596330275228</v>
      </c>
      <c r="O81" s="54">
        <f t="shared" si="23"/>
        <v>0.42469470827679778</v>
      </c>
      <c r="P81" s="158" t="s">
        <v>267</v>
      </c>
      <c r="Q81" s="165">
        <f t="shared" si="24"/>
        <v>3.7560000000000002</v>
      </c>
      <c r="R81" s="70">
        <f t="shared" si="25"/>
        <v>-3.6139999999999999</v>
      </c>
    </row>
    <row r="82" spans="1:18" ht="15.75">
      <c r="A82" s="23" t="s">
        <v>195</v>
      </c>
      <c r="B82" s="22">
        <v>166.71</v>
      </c>
      <c r="C82" s="72">
        <f>ROUND('PU Wise OWE'!$BG$128/10000,2)-ROUND('PU Wise OWE'!$BG$117/10000,2)</f>
        <v>1.379999999999999</v>
      </c>
      <c r="D82" s="87">
        <f t="shared" si="18"/>
        <v>3.5475578406169639E-3</v>
      </c>
      <c r="E82" s="23"/>
      <c r="F82" s="22">
        <f>ROUND('PU Wise OWE'!$BG$126/10000,2)-ROUND('PU Wise OWE'!$BG$115/10000,2)</f>
        <v>27.530000000000015</v>
      </c>
      <c r="G82" s="24">
        <f t="shared" si="19"/>
        <v>1.2297480200297504E-2</v>
      </c>
      <c r="H82" s="23">
        <f>ROUND('PU Wise OWE'!$BG$127/10000,2)-ROUND('PU Wise OWE'!$BG$116/10000,2)</f>
        <v>6.6000000000000005</v>
      </c>
      <c r="I82" s="23">
        <f>ROUND('PU Wise OWE'!$BG$129/10000,2)-ROUND('PU Wise OWE'!$BG$118/10000,2)</f>
        <v>21.089999999999996</v>
      </c>
      <c r="J82" s="96">
        <f t="shared" si="20"/>
        <v>4.4973770631637301E-2</v>
      </c>
      <c r="K82" s="22">
        <f t="shared" si="26"/>
        <v>-14.489999999999995</v>
      </c>
      <c r="L82" s="24">
        <f t="shared" si="27"/>
        <v>-0.68705547652916066</v>
      </c>
      <c r="M82" s="22">
        <f t="shared" si="21"/>
        <v>19.709999999999997</v>
      </c>
      <c r="N82" s="54">
        <f t="shared" si="22"/>
        <v>14.282608695652183</v>
      </c>
      <c r="O82" s="54">
        <f t="shared" si="23"/>
        <v>0.76607337450054425</v>
      </c>
      <c r="P82" s="158"/>
      <c r="Q82" s="165">
        <f t="shared" si="24"/>
        <v>25.307999999999993</v>
      </c>
      <c r="R82" s="169">
        <f t="shared" si="25"/>
        <v>-2.2220000000000226</v>
      </c>
    </row>
    <row r="83" spans="1:18" s="36" customFormat="1">
      <c r="A83" s="25" t="s">
        <v>122</v>
      </c>
      <c r="B83" s="26">
        <f>SUM(B77:B82)</f>
        <v>221.59</v>
      </c>
      <c r="C83" s="76">
        <f>SUM(C77:C82)</f>
        <v>5.0999999999999988</v>
      </c>
      <c r="D83" s="88">
        <f t="shared" si="18"/>
        <v>1.3110539845758351E-2</v>
      </c>
      <c r="E83" s="25"/>
      <c r="F83" s="76">
        <f>SUM(F77:F82)</f>
        <v>46.130000000000017</v>
      </c>
      <c r="G83" s="56">
        <f t="shared" si="19"/>
        <v>2.060598480347707E-2</v>
      </c>
      <c r="H83" s="76">
        <f>SUM(H77:H82)</f>
        <v>11.11</v>
      </c>
      <c r="I83" s="76">
        <f>SUM(I77:I82)</f>
        <v>28.689999999999998</v>
      </c>
      <c r="J83" s="56">
        <f t="shared" si="20"/>
        <v>6.1180534823218315E-2</v>
      </c>
      <c r="K83" s="26">
        <f t="shared" si="26"/>
        <v>-17.579999999999998</v>
      </c>
      <c r="L83" s="56">
        <f t="shared" si="27"/>
        <v>-0.61275705820843496</v>
      </c>
      <c r="M83" s="26">
        <f t="shared" si="21"/>
        <v>23.59</v>
      </c>
      <c r="N83" s="57">
        <f t="shared" si="22"/>
        <v>4.6254901960784327</v>
      </c>
      <c r="O83" s="25"/>
      <c r="P83" s="156"/>
      <c r="Q83" s="76">
        <f>SUM(Q77:Q82)</f>
        <v>34.427999999999997</v>
      </c>
      <c r="R83" s="76">
        <f>SUM(R77:R82)</f>
        <v>-11.702000000000023</v>
      </c>
    </row>
    <row r="84" spans="1:18">
      <c r="Q84" s="166"/>
    </row>
    <row r="85" spans="1:18" s="36" customFormat="1" ht="30">
      <c r="A85" s="95" t="s">
        <v>196</v>
      </c>
      <c r="B85" s="114">
        <v>5247.44</v>
      </c>
      <c r="C85" s="76">
        <f>C37+C49+C54+C56+C64+C69+C74+C83</f>
        <v>117.80000000000001</v>
      </c>
      <c r="D85" s="88">
        <f>C85/$C$7</f>
        <v>0.30282776349614399</v>
      </c>
      <c r="E85" s="25"/>
      <c r="F85" s="76">
        <f>F37+F49+F54+F56+F64+F69+F74+F83</f>
        <v>780.25000000000011</v>
      </c>
      <c r="G85" s="56">
        <f>F85/$F$7</f>
        <v>0.34853283422746545</v>
      </c>
      <c r="H85" s="76">
        <f>H37+H49+H54+H56+H64+H69+H74+H83</f>
        <v>187.29000000000002</v>
      </c>
      <c r="I85" s="76">
        <f>I37+I49+I54+I56+I64+I69+I74+I83</f>
        <v>183.63</v>
      </c>
      <c r="J85" s="56">
        <f t="shared" si="20"/>
        <v>0.39158527743421334</v>
      </c>
      <c r="K85" s="26">
        <f>H85-I85</f>
        <v>3.660000000000025</v>
      </c>
      <c r="L85" s="56">
        <f>K85/I85</f>
        <v>1.9931383760823533E-2</v>
      </c>
      <c r="M85" s="26">
        <f>I85-C85</f>
        <v>65.829999999999984</v>
      </c>
      <c r="N85" s="57">
        <f>M85/C85</f>
        <v>0.55882852292020357</v>
      </c>
      <c r="O85" s="54">
        <f>I85/F85</f>
        <v>0.2353476449855815</v>
      </c>
      <c r="P85" s="156"/>
      <c r="Q85" s="76">
        <f>Q37+Q49+Q54+Q56+Q64+Q69+Q74+Q83</f>
        <v>888.41199999999992</v>
      </c>
      <c r="R85" s="169">
        <f>Q85-F85</f>
        <v>108.16199999999981</v>
      </c>
    </row>
    <row r="86" spans="1:18">
      <c r="Q86" s="166"/>
    </row>
    <row r="87" spans="1:18" s="149" customFormat="1">
      <c r="A87" s="79"/>
      <c r="B87" s="316" t="s">
        <v>288</v>
      </c>
      <c r="C87" s="321" t="s">
        <v>297</v>
      </c>
      <c r="D87" s="316" t="s">
        <v>165</v>
      </c>
      <c r="E87" s="316"/>
      <c r="F87" s="341" t="s">
        <v>299</v>
      </c>
      <c r="G87" s="316" t="s">
        <v>301</v>
      </c>
      <c r="H87" s="153"/>
      <c r="I87" s="321" t="s">
        <v>298</v>
      </c>
      <c r="J87" s="316" t="s">
        <v>197</v>
      </c>
      <c r="K87" s="153"/>
      <c r="L87" s="153"/>
      <c r="M87" s="289" t="s">
        <v>139</v>
      </c>
      <c r="N87" s="289"/>
      <c r="O87" s="292" t="s">
        <v>300</v>
      </c>
      <c r="Q87" s="166"/>
    </row>
    <row r="88" spans="1:18" s="149" customFormat="1">
      <c r="A88" s="135" t="s">
        <v>245</v>
      </c>
      <c r="B88" s="317"/>
      <c r="C88" s="317"/>
      <c r="D88" s="317"/>
      <c r="E88" s="317"/>
      <c r="F88" s="342"/>
      <c r="G88" s="317"/>
      <c r="H88" s="154"/>
      <c r="I88" s="350"/>
      <c r="J88" s="317"/>
      <c r="K88" s="154"/>
      <c r="L88" s="154"/>
      <c r="M88" s="81" t="s">
        <v>137</v>
      </c>
      <c r="N88" s="82" t="s">
        <v>138</v>
      </c>
      <c r="O88" s="292"/>
      <c r="Q88" s="166"/>
    </row>
    <row r="89" spans="1:18" s="149" customFormat="1" ht="15.75">
      <c r="A89" s="23" t="s">
        <v>246</v>
      </c>
      <c r="B89" s="23">
        <v>0</v>
      </c>
      <c r="C89" s="150">
        <v>0</v>
      </c>
      <c r="D89" s="87">
        <f t="shared" ref="D89:D102" si="28">C89/$C$7</f>
        <v>0</v>
      </c>
      <c r="E89" s="23"/>
      <c r="F89" s="22">
        <v>0.69</v>
      </c>
      <c r="G89" s="24">
        <f t="shared" ref="G89:G102" si="29">F89/$F$7</f>
        <v>3.0821871915020967E-4</v>
      </c>
      <c r="H89" s="24"/>
      <c r="I89" s="23">
        <v>0</v>
      </c>
      <c r="J89" s="96">
        <f t="shared" ref="J89:J102" si="30">I89/$I$7</f>
        <v>0</v>
      </c>
      <c r="K89" s="96"/>
      <c r="L89" s="96"/>
      <c r="M89" s="22">
        <f>I89-C89</f>
        <v>0</v>
      </c>
      <c r="N89" s="54">
        <v>0</v>
      </c>
      <c r="O89" s="54">
        <f t="shared" ref="O89:O102" si="31">I89/F89</f>
        <v>0</v>
      </c>
      <c r="Q89" s="165"/>
    </row>
    <row r="90" spans="1:18" s="149" customFormat="1" ht="15.75">
      <c r="A90" s="23" t="s">
        <v>247</v>
      </c>
      <c r="B90" s="23">
        <v>33.630000000000003</v>
      </c>
      <c r="C90" s="151">
        <v>1.86</v>
      </c>
      <c r="D90" s="87">
        <f t="shared" si="28"/>
        <v>4.7814910025706942E-3</v>
      </c>
      <c r="E90" s="23"/>
      <c r="F90" s="22">
        <v>33.28</v>
      </c>
      <c r="G90" s="24">
        <f t="shared" si="29"/>
        <v>1.4865969526549247E-2</v>
      </c>
      <c r="H90" s="24"/>
      <c r="I90" s="22">
        <v>2.77</v>
      </c>
      <c r="J90" s="96">
        <f t="shared" si="30"/>
        <v>5.9069390540367637E-3</v>
      </c>
      <c r="K90" s="96"/>
      <c r="L90" s="96"/>
      <c r="M90" s="22">
        <f t="shared" ref="M90:M102" si="32">I90-C90</f>
        <v>0.90999999999999992</v>
      </c>
      <c r="N90" s="54">
        <f t="shared" ref="N90:N102" si="33">M90/C90</f>
        <v>0.48924731182795694</v>
      </c>
      <c r="O90" s="54">
        <f t="shared" si="31"/>
        <v>8.3233173076923073E-2</v>
      </c>
      <c r="Q90" s="165"/>
    </row>
    <row r="91" spans="1:18" s="149" customFormat="1" ht="15.75">
      <c r="A91" s="23" t="s">
        <v>257</v>
      </c>
      <c r="B91" s="23">
        <v>7.44</v>
      </c>
      <c r="C91" s="151">
        <v>0.04</v>
      </c>
      <c r="D91" s="87">
        <f t="shared" si="28"/>
        <v>1.0282776349614396E-4</v>
      </c>
      <c r="E91" s="23"/>
      <c r="F91" s="22">
        <v>0.53</v>
      </c>
      <c r="G91" s="24">
        <f t="shared" si="29"/>
        <v>2.3674771181103065E-4</v>
      </c>
      <c r="H91" s="24"/>
      <c r="I91" s="22">
        <v>0</v>
      </c>
      <c r="J91" s="96">
        <f t="shared" si="30"/>
        <v>0</v>
      </c>
      <c r="K91" s="96"/>
      <c r="L91" s="96"/>
      <c r="M91" s="22">
        <f t="shared" si="32"/>
        <v>-0.04</v>
      </c>
      <c r="N91" s="54">
        <f t="shared" si="33"/>
        <v>-1</v>
      </c>
      <c r="O91" s="54">
        <f t="shared" si="31"/>
        <v>0</v>
      </c>
      <c r="Q91" s="165"/>
    </row>
    <row r="92" spans="1:18" s="149" customFormat="1" ht="15.75">
      <c r="A92" s="152" t="s">
        <v>248</v>
      </c>
      <c r="B92" s="25">
        <f>SUM(B89:B91)</f>
        <v>41.07</v>
      </c>
      <c r="C92" s="25">
        <f>SUM(C89:C91)</f>
        <v>1.9000000000000001</v>
      </c>
      <c r="D92" s="88">
        <f t="shared" si="28"/>
        <v>4.8843187660668388E-3</v>
      </c>
      <c r="E92" s="25">
        <f>SUM(E89:E90)</f>
        <v>0</v>
      </c>
      <c r="F92" s="26">
        <f>SUM(F89:F90)</f>
        <v>33.97</v>
      </c>
      <c r="G92" s="56">
        <f t="shared" si="29"/>
        <v>1.5174188245699454E-2</v>
      </c>
      <c r="H92" s="56"/>
      <c r="I92" s="26">
        <f>SUM(I89:I91)</f>
        <v>2.77</v>
      </c>
      <c r="J92" s="56">
        <f t="shared" si="30"/>
        <v>5.9069390540367637E-3</v>
      </c>
      <c r="K92" s="56"/>
      <c r="L92" s="56"/>
      <c r="M92" s="26">
        <f t="shared" si="32"/>
        <v>0.86999999999999988</v>
      </c>
      <c r="N92" s="57">
        <f t="shared" si="33"/>
        <v>0.45789473684210519</v>
      </c>
      <c r="O92" s="57">
        <f t="shared" si="31"/>
        <v>8.1542537533117465E-2</v>
      </c>
      <c r="Q92" s="165"/>
    </row>
    <row r="93" spans="1:18" s="149" customFormat="1" ht="15.75">
      <c r="A93" s="23" t="s">
        <v>249</v>
      </c>
      <c r="B93" s="25">
        <v>0</v>
      </c>
      <c r="C93" s="150">
        <v>0</v>
      </c>
      <c r="D93" s="87">
        <f t="shared" si="28"/>
        <v>0</v>
      </c>
      <c r="E93" s="23"/>
      <c r="F93" s="22">
        <v>0</v>
      </c>
      <c r="G93" s="24">
        <f t="shared" si="29"/>
        <v>0</v>
      </c>
      <c r="H93" s="24"/>
      <c r="I93" s="22">
        <v>0</v>
      </c>
      <c r="J93" s="96">
        <f t="shared" si="30"/>
        <v>0</v>
      </c>
      <c r="K93" s="96"/>
      <c r="L93" s="96"/>
      <c r="M93" s="22">
        <f t="shared" si="32"/>
        <v>0</v>
      </c>
      <c r="N93" s="54">
        <v>0</v>
      </c>
      <c r="O93" s="54">
        <v>0</v>
      </c>
      <c r="Q93" s="165"/>
    </row>
    <row r="94" spans="1:18" s="149" customFormat="1" ht="15.75">
      <c r="A94" s="23" t="s">
        <v>250</v>
      </c>
      <c r="B94" s="25">
        <v>13.17</v>
      </c>
      <c r="C94" s="151">
        <v>0.17</v>
      </c>
      <c r="D94" s="87">
        <f t="shared" si="28"/>
        <v>4.3701799485861188E-4</v>
      </c>
      <c r="E94" s="23"/>
      <c r="F94" s="22">
        <v>14.55</v>
      </c>
      <c r="G94" s="24">
        <f t="shared" si="29"/>
        <v>6.4993947299065965E-3</v>
      </c>
      <c r="H94" s="24"/>
      <c r="I94" s="22">
        <v>3.38</v>
      </c>
      <c r="J94" s="96">
        <f t="shared" si="30"/>
        <v>7.2077451273083971E-3</v>
      </c>
      <c r="K94" s="96"/>
      <c r="L94" s="96"/>
      <c r="M94" s="22">
        <f t="shared" si="32"/>
        <v>3.21</v>
      </c>
      <c r="N94" s="54">
        <f t="shared" si="33"/>
        <v>18.882352941176467</v>
      </c>
      <c r="O94" s="54">
        <f t="shared" si="31"/>
        <v>0.23230240549828177</v>
      </c>
      <c r="Q94" s="165"/>
    </row>
    <row r="95" spans="1:18" s="149" customFormat="1" ht="15.75">
      <c r="A95" s="23" t="s">
        <v>258</v>
      </c>
      <c r="B95" s="25">
        <v>-0.3</v>
      </c>
      <c r="C95" s="151">
        <v>0</v>
      </c>
      <c r="D95" s="87">
        <f t="shared" si="28"/>
        <v>0</v>
      </c>
      <c r="E95" s="23"/>
      <c r="F95" s="22">
        <v>0.05</v>
      </c>
      <c r="G95" s="24">
        <f t="shared" si="29"/>
        <v>2.233468979349346E-5</v>
      </c>
      <c r="H95" s="24"/>
      <c r="I95" s="22">
        <v>0</v>
      </c>
      <c r="J95" s="96">
        <f t="shared" si="30"/>
        <v>0</v>
      </c>
      <c r="K95" s="96"/>
      <c r="L95" s="96"/>
      <c r="M95" s="22">
        <f t="shared" si="32"/>
        <v>0</v>
      </c>
      <c r="N95" s="54">
        <v>0</v>
      </c>
      <c r="O95" s="54">
        <f t="shared" si="31"/>
        <v>0</v>
      </c>
      <c r="Q95" s="165"/>
    </row>
    <row r="96" spans="1:18" s="149" customFormat="1" ht="15.75">
      <c r="A96" s="152" t="s">
        <v>251</v>
      </c>
      <c r="B96" s="25">
        <f>SUM(B93:B95)</f>
        <v>12.87</v>
      </c>
      <c r="C96" s="25">
        <f>SUM(C93:C95)</f>
        <v>0.17</v>
      </c>
      <c r="D96" s="88">
        <f t="shared" si="28"/>
        <v>4.3701799485861188E-4</v>
      </c>
      <c r="E96" s="25">
        <f>SUM(E93:E94)</f>
        <v>0</v>
      </c>
      <c r="F96" s="26">
        <f>SUM(F93:F95)</f>
        <v>14.600000000000001</v>
      </c>
      <c r="G96" s="56">
        <f t="shared" si="29"/>
        <v>6.5217294197000902E-3</v>
      </c>
      <c r="H96" s="56"/>
      <c r="I96" s="26">
        <f>SUM(I93:I95)</f>
        <v>3.38</v>
      </c>
      <c r="J96" s="56">
        <f t="shared" si="30"/>
        <v>7.2077451273083971E-3</v>
      </c>
      <c r="K96" s="56"/>
      <c r="L96" s="56"/>
      <c r="M96" s="26">
        <f t="shared" si="32"/>
        <v>3.21</v>
      </c>
      <c r="N96" s="57">
        <f t="shared" si="33"/>
        <v>18.882352941176467</v>
      </c>
      <c r="O96" s="57">
        <f t="shared" si="31"/>
        <v>0.23150684931506846</v>
      </c>
      <c r="Q96" s="165"/>
    </row>
    <row r="97" spans="1:17" s="149" customFormat="1" ht="15.75">
      <c r="A97" s="23" t="s">
        <v>252</v>
      </c>
      <c r="B97" s="26">
        <v>24.12</v>
      </c>
      <c r="C97" s="151">
        <v>1.61</v>
      </c>
      <c r="D97" s="87">
        <f t="shared" si="28"/>
        <v>4.1388174807197942E-3</v>
      </c>
      <c r="E97" s="23"/>
      <c r="F97" s="22">
        <v>17.600000000000001</v>
      </c>
      <c r="G97" s="24">
        <f t="shared" si="29"/>
        <v>7.8618108073096968E-3</v>
      </c>
      <c r="H97" s="24"/>
      <c r="I97" s="22">
        <v>0.15</v>
      </c>
      <c r="J97" s="96">
        <f t="shared" si="30"/>
        <v>3.1987034588646735E-4</v>
      </c>
      <c r="K97" s="96"/>
      <c r="L97" s="96"/>
      <c r="M97" s="22">
        <f t="shared" si="32"/>
        <v>-1.4600000000000002</v>
      </c>
      <c r="N97" s="54">
        <f t="shared" si="33"/>
        <v>-0.90683229813664601</v>
      </c>
      <c r="O97" s="54">
        <f t="shared" si="31"/>
        <v>8.5227272727272721E-3</v>
      </c>
      <c r="Q97" s="165"/>
    </row>
    <row r="98" spans="1:17" s="149" customFormat="1" ht="15.75">
      <c r="A98" s="23" t="s">
        <v>253</v>
      </c>
      <c r="B98" s="25">
        <v>145.66</v>
      </c>
      <c r="C98" s="151">
        <v>4.3499999999999996</v>
      </c>
      <c r="D98" s="87">
        <f t="shared" si="28"/>
        <v>1.1182519280205654E-2</v>
      </c>
      <c r="E98" s="23"/>
      <c r="F98" s="22">
        <v>11.56</v>
      </c>
      <c r="G98" s="24">
        <f t="shared" si="29"/>
        <v>5.1637802802556873E-3</v>
      </c>
      <c r="H98" s="24"/>
      <c r="I98" s="22">
        <v>6.27</v>
      </c>
      <c r="J98" s="96">
        <f t="shared" si="30"/>
        <v>1.3370580458054334E-2</v>
      </c>
      <c r="K98" s="96"/>
      <c r="L98" s="96"/>
      <c r="M98" s="22">
        <f t="shared" si="32"/>
        <v>1.92</v>
      </c>
      <c r="N98" s="54">
        <f t="shared" si="33"/>
        <v>0.44137931034482758</v>
      </c>
      <c r="O98" s="54">
        <f t="shared" si="31"/>
        <v>0.54238754325259508</v>
      </c>
      <c r="Q98" s="165"/>
    </row>
    <row r="99" spans="1:17" s="149" customFormat="1" ht="15.75">
      <c r="A99" s="152" t="s">
        <v>254</v>
      </c>
      <c r="B99" s="25">
        <f>SUM(B97:B98)</f>
        <v>169.78</v>
      </c>
      <c r="C99" s="26">
        <f>SUM(C97:C98)</f>
        <v>5.96</v>
      </c>
      <c r="D99" s="88">
        <f t="shared" si="28"/>
        <v>1.5321336760925449E-2</v>
      </c>
      <c r="E99" s="25">
        <f>SUM(E97:E98)</f>
        <v>0</v>
      </c>
      <c r="F99" s="26">
        <f>SUM(F97:F98)</f>
        <v>29.160000000000004</v>
      </c>
      <c r="G99" s="56">
        <f t="shared" si="29"/>
        <v>1.3025591087565387E-2</v>
      </c>
      <c r="H99" s="56"/>
      <c r="I99" s="26">
        <f>SUM(I97:I98)</f>
        <v>6.42</v>
      </c>
      <c r="J99" s="56">
        <f t="shared" si="30"/>
        <v>1.3690450803940803E-2</v>
      </c>
      <c r="K99" s="56"/>
      <c r="L99" s="56"/>
      <c r="M99" s="26">
        <f t="shared" si="32"/>
        <v>0.45999999999999996</v>
      </c>
      <c r="N99" s="57">
        <f t="shared" si="33"/>
        <v>7.7181208053691275E-2</v>
      </c>
      <c r="O99" s="57">
        <f t="shared" si="31"/>
        <v>0.22016460905349791</v>
      </c>
      <c r="Q99" s="165"/>
    </row>
    <row r="100" spans="1:17" s="149" customFormat="1" ht="15.75">
      <c r="A100" s="23" t="s">
        <v>255</v>
      </c>
      <c r="B100" s="26">
        <v>12.31</v>
      </c>
      <c r="C100" s="151">
        <v>4.28</v>
      </c>
      <c r="D100" s="87">
        <f t="shared" si="28"/>
        <v>1.1002570694087404E-2</v>
      </c>
      <c r="E100" s="23"/>
      <c r="F100" s="22">
        <v>13.17</v>
      </c>
      <c r="G100" s="24">
        <f t="shared" si="29"/>
        <v>5.882957291606177E-3</v>
      </c>
      <c r="H100" s="24"/>
      <c r="I100" s="22">
        <v>1.93</v>
      </c>
      <c r="J100" s="96">
        <f t="shared" si="30"/>
        <v>4.1156651170725462E-3</v>
      </c>
      <c r="K100" s="96"/>
      <c r="L100" s="96"/>
      <c r="M100" s="22">
        <f t="shared" si="32"/>
        <v>-2.3500000000000005</v>
      </c>
      <c r="N100" s="54">
        <f t="shared" si="33"/>
        <v>-0.54906542056074781</v>
      </c>
      <c r="O100" s="54">
        <f t="shared" si="31"/>
        <v>0.14654517843583903</v>
      </c>
      <c r="Q100" s="165"/>
    </row>
    <row r="101" spans="1:17" s="149" customFormat="1" ht="15.75">
      <c r="A101" s="23" t="s">
        <v>256</v>
      </c>
      <c r="B101" s="25">
        <v>101.34</v>
      </c>
      <c r="C101" s="151">
        <v>1.64</v>
      </c>
      <c r="D101" s="87">
        <f t="shared" si="28"/>
        <v>4.2159383033419017E-3</v>
      </c>
      <c r="E101" s="23"/>
      <c r="F101" s="22">
        <v>65.03</v>
      </c>
      <c r="G101" s="24">
        <f t="shared" si="29"/>
        <v>2.9048497545417593E-2</v>
      </c>
      <c r="H101" s="24"/>
      <c r="I101" s="22">
        <v>5.95</v>
      </c>
      <c r="J101" s="96">
        <f t="shared" si="30"/>
        <v>1.2688190386829872E-2</v>
      </c>
      <c r="K101" s="96"/>
      <c r="L101" s="96"/>
      <c r="M101" s="22">
        <f t="shared" si="32"/>
        <v>4.3100000000000005</v>
      </c>
      <c r="N101" s="54">
        <f t="shared" si="33"/>
        <v>2.6280487804878052</v>
      </c>
      <c r="O101" s="54">
        <f t="shared" si="31"/>
        <v>9.1496232508073191E-2</v>
      </c>
      <c r="Q101" s="165"/>
    </row>
    <row r="102" spans="1:17" s="149" customFormat="1" ht="15.75">
      <c r="A102" s="152" t="s">
        <v>286</v>
      </c>
      <c r="B102" s="25">
        <f>SUM(B100:B101)</f>
        <v>113.65</v>
      </c>
      <c r="C102" s="26">
        <f>SUM(C100:C101)</f>
        <v>5.92</v>
      </c>
      <c r="D102" s="88">
        <f t="shared" si="28"/>
        <v>1.5218508997429306E-2</v>
      </c>
      <c r="E102" s="25">
        <f>SUM(E100:E101)</f>
        <v>0</v>
      </c>
      <c r="F102" s="26">
        <f>SUM(F100:F101)</f>
        <v>78.2</v>
      </c>
      <c r="G102" s="56">
        <f t="shared" si="29"/>
        <v>3.493145483702377E-2</v>
      </c>
      <c r="H102" s="56"/>
      <c r="I102" s="26">
        <f>SUM(I100:I101)</f>
        <v>7.88</v>
      </c>
      <c r="J102" s="56">
        <f t="shared" si="30"/>
        <v>1.6803855503902419E-2</v>
      </c>
      <c r="K102" s="56"/>
      <c r="L102" s="56"/>
      <c r="M102" s="26">
        <f t="shared" si="32"/>
        <v>1.96</v>
      </c>
      <c r="N102" s="57">
        <f t="shared" si="33"/>
        <v>0.33108108108108109</v>
      </c>
      <c r="O102" s="57">
        <f t="shared" si="31"/>
        <v>0.10076726342710997</v>
      </c>
      <c r="Q102" s="165"/>
    </row>
    <row r="103" spans="1:17">
      <c r="Q103" s="166"/>
    </row>
    <row r="104" spans="1:17">
      <c r="A104" s="79"/>
      <c r="B104" s="316" t="s">
        <v>288</v>
      </c>
      <c r="C104" s="321" t="str">
        <f>'PU Wise OWE'!$B$7</f>
        <v>Actuals upto April-23</v>
      </c>
      <c r="D104" s="316" t="s">
        <v>165</v>
      </c>
      <c r="E104" s="316"/>
      <c r="F104" s="341" t="str">
        <f>'PU Wise OWE'!$B$5</f>
        <v xml:space="preserve">VOA 2024-25 </v>
      </c>
      <c r="G104" s="316" t="s">
        <v>301</v>
      </c>
      <c r="H104" s="153"/>
      <c r="I104" s="321" t="str">
        <f>I40</f>
        <v>Actuals upto April-24</v>
      </c>
      <c r="J104" s="316" t="s">
        <v>197</v>
      </c>
      <c r="K104" s="153"/>
      <c r="L104" s="153"/>
      <c r="M104" s="289" t="s">
        <v>139</v>
      </c>
      <c r="N104" s="289"/>
      <c r="O104" s="292" t="s">
        <v>300</v>
      </c>
      <c r="Q104" s="166"/>
    </row>
    <row r="105" spans="1:17">
      <c r="A105" s="135" t="s">
        <v>183</v>
      </c>
      <c r="B105" s="317"/>
      <c r="C105" s="317"/>
      <c r="D105" s="317"/>
      <c r="E105" s="317"/>
      <c r="F105" s="342"/>
      <c r="G105" s="317"/>
      <c r="H105" s="154"/>
      <c r="I105" s="317"/>
      <c r="J105" s="317"/>
      <c r="K105" s="154"/>
      <c r="L105" s="154"/>
      <c r="M105" s="81" t="s">
        <v>137</v>
      </c>
      <c r="N105" s="82" t="s">
        <v>138</v>
      </c>
      <c r="O105" s="292"/>
      <c r="Q105" s="166"/>
    </row>
    <row r="106" spans="1:17" ht="15.75">
      <c r="A106" s="23" t="s">
        <v>209</v>
      </c>
      <c r="B106" s="23">
        <v>305.92</v>
      </c>
      <c r="C106" s="111">
        <v>19.18</v>
      </c>
      <c r="D106" s="87">
        <f>C106/$C$7</f>
        <v>4.9305912596401026E-2</v>
      </c>
      <c r="E106" s="23"/>
      <c r="F106" s="20">
        <v>115.89</v>
      </c>
      <c r="G106" s="24">
        <f>F106/$F$7</f>
        <v>5.1767344003359139E-2</v>
      </c>
      <c r="H106" s="24"/>
      <c r="I106" s="107">
        <v>28.26</v>
      </c>
      <c r="J106" s="96">
        <f>I106/$I$7</f>
        <v>6.0263573165010451E-2</v>
      </c>
      <c r="K106" s="96"/>
      <c r="L106" s="96"/>
      <c r="M106" s="22">
        <f>I106-C106</f>
        <v>9.0800000000000018</v>
      </c>
      <c r="N106" s="54">
        <f>M106/C106</f>
        <v>0.47340980187695525</v>
      </c>
      <c r="O106" s="54">
        <f>I106/F106</f>
        <v>0.24385192855293814</v>
      </c>
      <c r="Q106" s="165"/>
    </row>
    <row r="107" spans="1:17" ht="15.75">
      <c r="A107" s="23" t="s">
        <v>208</v>
      </c>
      <c r="B107" s="23">
        <v>266.58999999999997</v>
      </c>
      <c r="C107" s="83">
        <v>27.95</v>
      </c>
      <c r="D107" s="87">
        <f>C107/$C$7</f>
        <v>7.1850899742930588E-2</v>
      </c>
      <c r="E107" s="23"/>
      <c r="F107" s="107">
        <v>750</v>
      </c>
      <c r="G107" s="24">
        <f>F107/$F$7</f>
        <v>0.33502034690240184</v>
      </c>
      <c r="H107" s="24"/>
      <c r="I107" s="107">
        <v>40.58</v>
      </c>
      <c r="J107" s="96">
        <f>I107/$I$7</f>
        <v>8.6535590907152293E-2</v>
      </c>
      <c r="K107" s="96"/>
      <c r="L107" s="96"/>
      <c r="M107" s="22">
        <f>I107-C107</f>
        <v>12.629999999999999</v>
      </c>
      <c r="N107" s="54">
        <f>M107/C107</f>
        <v>0.45187835420393557</v>
      </c>
      <c r="O107" s="54">
        <f>I107/F107</f>
        <v>5.4106666666666664E-2</v>
      </c>
      <c r="Q107" s="165"/>
    </row>
    <row r="108" spans="1:17" ht="15.75">
      <c r="A108" s="89" t="s">
        <v>207</v>
      </c>
      <c r="B108" s="23">
        <v>544.78</v>
      </c>
      <c r="C108" s="83">
        <v>165.44</v>
      </c>
      <c r="D108" s="87">
        <f>C108/$C$7</f>
        <v>0.42529562982005142</v>
      </c>
      <c r="E108" s="23"/>
      <c r="F108" s="107">
        <v>676.5</v>
      </c>
      <c r="G108" s="24">
        <f>F108/$F$7</f>
        <v>0.30218835290596646</v>
      </c>
      <c r="H108" s="24"/>
      <c r="I108" s="20">
        <v>301.26</v>
      </c>
      <c r="J108" s="96">
        <f>I108/$I$7</f>
        <v>0.64242760267838106</v>
      </c>
      <c r="K108" s="96"/>
      <c r="L108" s="96"/>
      <c r="M108" s="22">
        <f>I108-C108</f>
        <v>135.82</v>
      </c>
      <c r="N108" s="54">
        <f>M108/C108</f>
        <v>0.82096228239845259</v>
      </c>
      <c r="O108" s="54">
        <f>I108/F108</f>
        <v>0.44532150776053214</v>
      </c>
      <c r="Q108" s="165"/>
    </row>
    <row r="109" spans="1:17" ht="15.75">
      <c r="A109" s="25" t="s">
        <v>122</v>
      </c>
      <c r="B109" s="25">
        <f>SUM(B106:B108)</f>
        <v>1117.29</v>
      </c>
      <c r="C109" s="141">
        <f>+C106+C107+C108</f>
        <v>212.57</v>
      </c>
      <c r="D109" s="88">
        <f>C109/$C$7</f>
        <v>0.54645244215938304</v>
      </c>
      <c r="E109" s="25"/>
      <c r="F109" s="141">
        <f>+F106+F107+F108</f>
        <v>1542.3899999999999</v>
      </c>
      <c r="G109" s="56">
        <f>F109/$F$7</f>
        <v>0.68897604381172739</v>
      </c>
      <c r="H109" s="56"/>
      <c r="I109" s="106">
        <f>SUM(I106:I108)</f>
        <v>370.1</v>
      </c>
      <c r="J109" s="56">
        <f>I109/$I$7</f>
        <v>0.78922676675054382</v>
      </c>
      <c r="K109" s="56"/>
      <c r="L109" s="56"/>
      <c r="M109" s="26">
        <f>I109-C109</f>
        <v>157.53000000000003</v>
      </c>
      <c r="N109" s="57">
        <f>M109/C109</f>
        <v>0.74107352871995125</v>
      </c>
      <c r="O109" s="57">
        <f>I109/F109</f>
        <v>0.23995228184830039</v>
      </c>
      <c r="Q109" s="165"/>
    </row>
    <row r="110" spans="1:17">
      <c r="C110" s="139"/>
      <c r="Q110" s="166"/>
    </row>
    <row r="111" spans="1:17">
      <c r="A111" s="135" t="s">
        <v>210</v>
      </c>
      <c r="B111" s="23"/>
      <c r="C111" s="83"/>
      <c r="D111" s="23"/>
      <c r="E111" s="23"/>
      <c r="F111" s="23"/>
      <c r="G111" s="23"/>
      <c r="H111" s="23"/>
      <c r="I111" s="23"/>
      <c r="J111" s="23"/>
      <c r="K111" s="23"/>
      <c r="L111" s="23"/>
      <c r="M111" s="23"/>
      <c r="N111" s="23"/>
      <c r="O111" s="23"/>
      <c r="Q111" s="166"/>
    </row>
    <row r="112" spans="1:17" ht="15.75">
      <c r="A112" s="23" t="s">
        <v>211</v>
      </c>
      <c r="B112" s="22">
        <v>28.69</v>
      </c>
      <c r="C112" s="111">
        <v>5.63</v>
      </c>
      <c r="D112" s="87">
        <f>C112/$C$7</f>
        <v>1.4473007712082262E-2</v>
      </c>
      <c r="E112" s="23"/>
      <c r="F112" s="22">
        <v>27.91</v>
      </c>
      <c r="G112" s="24">
        <f>F112/$F$7</f>
        <v>1.2467223842728048E-2</v>
      </c>
      <c r="H112" s="24"/>
      <c r="I112" s="23">
        <v>0.22</v>
      </c>
      <c r="J112" s="96">
        <f>I112/$I$7</f>
        <v>4.6914317396681881E-4</v>
      </c>
      <c r="K112" s="96"/>
      <c r="L112" s="96"/>
      <c r="M112" s="22">
        <f>I112-C112</f>
        <v>-5.41</v>
      </c>
      <c r="N112" s="54">
        <f>M112/C112</f>
        <v>-0.96092362344582594</v>
      </c>
      <c r="O112" s="54">
        <f>I112/F112</f>
        <v>7.8824793980652088E-3</v>
      </c>
      <c r="Q112" s="165"/>
    </row>
    <row r="113" spans="1:17" ht="15.75">
      <c r="A113" s="23" t="s">
        <v>212</v>
      </c>
      <c r="B113" s="22">
        <v>38.6</v>
      </c>
      <c r="C113" s="83">
        <v>2.54</v>
      </c>
      <c r="D113" s="87">
        <f>C113/$C$7</f>
        <v>6.5295629820051413E-3</v>
      </c>
      <c r="E113" s="23"/>
      <c r="F113" s="23">
        <v>33.72</v>
      </c>
      <c r="G113" s="24">
        <f>F113/$F$7</f>
        <v>1.5062514796731987E-2</v>
      </c>
      <c r="H113" s="24"/>
      <c r="I113" s="22">
        <v>0.11</v>
      </c>
      <c r="J113" s="96">
        <f>I113/$I$7</f>
        <v>2.345715869834094E-4</v>
      </c>
      <c r="K113" s="96"/>
      <c r="L113" s="96"/>
      <c r="M113" s="22">
        <f>I113-C113</f>
        <v>-2.4300000000000002</v>
      </c>
      <c r="N113" s="54">
        <f>M113/C113</f>
        <v>-0.95669291338582685</v>
      </c>
      <c r="O113" s="54">
        <f>I113/F113</f>
        <v>3.2621589561091344E-3</v>
      </c>
      <c r="Q113" s="165"/>
    </row>
    <row r="114" spans="1:17" ht="15.75">
      <c r="A114" s="89" t="s">
        <v>213</v>
      </c>
      <c r="B114" s="23">
        <v>33.32</v>
      </c>
      <c r="C114" s="83">
        <v>2.81</v>
      </c>
      <c r="D114" s="87">
        <f>C114/$C$7</f>
        <v>7.2236503856041136E-3</v>
      </c>
      <c r="E114" s="23"/>
      <c r="F114" s="23">
        <v>33.19</v>
      </c>
      <c r="G114" s="24">
        <f>F114/$F$7</f>
        <v>1.4825767084920956E-2</v>
      </c>
      <c r="H114" s="24"/>
      <c r="I114" s="22">
        <v>3.03</v>
      </c>
      <c r="J114" s="96">
        <f>I114/$I$7</f>
        <v>6.4613809869066398E-3</v>
      </c>
      <c r="K114" s="96"/>
      <c r="L114" s="96"/>
      <c r="M114" s="22">
        <f>I114-C114</f>
        <v>0.21999999999999975</v>
      </c>
      <c r="N114" s="54">
        <f>M114/C114</f>
        <v>7.8291814946619132E-2</v>
      </c>
      <c r="O114" s="54">
        <f>I114/F114</f>
        <v>9.1292557999397408E-2</v>
      </c>
      <c r="Q114" s="165"/>
    </row>
    <row r="115" spans="1:17" ht="15.75">
      <c r="A115" s="25" t="s">
        <v>122</v>
      </c>
      <c r="B115" s="26">
        <f>SUM(B112:B114)</f>
        <v>100.61000000000001</v>
      </c>
      <c r="C115" s="148">
        <f>SUM(C112:C114)</f>
        <v>10.98</v>
      </c>
      <c r="D115" s="88">
        <f>C115/$C$7</f>
        <v>2.8226221079691517E-2</v>
      </c>
      <c r="E115" s="25"/>
      <c r="F115" s="25">
        <f>SUM(F112:F114)</f>
        <v>94.82</v>
      </c>
      <c r="G115" s="56">
        <f>F115/$F$7</f>
        <v>4.2355505724380987E-2</v>
      </c>
      <c r="H115" s="56"/>
      <c r="I115" s="25">
        <f>SUM(I112:I114)</f>
        <v>3.36</v>
      </c>
      <c r="J115" s="56">
        <f>I115/$I$7</f>
        <v>7.1650957478568682E-3</v>
      </c>
      <c r="K115" s="56"/>
      <c r="L115" s="56"/>
      <c r="M115" s="26">
        <f>I115-C115</f>
        <v>-7.620000000000001</v>
      </c>
      <c r="N115" s="57">
        <f>M115/C115</f>
        <v>-0.69398907103825147</v>
      </c>
      <c r="O115" s="57">
        <f>I115/F115</f>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topLeftCell="A39" workbookViewId="0">
      <selection activeCell="P51" sqref="P51"/>
    </sheetView>
  </sheetViews>
  <sheetFormatPr defaultRowHeight="15"/>
  <cols>
    <col min="1" max="1" width="14.7109375" style="265" customWidth="1"/>
    <col min="2" max="12" width="10.85546875" style="265" customWidth="1"/>
    <col min="13" max="13" width="8.28515625" style="265" customWidth="1"/>
    <col min="14" max="256" width="9.140625" style="265"/>
    <col min="257" max="257" width="14.7109375" style="265" customWidth="1"/>
    <col min="258" max="268" width="10.85546875" style="265" customWidth="1"/>
    <col min="269" max="269" width="8.28515625" style="265" customWidth="1"/>
    <col min="270" max="512" width="9.140625" style="265"/>
    <col min="513" max="513" width="14.7109375" style="265" customWidth="1"/>
    <col min="514" max="524" width="10.85546875" style="265" customWidth="1"/>
    <col min="525" max="525" width="8.28515625" style="265" customWidth="1"/>
    <col min="526" max="768" width="9.140625" style="265"/>
    <col min="769" max="769" width="14.7109375" style="265" customWidth="1"/>
    <col min="770" max="780" width="10.85546875" style="265" customWidth="1"/>
    <col min="781" max="781" width="8.28515625" style="265" customWidth="1"/>
    <col min="782" max="1024" width="9.140625" style="265"/>
    <col min="1025" max="1025" width="14.7109375" style="265" customWidth="1"/>
    <col min="1026" max="1036" width="10.85546875" style="265" customWidth="1"/>
    <col min="1037" max="1037" width="8.28515625" style="265" customWidth="1"/>
    <col min="1038" max="1280" width="9.140625" style="265"/>
    <col min="1281" max="1281" width="14.7109375" style="265" customWidth="1"/>
    <col min="1282" max="1292" width="10.85546875" style="265" customWidth="1"/>
    <col min="1293" max="1293" width="8.28515625" style="265" customWidth="1"/>
    <col min="1294" max="1536" width="9.140625" style="265"/>
    <col min="1537" max="1537" width="14.7109375" style="265" customWidth="1"/>
    <col min="1538" max="1548" width="10.85546875" style="265" customWidth="1"/>
    <col min="1549" max="1549" width="8.28515625" style="265" customWidth="1"/>
    <col min="1550" max="1792" width="9.140625" style="265"/>
    <col min="1793" max="1793" width="14.7109375" style="265" customWidth="1"/>
    <col min="1794" max="1804" width="10.85546875" style="265" customWidth="1"/>
    <col min="1805" max="1805" width="8.28515625" style="265" customWidth="1"/>
    <col min="1806" max="2048" width="9.140625" style="265"/>
    <col min="2049" max="2049" width="14.7109375" style="265" customWidth="1"/>
    <col min="2050" max="2060" width="10.85546875" style="265" customWidth="1"/>
    <col min="2061" max="2061" width="8.28515625" style="265" customWidth="1"/>
    <col min="2062" max="2304" width="9.140625" style="265"/>
    <col min="2305" max="2305" width="14.7109375" style="265" customWidth="1"/>
    <col min="2306" max="2316" width="10.85546875" style="265" customWidth="1"/>
    <col min="2317" max="2317" width="8.28515625" style="265" customWidth="1"/>
    <col min="2318" max="2560" width="9.140625" style="265"/>
    <col min="2561" max="2561" width="14.7109375" style="265" customWidth="1"/>
    <col min="2562" max="2572" width="10.85546875" style="265" customWidth="1"/>
    <col min="2573" max="2573" width="8.28515625" style="265" customWidth="1"/>
    <col min="2574" max="2816" width="9.140625" style="265"/>
    <col min="2817" max="2817" width="14.7109375" style="265" customWidth="1"/>
    <col min="2818" max="2828" width="10.85546875" style="265" customWidth="1"/>
    <col min="2829" max="2829" width="8.28515625" style="265" customWidth="1"/>
    <col min="2830" max="3072" width="9.140625" style="265"/>
    <col min="3073" max="3073" width="14.7109375" style="265" customWidth="1"/>
    <col min="3074" max="3084" width="10.85546875" style="265" customWidth="1"/>
    <col min="3085" max="3085" width="8.28515625" style="265" customWidth="1"/>
    <col min="3086" max="3328" width="9.140625" style="265"/>
    <col min="3329" max="3329" width="14.7109375" style="265" customWidth="1"/>
    <col min="3330" max="3340" width="10.85546875" style="265" customWidth="1"/>
    <col min="3341" max="3341" width="8.28515625" style="265" customWidth="1"/>
    <col min="3342" max="3584" width="9.140625" style="265"/>
    <col min="3585" max="3585" width="14.7109375" style="265" customWidth="1"/>
    <col min="3586" max="3596" width="10.85546875" style="265" customWidth="1"/>
    <col min="3597" max="3597" width="8.28515625" style="265" customWidth="1"/>
    <col min="3598" max="3840" width="9.140625" style="265"/>
    <col min="3841" max="3841" width="14.7109375" style="265" customWidth="1"/>
    <col min="3842" max="3852" width="10.85546875" style="265" customWidth="1"/>
    <col min="3853" max="3853" width="8.28515625" style="265" customWidth="1"/>
    <col min="3854" max="4096" width="9.140625" style="265"/>
    <col min="4097" max="4097" width="14.7109375" style="265" customWidth="1"/>
    <col min="4098" max="4108" width="10.85546875" style="265" customWidth="1"/>
    <col min="4109" max="4109" width="8.28515625" style="265" customWidth="1"/>
    <col min="4110" max="4352" width="9.140625" style="265"/>
    <col min="4353" max="4353" width="14.7109375" style="265" customWidth="1"/>
    <col min="4354" max="4364" width="10.85546875" style="265" customWidth="1"/>
    <col min="4365" max="4365" width="8.28515625" style="265" customWidth="1"/>
    <col min="4366" max="4608" width="9.140625" style="265"/>
    <col min="4609" max="4609" width="14.7109375" style="265" customWidth="1"/>
    <col min="4610" max="4620" width="10.85546875" style="265" customWidth="1"/>
    <col min="4621" max="4621" width="8.28515625" style="265" customWidth="1"/>
    <col min="4622" max="4864" width="9.140625" style="265"/>
    <col min="4865" max="4865" width="14.7109375" style="265" customWidth="1"/>
    <col min="4866" max="4876" width="10.85546875" style="265" customWidth="1"/>
    <col min="4877" max="4877" width="8.28515625" style="265" customWidth="1"/>
    <col min="4878" max="5120" width="9.140625" style="265"/>
    <col min="5121" max="5121" width="14.7109375" style="265" customWidth="1"/>
    <col min="5122" max="5132" width="10.85546875" style="265" customWidth="1"/>
    <col min="5133" max="5133" width="8.28515625" style="265" customWidth="1"/>
    <col min="5134" max="5376" width="9.140625" style="265"/>
    <col min="5377" max="5377" width="14.7109375" style="265" customWidth="1"/>
    <col min="5378" max="5388" width="10.85546875" style="265" customWidth="1"/>
    <col min="5389" max="5389" width="8.28515625" style="265" customWidth="1"/>
    <col min="5390" max="5632" width="9.140625" style="265"/>
    <col min="5633" max="5633" width="14.7109375" style="265" customWidth="1"/>
    <col min="5634" max="5644" width="10.85546875" style="265" customWidth="1"/>
    <col min="5645" max="5645" width="8.28515625" style="265" customWidth="1"/>
    <col min="5646" max="5888" width="9.140625" style="265"/>
    <col min="5889" max="5889" width="14.7109375" style="265" customWidth="1"/>
    <col min="5890" max="5900" width="10.85546875" style="265" customWidth="1"/>
    <col min="5901" max="5901" width="8.28515625" style="265" customWidth="1"/>
    <col min="5902" max="6144" width="9.140625" style="265"/>
    <col min="6145" max="6145" width="14.7109375" style="265" customWidth="1"/>
    <col min="6146" max="6156" width="10.85546875" style="265" customWidth="1"/>
    <col min="6157" max="6157" width="8.28515625" style="265" customWidth="1"/>
    <col min="6158" max="6400" width="9.140625" style="265"/>
    <col min="6401" max="6401" width="14.7109375" style="265" customWidth="1"/>
    <col min="6402" max="6412" width="10.85546875" style="265" customWidth="1"/>
    <col min="6413" max="6413" width="8.28515625" style="265" customWidth="1"/>
    <col min="6414" max="6656" width="9.140625" style="265"/>
    <col min="6657" max="6657" width="14.7109375" style="265" customWidth="1"/>
    <col min="6658" max="6668" width="10.85546875" style="265" customWidth="1"/>
    <col min="6669" max="6669" width="8.28515625" style="265" customWidth="1"/>
    <col min="6670" max="6912" width="9.140625" style="265"/>
    <col min="6913" max="6913" width="14.7109375" style="265" customWidth="1"/>
    <col min="6914" max="6924" width="10.85546875" style="265" customWidth="1"/>
    <col min="6925" max="6925" width="8.28515625" style="265" customWidth="1"/>
    <col min="6926" max="7168" width="9.140625" style="265"/>
    <col min="7169" max="7169" width="14.7109375" style="265" customWidth="1"/>
    <col min="7170" max="7180" width="10.85546875" style="265" customWidth="1"/>
    <col min="7181" max="7181" width="8.28515625" style="265" customWidth="1"/>
    <col min="7182" max="7424" width="9.140625" style="265"/>
    <col min="7425" max="7425" width="14.7109375" style="265" customWidth="1"/>
    <col min="7426" max="7436" width="10.85546875" style="265" customWidth="1"/>
    <col min="7437" max="7437" width="8.28515625" style="265" customWidth="1"/>
    <col min="7438" max="7680" width="9.140625" style="265"/>
    <col min="7681" max="7681" width="14.7109375" style="265" customWidth="1"/>
    <col min="7682" max="7692" width="10.85546875" style="265" customWidth="1"/>
    <col min="7693" max="7693" width="8.28515625" style="265" customWidth="1"/>
    <col min="7694" max="7936" width="9.140625" style="265"/>
    <col min="7937" max="7937" width="14.7109375" style="265" customWidth="1"/>
    <col min="7938" max="7948" width="10.85546875" style="265" customWidth="1"/>
    <col min="7949" max="7949" width="8.28515625" style="265" customWidth="1"/>
    <col min="7950" max="8192" width="9.140625" style="265"/>
    <col min="8193" max="8193" width="14.7109375" style="265" customWidth="1"/>
    <col min="8194" max="8204" width="10.85546875" style="265" customWidth="1"/>
    <col min="8205" max="8205" width="8.28515625" style="265" customWidth="1"/>
    <col min="8206" max="8448" width="9.140625" style="265"/>
    <col min="8449" max="8449" width="14.7109375" style="265" customWidth="1"/>
    <col min="8450" max="8460" width="10.85546875" style="265" customWidth="1"/>
    <col min="8461" max="8461" width="8.28515625" style="265" customWidth="1"/>
    <col min="8462" max="8704" width="9.140625" style="265"/>
    <col min="8705" max="8705" width="14.7109375" style="265" customWidth="1"/>
    <col min="8706" max="8716" width="10.85546875" style="265" customWidth="1"/>
    <col min="8717" max="8717" width="8.28515625" style="265" customWidth="1"/>
    <col min="8718" max="8960" width="9.140625" style="265"/>
    <col min="8961" max="8961" width="14.7109375" style="265" customWidth="1"/>
    <col min="8962" max="8972" width="10.85546875" style="265" customWidth="1"/>
    <col min="8973" max="8973" width="8.28515625" style="265" customWidth="1"/>
    <col min="8974" max="9216" width="9.140625" style="265"/>
    <col min="9217" max="9217" width="14.7109375" style="265" customWidth="1"/>
    <col min="9218" max="9228" width="10.85546875" style="265" customWidth="1"/>
    <col min="9229" max="9229" width="8.28515625" style="265" customWidth="1"/>
    <col min="9230" max="9472" width="9.140625" style="265"/>
    <col min="9473" max="9473" width="14.7109375" style="265" customWidth="1"/>
    <col min="9474" max="9484" width="10.85546875" style="265" customWidth="1"/>
    <col min="9485" max="9485" width="8.28515625" style="265" customWidth="1"/>
    <col min="9486" max="9728" width="9.140625" style="265"/>
    <col min="9729" max="9729" width="14.7109375" style="265" customWidth="1"/>
    <col min="9730" max="9740" width="10.85546875" style="265" customWidth="1"/>
    <col min="9741" max="9741" width="8.28515625" style="265" customWidth="1"/>
    <col min="9742" max="9984" width="9.140625" style="265"/>
    <col min="9985" max="9985" width="14.7109375" style="265" customWidth="1"/>
    <col min="9986" max="9996" width="10.85546875" style="265" customWidth="1"/>
    <col min="9997" max="9997" width="8.28515625" style="265" customWidth="1"/>
    <col min="9998" max="10240" width="9.140625" style="265"/>
    <col min="10241" max="10241" width="14.7109375" style="265" customWidth="1"/>
    <col min="10242" max="10252" width="10.85546875" style="265" customWidth="1"/>
    <col min="10253" max="10253" width="8.28515625" style="265" customWidth="1"/>
    <col min="10254" max="10496" width="9.140625" style="265"/>
    <col min="10497" max="10497" width="14.7109375" style="265" customWidth="1"/>
    <col min="10498" max="10508" width="10.85546875" style="265" customWidth="1"/>
    <col min="10509" max="10509" width="8.28515625" style="265" customWidth="1"/>
    <col min="10510" max="10752" width="9.140625" style="265"/>
    <col min="10753" max="10753" width="14.7109375" style="265" customWidth="1"/>
    <col min="10754" max="10764" width="10.85546875" style="265" customWidth="1"/>
    <col min="10765" max="10765" width="8.28515625" style="265" customWidth="1"/>
    <col min="10766" max="11008" width="9.140625" style="265"/>
    <col min="11009" max="11009" width="14.7109375" style="265" customWidth="1"/>
    <col min="11010" max="11020" width="10.85546875" style="265" customWidth="1"/>
    <col min="11021" max="11021" width="8.28515625" style="265" customWidth="1"/>
    <col min="11022" max="11264" width="9.140625" style="265"/>
    <col min="11265" max="11265" width="14.7109375" style="265" customWidth="1"/>
    <col min="11266" max="11276" width="10.85546875" style="265" customWidth="1"/>
    <col min="11277" max="11277" width="8.28515625" style="265" customWidth="1"/>
    <col min="11278" max="11520" width="9.140625" style="265"/>
    <col min="11521" max="11521" width="14.7109375" style="265" customWidth="1"/>
    <col min="11522" max="11532" width="10.85546875" style="265" customWidth="1"/>
    <col min="11533" max="11533" width="8.28515625" style="265" customWidth="1"/>
    <col min="11534" max="11776" width="9.140625" style="265"/>
    <col min="11777" max="11777" width="14.7109375" style="265" customWidth="1"/>
    <col min="11778" max="11788" width="10.85546875" style="265" customWidth="1"/>
    <col min="11789" max="11789" width="8.28515625" style="265" customWidth="1"/>
    <col min="11790" max="12032" width="9.140625" style="265"/>
    <col min="12033" max="12033" width="14.7109375" style="265" customWidth="1"/>
    <col min="12034" max="12044" width="10.85546875" style="265" customWidth="1"/>
    <col min="12045" max="12045" width="8.28515625" style="265" customWidth="1"/>
    <col min="12046" max="12288" width="9.140625" style="265"/>
    <col min="12289" max="12289" width="14.7109375" style="265" customWidth="1"/>
    <col min="12290" max="12300" width="10.85546875" style="265" customWidth="1"/>
    <col min="12301" max="12301" width="8.28515625" style="265" customWidth="1"/>
    <col min="12302" max="12544" width="9.140625" style="265"/>
    <col min="12545" max="12545" width="14.7109375" style="265" customWidth="1"/>
    <col min="12546" max="12556" width="10.85546875" style="265" customWidth="1"/>
    <col min="12557" max="12557" width="8.28515625" style="265" customWidth="1"/>
    <col min="12558" max="12800" width="9.140625" style="265"/>
    <col min="12801" max="12801" width="14.7109375" style="265" customWidth="1"/>
    <col min="12802" max="12812" width="10.85546875" style="265" customWidth="1"/>
    <col min="12813" max="12813" width="8.28515625" style="265" customWidth="1"/>
    <col min="12814" max="13056" width="9.140625" style="265"/>
    <col min="13057" max="13057" width="14.7109375" style="265" customWidth="1"/>
    <col min="13058" max="13068" width="10.85546875" style="265" customWidth="1"/>
    <col min="13069" max="13069" width="8.28515625" style="265" customWidth="1"/>
    <col min="13070" max="13312" width="9.140625" style="265"/>
    <col min="13313" max="13313" width="14.7109375" style="265" customWidth="1"/>
    <col min="13314" max="13324" width="10.85546875" style="265" customWidth="1"/>
    <col min="13325" max="13325" width="8.28515625" style="265" customWidth="1"/>
    <col min="13326" max="13568" width="9.140625" style="265"/>
    <col min="13569" max="13569" width="14.7109375" style="265" customWidth="1"/>
    <col min="13570" max="13580" width="10.85546875" style="265" customWidth="1"/>
    <col min="13581" max="13581" width="8.28515625" style="265" customWidth="1"/>
    <col min="13582" max="13824" width="9.140625" style="265"/>
    <col min="13825" max="13825" width="14.7109375" style="265" customWidth="1"/>
    <col min="13826" max="13836" width="10.85546875" style="265" customWidth="1"/>
    <col min="13837" max="13837" width="8.28515625" style="265" customWidth="1"/>
    <col min="13838" max="14080" width="9.140625" style="265"/>
    <col min="14081" max="14081" width="14.7109375" style="265" customWidth="1"/>
    <col min="14082" max="14092" width="10.85546875" style="265" customWidth="1"/>
    <col min="14093" max="14093" width="8.28515625" style="265" customWidth="1"/>
    <col min="14094" max="14336" width="9.140625" style="265"/>
    <col min="14337" max="14337" width="14.7109375" style="265" customWidth="1"/>
    <col min="14338" max="14348" width="10.85546875" style="265" customWidth="1"/>
    <col min="14349" max="14349" width="8.28515625" style="265" customWidth="1"/>
    <col min="14350" max="14592" width="9.140625" style="265"/>
    <col min="14593" max="14593" width="14.7109375" style="265" customWidth="1"/>
    <col min="14594" max="14604" width="10.85546875" style="265" customWidth="1"/>
    <col min="14605" max="14605" width="8.28515625" style="265" customWidth="1"/>
    <col min="14606" max="14848" width="9.140625" style="265"/>
    <col min="14849" max="14849" width="14.7109375" style="265" customWidth="1"/>
    <col min="14850" max="14860" width="10.85546875" style="265" customWidth="1"/>
    <col min="14861" max="14861" width="8.28515625" style="265" customWidth="1"/>
    <col min="14862" max="15104" width="9.140625" style="265"/>
    <col min="15105" max="15105" width="14.7109375" style="265" customWidth="1"/>
    <col min="15106" max="15116" width="10.85546875" style="265" customWidth="1"/>
    <col min="15117" max="15117" width="8.28515625" style="265" customWidth="1"/>
    <col min="15118" max="15360" width="9.140625" style="265"/>
    <col min="15361" max="15361" width="14.7109375" style="265" customWidth="1"/>
    <col min="15362" max="15372" width="10.85546875" style="265" customWidth="1"/>
    <col min="15373" max="15373" width="8.28515625" style="265" customWidth="1"/>
    <col min="15374" max="15616" width="9.140625" style="265"/>
    <col min="15617" max="15617" width="14.7109375" style="265" customWidth="1"/>
    <col min="15618" max="15628" width="10.85546875" style="265" customWidth="1"/>
    <col min="15629" max="15629" width="8.28515625" style="265" customWidth="1"/>
    <col min="15630" max="15872" width="9.140625" style="265"/>
    <col min="15873" max="15873" width="14.7109375" style="265" customWidth="1"/>
    <col min="15874" max="15884" width="10.85546875" style="265" customWidth="1"/>
    <col min="15885" max="15885" width="8.28515625" style="265" customWidth="1"/>
    <col min="15886" max="16128" width="9.140625" style="265"/>
    <col min="16129" max="16129" width="14.7109375" style="265" customWidth="1"/>
    <col min="16130" max="16140" width="10.85546875" style="265" customWidth="1"/>
    <col min="16141" max="16141" width="8.28515625" style="265" customWidth="1"/>
    <col min="16142" max="16384" width="9.140625" style="265"/>
  </cols>
  <sheetData>
    <row r="1" spans="1:13">
      <c r="A1" s="285" t="s">
        <v>324</v>
      </c>
      <c r="B1" s="286"/>
      <c r="C1" s="286"/>
      <c r="D1" s="286"/>
      <c r="E1" s="286"/>
      <c r="F1" s="286"/>
      <c r="G1" s="286"/>
      <c r="H1" s="286"/>
      <c r="I1" s="286"/>
      <c r="J1" s="286"/>
      <c r="K1" s="286"/>
      <c r="L1" s="286"/>
      <c r="M1" s="286"/>
    </row>
    <row r="2" spans="1:13">
      <c r="A2" s="285" t="s">
        <v>325</v>
      </c>
      <c r="B2" s="286"/>
      <c r="C2" s="286"/>
      <c r="D2" s="286"/>
      <c r="E2" s="286"/>
      <c r="F2" s="286"/>
      <c r="G2" s="286"/>
      <c r="H2" s="286"/>
      <c r="I2" s="286"/>
      <c r="J2" s="286"/>
      <c r="K2" s="286"/>
      <c r="L2" s="286"/>
      <c r="M2" s="286"/>
    </row>
    <row r="3" spans="1:13">
      <c r="A3" s="264" t="s">
        <v>0</v>
      </c>
      <c r="B3" s="264" t="s">
        <v>1</v>
      </c>
      <c r="C3" s="264" t="s">
        <v>2</v>
      </c>
      <c r="D3" s="264" t="s">
        <v>3</v>
      </c>
      <c r="E3" s="264" t="s">
        <v>4</v>
      </c>
      <c r="F3" s="264" t="s">
        <v>5</v>
      </c>
      <c r="G3" s="264" t="s">
        <v>6</v>
      </c>
      <c r="H3" s="264" t="s">
        <v>7</v>
      </c>
      <c r="I3" s="264" t="s">
        <v>8</v>
      </c>
      <c r="J3" s="264" t="s">
        <v>9</v>
      </c>
      <c r="K3" s="264" t="s">
        <v>10</v>
      </c>
      <c r="L3" s="264" t="s">
        <v>11</v>
      </c>
      <c r="M3" s="264" t="s">
        <v>12</v>
      </c>
    </row>
    <row r="4" spans="1:13">
      <c r="A4" s="264" t="s">
        <v>13</v>
      </c>
      <c r="B4" s="29">
        <v>52582</v>
      </c>
      <c r="C4" s="29">
        <v>196134</v>
      </c>
      <c r="D4" s="29">
        <v>36947</v>
      </c>
      <c r="E4" s="29">
        <v>86088</v>
      </c>
      <c r="F4" s="29">
        <v>111928</v>
      </c>
      <c r="G4" s="29">
        <v>213747</v>
      </c>
      <c r="H4" s="29">
        <v>237009</v>
      </c>
      <c r="I4" s="29">
        <v>461</v>
      </c>
      <c r="J4" s="29">
        <v>33408</v>
      </c>
      <c r="K4" s="29">
        <v>72635</v>
      </c>
      <c r="L4" s="28" t="s">
        <v>14</v>
      </c>
      <c r="M4" s="29">
        <v>1040939</v>
      </c>
    </row>
    <row r="5" spans="1:13">
      <c r="A5" s="264" t="s">
        <v>15</v>
      </c>
      <c r="B5" s="29">
        <v>28053</v>
      </c>
      <c r="C5" s="29">
        <v>104894</v>
      </c>
      <c r="D5" s="29">
        <v>20042</v>
      </c>
      <c r="E5" s="29">
        <v>46896</v>
      </c>
      <c r="F5" s="29">
        <v>60591</v>
      </c>
      <c r="G5" s="29">
        <v>145085</v>
      </c>
      <c r="H5" s="29">
        <v>139009</v>
      </c>
      <c r="I5" s="29">
        <v>252</v>
      </c>
      <c r="J5" s="29">
        <v>17462</v>
      </c>
      <c r="K5" s="29">
        <v>36580</v>
      </c>
      <c r="L5" s="28" t="s">
        <v>14</v>
      </c>
      <c r="M5" s="29">
        <v>598865</v>
      </c>
    </row>
    <row r="6" spans="1:13">
      <c r="A6" s="264" t="s">
        <v>16</v>
      </c>
      <c r="B6" s="28" t="s">
        <v>14</v>
      </c>
      <c r="C6" s="29">
        <v>15</v>
      </c>
      <c r="D6" s="29">
        <v>3</v>
      </c>
      <c r="E6" s="28" t="s">
        <v>14</v>
      </c>
      <c r="F6" s="29">
        <v>18</v>
      </c>
      <c r="G6" s="29">
        <v>43</v>
      </c>
      <c r="H6" s="29">
        <v>36</v>
      </c>
      <c r="I6" s="28" t="s">
        <v>14</v>
      </c>
      <c r="J6" s="28" t="s">
        <v>14</v>
      </c>
      <c r="K6" s="29">
        <v>23</v>
      </c>
      <c r="L6" s="28" t="s">
        <v>14</v>
      </c>
      <c r="M6" s="29">
        <v>139</v>
      </c>
    </row>
    <row r="7" spans="1:13">
      <c r="A7" s="264" t="s">
        <v>17</v>
      </c>
      <c r="B7" s="29">
        <v>5818</v>
      </c>
      <c r="C7" s="29">
        <v>14297</v>
      </c>
      <c r="D7" s="29">
        <v>3923</v>
      </c>
      <c r="E7" s="29">
        <v>10455</v>
      </c>
      <c r="F7" s="29">
        <v>9273</v>
      </c>
      <c r="G7" s="29">
        <v>38777</v>
      </c>
      <c r="H7" s="29">
        <v>27219</v>
      </c>
      <c r="I7" s="29">
        <v>23</v>
      </c>
      <c r="J7" s="29">
        <v>2757</v>
      </c>
      <c r="K7" s="29">
        <v>7300</v>
      </c>
      <c r="L7" s="28" t="s">
        <v>14</v>
      </c>
      <c r="M7" s="29">
        <v>119841</v>
      </c>
    </row>
    <row r="8" spans="1:13">
      <c r="A8" s="264" t="s">
        <v>18</v>
      </c>
      <c r="B8" s="29">
        <v>2758</v>
      </c>
      <c r="C8" s="29">
        <v>17239</v>
      </c>
      <c r="D8" s="29">
        <v>5062</v>
      </c>
      <c r="E8" s="29">
        <v>8349</v>
      </c>
      <c r="F8" s="29">
        <v>9352</v>
      </c>
      <c r="G8" s="29">
        <v>17096</v>
      </c>
      <c r="H8" s="29">
        <v>18401</v>
      </c>
      <c r="I8" s="29">
        <v>38</v>
      </c>
      <c r="J8" s="29">
        <v>2881</v>
      </c>
      <c r="K8" s="29">
        <v>5324</v>
      </c>
      <c r="L8" s="28" t="s">
        <v>14</v>
      </c>
      <c r="M8" s="29">
        <v>86500</v>
      </c>
    </row>
    <row r="9" spans="1:13">
      <c r="A9" s="264" t="s">
        <v>19</v>
      </c>
      <c r="B9" s="28" t="s">
        <v>14</v>
      </c>
      <c r="C9" s="28" t="s">
        <v>14</v>
      </c>
      <c r="D9" s="28" t="s">
        <v>14</v>
      </c>
      <c r="E9" s="28" t="s">
        <v>14</v>
      </c>
      <c r="F9" s="28" t="s">
        <v>14</v>
      </c>
      <c r="G9" s="28" t="s">
        <v>14</v>
      </c>
      <c r="H9" s="28" t="s">
        <v>14</v>
      </c>
      <c r="I9" s="28" t="s">
        <v>14</v>
      </c>
      <c r="J9" s="28" t="s">
        <v>14</v>
      </c>
      <c r="K9" s="28" t="s">
        <v>14</v>
      </c>
      <c r="L9" s="29">
        <v>153452</v>
      </c>
      <c r="M9" s="29">
        <v>153452</v>
      </c>
    </row>
    <row r="10" spans="1:13">
      <c r="A10" s="264"/>
      <c r="B10" s="28"/>
      <c r="C10" s="28"/>
      <c r="D10" s="28"/>
      <c r="E10" s="28"/>
      <c r="F10" s="28"/>
      <c r="G10" s="28"/>
      <c r="H10" s="28"/>
      <c r="I10" s="28"/>
      <c r="J10" s="28"/>
      <c r="K10" s="28"/>
      <c r="L10" s="29"/>
      <c r="M10" s="29"/>
    </row>
    <row r="11" spans="1:13">
      <c r="A11" s="264" t="s">
        <v>20</v>
      </c>
      <c r="B11" s="28" t="s">
        <v>14</v>
      </c>
      <c r="C11" s="28" t="s">
        <v>14</v>
      </c>
      <c r="D11" s="28" t="s">
        <v>14</v>
      </c>
      <c r="E11" s="28" t="s">
        <v>14</v>
      </c>
      <c r="F11" s="29">
        <v>1595</v>
      </c>
      <c r="G11" s="29">
        <v>175931</v>
      </c>
      <c r="H11" s="29">
        <v>64364</v>
      </c>
      <c r="I11" s="28" t="s">
        <v>14</v>
      </c>
      <c r="J11" s="28" t="s">
        <v>14</v>
      </c>
      <c r="K11" s="28" t="s">
        <v>14</v>
      </c>
      <c r="L11" s="28" t="s">
        <v>14</v>
      </c>
      <c r="M11" s="29">
        <v>241891</v>
      </c>
    </row>
    <row r="12" spans="1:13">
      <c r="A12" s="264" t="s">
        <v>21</v>
      </c>
      <c r="B12" s="28" t="s">
        <v>14</v>
      </c>
      <c r="C12" s="28" t="s">
        <v>14</v>
      </c>
      <c r="D12" s="29">
        <v>180</v>
      </c>
      <c r="E12" s="29">
        <v>58</v>
      </c>
      <c r="F12" s="29">
        <v>123</v>
      </c>
      <c r="G12" s="29">
        <v>7830</v>
      </c>
      <c r="H12" s="29">
        <v>949</v>
      </c>
      <c r="I12" s="28" t="s">
        <v>14</v>
      </c>
      <c r="J12" s="28" t="s">
        <v>14</v>
      </c>
      <c r="K12" s="28" t="s">
        <v>14</v>
      </c>
      <c r="L12" s="28" t="s">
        <v>14</v>
      </c>
      <c r="M12" s="29">
        <v>9141</v>
      </c>
    </row>
    <row r="13" spans="1:13">
      <c r="A13" s="264" t="s">
        <v>22</v>
      </c>
      <c r="B13" s="29">
        <v>132</v>
      </c>
      <c r="C13" s="29">
        <v>13628</v>
      </c>
      <c r="D13" s="29">
        <v>1129</v>
      </c>
      <c r="E13" s="29">
        <v>7664</v>
      </c>
      <c r="F13" s="29">
        <v>4131</v>
      </c>
      <c r="G13" s="29">
        <v>21937</v>
      </c>
      <c r="H13" s="29">
        <v>20758</v>
      </c>
      <c r="I13" s="29">
        <v>45</v>
      </c>
      <c r="J13" s="29">
        <v>24</v>
      </c>
      <c r="K13" s="29">
        <v>378</v>
      </c>
      <c r="L13" s="28" t="s">
        <v>14</v>
      </c>
      <c r="M13" s="29">
        <v>69827</v>
      </c>
    </row>
    <row r="14" spans="1:13">
      <c r="A14" s="264" t="s">
        <v>23</v>
      </c>
      <c r="B14" s="29">
        <v>245</v>
      </c>
      <c r="C14" s="29">
        <v>18112</v>
      </c>
      <c r="D14" s="29">
        <v>447</v>
      </c>
      <c r="E14" s="29">
        <v>2020</v>
      </c>
      <c r="F14" s="29">
        <v>2514</v>
      </c>
      <c r="G14" s="29">
        <v>20399</v>
      </c>
      <c r="H14" s="29">
        <v>9291</v>
      </c>
      <c r="I14" s="29">
        <v>22</v>
      </c>
      <c r="J14" s="29">
        <v>2940</v>
      </c>
      <c r="K14" s="29">
        <v>5535</v>
      </c>
      <c r="L14" s="28" t="s">
        <v>14</v>
      </c>
      <c r="M14" s="29">
        <v>61524</v>
      </c>
    </row>
    <row r="15" spans="1:13">
      <c r="A15" s="264" t="s">
        <v>24</v>
      </c>
      <c r="B15" s="29">
        <v>40</v>
      </c>
      <c r="C15" s="28" t="s">
        <v>14</v>
      </c>
      <c r="D15" s="29">
        <v>7</v>
      </c>
      <c r="E15" s="28" t="s">
        <v>14</v>
      </c>
      <c r="F15" s="29">
        <v>1</v>
      </c>
      <c r="G15" s="29">
        <v>90</v>
      </c>
      <c r="H15" s="29">
        <v>45</v>
      </c>
      <c r="I15" s="28" t="s">
        <v>14</v>
      </c>
      <c r="J15" s="28" t="s">
        <v>14</v>
      </c>
      <c r="K15" s="29">
        <v>15</v>
      </c>
      <c r="L15" s="28" t="s">
        <v>14</v>
      </c>
      <c r="M15" s="29">
        <v>197</v>
      </c>
    </row>
    <row r="16" spans="1:13">
      <c r="A16" s="264" t="s">
        <v>25</v>
      </c>
      <c r="B16" s="29">
        <v>1087</v>
      </c>
      <c r="C16" s="29">
        <v>440</v>
      </c>
      <c r="D16" s="29">
        <v>105</v>
      </c>
      <c r="E16" s="29">
        <v>357</v>
      </c>
      <c r="F16" s="29">
        <v>608</v>
      </c>
      <c r="G16" s="29">
        <v>516</v>
      </c>
      <c r="H16" s="29">
        <v>1211</v>
      </c>
      <c r="I16" s="28" t="s">
        <v>14</v>
      </c>
      <c r="J16" s="29">
        <v>270</v>
      </c>
      <c r="K16" s="29">
        <v>1113</v>
      </c>
      <c r="L16" s="28" t="s">
        <v>14</v>
      </c>
      <c r="M16" s="29">
        <v>5707</v>
      </c>
    </row>
    <row r="17" spans="1:13">
      <c r="A17" s="264" t="s">
        <v>26</v>
      </c>
      <c r="B17" s="29">
        <v>3785</v>
      </c>
      <c r="C17" s="29">
        <v>30884</v>
      </c>
      <c r="D17" s="29">
        <v>1448</v>
      </c>
      <c r="E17" s="29">
        <v>6786</v>
      </c>
      <c r="F17" s="29">
        <v>21670</v>
      </c>
      <c r="G17" s="29">
        <v>879</v>
      </c>
      <c r="H17" s="29">
        <v>25438</v>
      </c>
      <c r="I17" s="29">
        <v>35</v>
      </c>
      <c r="J17" s="29">
        <v>692</v>
      </c>
      <c r="K17" s="29">
        <v>17682</v>
      </c>
      <c r="L17" s="28" t="s">
        <v>14</v>
      </c>
      <c r="M17" s="29">
        <v>109299</v>
      </c>
    </row>
    <row r="18" spans="1:13">
      <c r="A18" s="264"/>
      <c r="B18" s="29"/>
      <c r="C18" s="29"/>
      <c r="D18" s="29"/>
      <c r="E18" s="29"/>
      <c r="F18" s="29"/>
      <c r="G18" s="29"/>
      <c r="H18" s="29"/>
      <c r="I18" s="29"/>
      <c r="J18" s="29"/>
      <c r="K18" s="29"/>
      <c r="L18" s="28"/>
      <c r="M18" s="29"/>
    </row>
    <row r="19" spans="1:13">
      <c r="A19" s="264" t="s">
        <v>27</v>
      </c>
      <c r="B19" s="29">
        <v>10</v>
      </c>
      <c r="C19" s="29">
        <v>5</v>
      </c>
      <c r="D19" s="28" t="s">
        <v>14</v>
      </c>
      <c r="E19" s="28" t="s">
        <v>14</v>
      </c>
      <c r="F19" s="29">
        <v>10</v>
      </c>
      <c r="G19" s="28" t="s">
        <v>14</v>
      </c>
      <c r="H19" s="28" t="s">
        <v>14</v>
      </c>
      <c r="I19" s="28" t="s">
        <v>14</v>
      </c>
      <c r="J19" s="28" t="s">
        <v>14</v>
      </c>
      <c r="K19" s="28" t="s">
        <v>14</v>
      </c>
      <c r="L19" s="28" t="s">
        <v>14</v>
      </c>
      <c r="M19" s="29">
        <v>25</v>
      </c>
    </row>
    <row r="20" spans="1:13">
      <c r="A20" s="264" t="s">
        <v>28</v>
      </c>
      <c r="B20" s="29">
        <v>619</v>
      </c>
      <c r="C20" s="28" t="s">
        <v>14</v>
      </c>
      <c r="D20" s="29">
        <v>108</v>
      </c>
      <c r="E20" s="29">
        <v>21</v>
      </c>
      <c r="F20" s="29">
        <v>705</v>
      </c>
      <c r="G20" s="28" t="s">
        <v>14</v>
      </c>
      <c r="H20" s="29">
        <v>91</v>
      </c>
      <c r="I20" s="28" t="s">
        <v>14</v>
      </c>
      <c r="J20" s="29">
        <v>10</v>
      </c>
      <c r="K20" s="29">
        <v>38</v>
      </c>
      <c r="L20" s="28" t="s">
        <v>14</v>
      </c>
      <c r="M20" s="29">
        <v>1593</v>
      </c>
    </row>
    <row r="21" spans="1:13">
      <c r="A21" s="264" t="s">
        <v>29</v>
      </c>
      <c r="B21" s="29">
        <v>1021</v>
      </c>
      <c r="C21" s="29">
        <v>408</v>
      </c>
      <c r="D21" s="29">
        <v>283</v>
      </c>
      <c r="E21" s="29">
        <v>228</v>
      </c>
      <c r="F21" s="29">
        <v>571</v>
      </c>
      <c r="G21" s="29">
        <v>1636</v>
      </c>
      <c r="H21" s="29">
        <v>1722</v>
      </c>
      <c r="I21" s="29">
        <v>14</v>
      </c>
      <c r="J21" s="29">
        <v>38</v>
      </c>
      <c r="K21" s="29">
        <v>455</v>
      </c>
      <c r="L21" s="28" t="s">
        <v>14</v>
      </c>
      <c r="M21" s="29">
        <v>6377</v>
      </c>
    </row>
    <row r="22" spans="1:13">
      <c r="A22" s="264" t="s">
        <v>30</v>
      </c>
      <c r="B22" s="28" t="s">
        <v>14</v>
      </c>
      <c r="C22" s="29">
        <v>1871</v>
      </c>
      <c r="D22" s="28" t="s">
        <v>14</v>
      </c>
      <c r="E22" s="28" t="s">
        <v>14</v>
      </c>
      <c r="F22" s="29">
        <v>18</v>
      </c>
      <c r="G22" s="28" t="s">
        <v>14</v>
      </c>
      <c r="H22" s="29">
        <v>4282</v>
      </c>
      <c r="I22" s="28" t="s">
        <v>14</v>
      </c>
      <c r="J22" s="28" t="s">
        <v>14</v>
      </c>
      <c r="K22" s="28" t="s">
        <v>14</v>
      </c>
      <c r="L22" s="28" t="s">
        <v>14</v>
      </c>
      <c r="M22" s="29">
        <v>6170</v>
      </c>
    </row>
    <row r="23" spans="1:13">
      <c r="A23" s="264"/>
      <c r="B23" s="28"/>
      <c r="C23" s="29"/>
      <c r="D23" s="28"/>
      <c r="E23" s="28"/>
      <c r="F23" s="29"/>
      <c r="G23" s="28"/>
      <c r="H23" s="29"/>
      <c r="I23" s="28"/>
      <c r="J23" s="28"/>
      <c r="K23" s="28"/>
      <c r="L23" s="28"/>
      <c r="M23" s="29"/>
    </row>
    <row r="24" spans="1:13">
      <c r="A24" s="264"/>
      <c r="B24" s="28"/>
      <c r="C24" s="29"/>
      <c r="D24" s="28"/>
      <c r="E24" s="28"/>
      <c r="F24" s="29"/>
      <c r="G24" s="28"/>
      <c r="H24" s="29"/>
      <c r="I24" s="28"/>
      <c r="J24" s="28"/>
      <c r="K24" s="28"/>
      <c r="L24" s="28"/>
      <c r="M24" s="29"/>
    </row>
    <row r="25" spans="1:13">
      <c r="A25" s="264" t="s">
        <v>31</v>
      </c>
      <c r="B25" s="28" t="s">
        <v>14</v>
      </c>
      <c r="C25" s="28" t="s">
        <v>14</v>
      </c>
      <c r="D25" s="28" t="s">
        <v>14</v>
      </c>
      <c r="E25" s="28" t="s">
        <v>14</v>
      </c>
      <c r="F25" s="28" t="s">
        <v>14</v>
      </c>
      <c r="G25" s="28" t="s">
        <v>14</v>
      </c>
      <c r="H25" s="29">
        <v>613</v>
      </c>
      <c r="I25" s="28" t="s">
        <v>14</v>
      </c>
      <c r="J25" s="28" t="s">
        <v>14</v>
      </c>
      <c r="K25" s="28" t="s">
        <v>14</v>
      </c>
      <c r="L25" s="28" t="s">
        <v>14</v>
      </c>
      <c r="M25" s="29">
        <v>613</v>
      </c>
    </row>
    <row r="26" spans="1:13">
      <c r="A26" s="264" t="s">
        <v>33</v>
      </c>
      <c r="B26" s="28" t="s">
        <v>14</v>
      </c>
      <c r="C26" s="28" t="s">
        <v>14</v>
      </c>
      <c r="D26" s="28" t="s">
        <v>14</v>
      </c>
      <c r="E26" s="28" t="s">
        <v>14</v>
      </c>
      <c r="F26" s="28" t="s">
        <v>14</v>
      </c>
      <c r="G26" s="28" t="s">
        <v>14</v>
      </c>
      <c r="H26" s="28" t="s">
        <v>14</v>
      </c>
      <c r="I26" s="28" t="s">
        <v>14</v>
      </c>
      <c r="J26" s="29">
        <v>51684</v>
      </c>
      <c r="K26" s="28" t="s">
        <v>14</v>
      </c>
      <c r="L26" s="28" t="s">
        <v>14</v>
      </c>
      <c r="M26" s="29">
        <v>51684</v>
      </c>
    </row>
    <row r="27" spans="1:13">
      <c r="A27" s="264" t="s">
        <v>34</v>
      </c>
      <c r="B27" s="28" t="s">
        <v>14</v>
      </c>
      <c r="C27" s="28" t="s">
        <v>14</v>
      </c>
      <c r="D27" s="28" t="s">
        <v>14</v>
      </c>
      <c r="E27" s="28" t="s">
        <v>14</v>
      </c>
      <c r="F27" s="28" t="s">
        <v>14</v>
      </c>
      <c r="G27" s="28" t="s">
        <v>14</v>
      </c>
      <c r="H27" s="28" t="s">
        <v>14</v>
      </c>
      <c r="I27" s="28" t="s">
        <v>14</v>
      </c>
      <c r="J27" s="29">
        <v>133465</v>
      </c>
      <c r="K27" s="28" t="s">
        <v>14</v>
      </c>
      <c r="L27" s="28" t="s">
        <v>14</v>
      </c>
      <c r="M27" s="29">
        <v>133465</v>
      </c>
    </row>
    <row r="28" spans="1:13">
      <c r="A28" s="264" t="s">
        <v>35</v>
      </c>
      <c r="B28" s="28" t="s">
        <v>14</v>
      </c>
      <c r="C28" s="29">
        <v>-2923</v>
      </c>
      <c r="D28" s="29">
        <v>48984</v>
      </c>
      <c r="E28" s="29">
        <v>1026</v>
      </c>
      <c r="F28" s="29">
        <v>84926</v>
      </c>
      <c r="G28" s="29">
        <v>10871</v>
      </c>
      <c r="H28" s="29">
        <v>31</v>
      </c>
      <c r="I28" s="29">
        <v>184</v>
      </c>
      <c r="J28" s="28" t="s">
        <v>14</v>
      </c>
      <c r="K28" s="28" t="s">
        <v>14</v>
      </c>
      <c r="L28" s="28" t="s">
        <v>14</v>
      </c>
      <c r="M28" s="29">
        <v>143098</v>
      </c>
    </row>
    <row r="29" spans="1:13">
      <c r="A29" s="264" t="s">
        <v>36</v>
      </c>
      <c r="B29" s="29">
        <v>437</v>
      </c>
      <c r="C29" s="29">
        <v>9984</v>
      </c>
      <c r="D29" s="29">
        <v>10399</v>
      </c>
      <c r="E29" s="29">
        <v>2893</v>
      </c>
      <c r="F29" s="29">
        <v>17552</v>
      </c>
      <c r="G29" s="29">
        <v>4973</v>
      </c>
      <c r="H29" s="29">
        <v>2687</v>
      </c>
      <c r="I29" s="28" t="s">
        <v>14</v>
      </c>
      <c r="J29" s="29">
        <v>12312</v>
      </c>
      <c r="K29" s="29">
        <v>653</v>
      </c>
      <c r="L29" s="28" t="s">
        <v>14</v>
      </c>
      <c r="M29" s="29">
        <v>61891</v>
      </c>
    </row>
    <row r="30" spans="1:13">
      <c r="A30" s="264"/>
      <c r="B30" s="29"/>
      <c r="C30" s="29"/>
      <c r="D30" s="29"/>
      <c r="E30" s="29"/>
      <c r="F30" s="29"/>
      <c r="G30" s="29"/>
      <c r="H30" s="29"/>
      <c r="I30" s="28"/>
      <c r="J30" s="29"/>
      <c r="K30" s="29"/>
      <c r="L30" s="28"/>
      <c r="M30" s="29"/>
    </row>
    <row r="31" spans="1:13">
      <c r="A31" s="264" t="s">
        <v>37</v>
      </c>
      <c r="B31" s="28" t="s">
        <v>14</v>
      </c>
      <c r="C31" s="28" t="s">
        <v>14</v>
      </c>
      <c r="D31" s="28" t="s">
        <v>14</v>
      </c>
      <c r="E31" s="28" t="s">
        <v>14</v>
      </c>
      <c r="F31" s="28" t="s">
        <v>14</v>
      </c>
      <c r="G31" s="29">
        <v>19939</v>
      </c>
      <c r="H31" s="28" t="s">
        <v>14</v>
      </c>
      <c r="I31" s="29">
        <v>617538</v>
      </c>
      <c r="J31" s="29">
        <v>-7242</v>
      </c>
      <c r="K31" s="28" t="s">
        <v>14</v>
      </c>
      <c r="L31" s="28" t="s">
        <v>14</v>
      </c>
      <c r="M31" s="29">
        <v>630235</v>
      </c>
    </row>
    <row r="32" spans="1:13">
      <c r="A32" s="264" t="s">
        <v>38</v>
      </c>
      <c r="B32" s="28" t="s">
        <v>14</v>
      </c>
      <c r="C32" s="29">
        <v>10894</v>
      </c>
      <c r="D32" s="28" t="s">
        <v>14</v>
      </c>
      <c r="E32" s="28" t="s">
        <v>14</v>
      </c>
      <c r="F32" s="28" t="s">
        <v>14</v>
      </c>
      <c r="G32" s="29">
        <v>1478</v>
      </c>
      <c r="H32" s="28" t="s">
        <v>14</v>
      </c>
      <c r="I32" s="28" t="s">
        <v>14</v>
      </c>
      <c r="J32" s="28" t="s">
        <v>14</v>
      </c>
      <c r="K32" s="28" t="s">
        <v>14</v>
      </c>
      <c r="L32" s="28" t="s">
        <v>14</v>
      </c>
      <c r="M32" s="29">
        <v>12371</v>
      </c>
    </row>
    <row r="33" spans="1:13">
      <c r="A33" s="264" t="s">
        <v>40</v>
      </c>
      <c r="B33" s="29">
        <v>585</v>
      </c>
      <c r="C33" s="29">
        <v>54753</v>
      </c>
      <c r="D33" s="29">
        <v>97</v>
      </c>
      <c r="E33" s="29">
        <v>10683</v>
      </c>
      <c r="F33" s="29">
        <v>31517</v>
      </c>
      <c r="G33" s="29">
        <v>48906</v>
      </c>
      <c r="H33" s="29">
        <v>19610</v>
      </c>
      <c r="I33" s="28" t="s">
        <v>14</v>
      </c>
      <c r="J33" s="29">
        <v>31207</v>
      </c>
      <c r="K33" s="29">
        <v>3347</v>
      </c>
      <c r="L33" s="28" t="s">
        <v>14</v>
      </c>
      <c r="M33" s="29">
        <v>200705</v>
      </c>
    </row>
    <row r="34" spans="1:13">
      <c r="A34" s="264" t="s">
        <v>41</v>
      </c>
      <c r="B34" s="28" t="s">
        <v>14</v>
      </c>
      <c r="C34" s="28" t="s">
        <v>14</v>
      </c>
      <c r="D34" s="29">
        <v>-762</v>
      </c>
      <c r="E34" s="29">
        <v>213</v>
      </c>
      <c r="F34" s="28" t="s">
        <v>14</v>
      </c>
      <c r="G34" s="28" t="s">
        <v>14</v>
      </c>
      <c r="H34" s="28" t="s">
        <v>14</v>
      </c>
      <c r="I34" s="28" t="s">
        <v>14</v>
      </c>
      <c r="J34" s="28" t="s">
        <v>14</v>
      </c>
      <c r="K34" s="28" t="s">
        <v>14</v>
      </c>
      <c r="L34" s="28" t="s">
        <v>14</v>
      </c>
      <c r="M34" s="29">
        <v>-548</v>
      </c>
    </row>
    <row r="35" spans="1:13">
      <c r="A35" s="264" t="s">
        <v>304</v>
      </c>
      <c r="B35" s="28" t="s">
        <v>14</v>
      </c>
      <c r="C35" s="28" t="s">
        <v>14</v>
      </c>
      <c r="D35" s="28" t="s">
        <v>14</v>
      </c>
      <c r="E35" s="29">
        <v>4295</v>
      </c>
      <c r="F35" s="28" t="s">
        <v>14</v>
      </c>
      <c r="G35" s="28" t="s">
        <v>14</v>
      </c>
      <c r="H35" s="28" t="s">
        <v>14</v>
      </c>
      <c r="I35" s="28" t="s">
        <v>14</v>
      </c>
      <c r="J35" s="28" t="s">
        <v>14</v>
      </c>
      <c r="K35" s="28" t="s">
        <v>14</v>
      </c>
      <c r="L35" s="28" t="s">
        <v>14</v>
      </c>
      <c r="M35" s="29">
        <v>4295</v>
      </c>
    </row>
    <row r="36" spans="1:13">
      <c r="A36" s="264" t="s">
        <v>305</v>
      </c>
      <c r="B36" s="28" t="s">
        <v>14</v>
      </c>
      <c r="C36" s="28" t="s">
        <v>14</v>
      </c>
      <c r="D36" s="28" t="s">
        <v>14</v>
      </c>
      <c r="E36" s="29">
        <v>10406</v>
      </c>
      <c r="F36" s="28" t="s">
        <v>14</v>
      </c>
      <c r="G36" s="28" t="s">
        <v>14</v>
      </c>
      <c r="H36" s="28" t="s">
        <v>14</v>
      </c>
      <c r="I36" s="28" t="s">
        <v>14</v>
      </c>
      <c r="J36" s="28" t="s">
        <v>14</v>
      </c>
      <c r="K36" s="28" t="s">
        <v>14</v>
      </c>
      <c r="L36" s="28" t="s">
        <v>14</v>
      </c>
      <c r="M36" s="29">
        <v>10406</v>
      </c>
    </row>
    <row r="37" spans="1:13">
      <c r="A37" s="264" t="s">
        <v>42</v>
      </c>
      <c r="B37" s="28" t="s">
        <v>14</v>
      </c>
      <c r="C37" s="28" t="s">
        <v>14</v>
      </c>
      <c r="D37" s="28" t="s">
        <v>14</v>
      </c>
      <c r="E37" s="28" t="s">
        <v>14</v>
      </c>
      <c r="F37" s="28" t="s">
        <v>14</v>
      </c>
      <c r="G37" s="28" t="s">
        <v>14</v>
      </c>
      <c r="H37" s="28" t="s">
        <v>14</v>
      </c>
      <c r="I37" s="29">
        <v>4474</v>
      </c>
      <c r="J37" s="28" t="s">
        <v>14</v>
      </c>
      <c r="K37" s="28" t="s">
        <v>14</v>
      </c>
      <c r="L37" s="28" t="s">
        <v>14</v>
      </c>
      <c r="M37" s="29">
        <v>4474</v>
      </c>
    </row>
    <row r="38" spans="1:13">
      <c r="A38" s="264"/>
      <c r="B38" s="28"/>
      <c r="C38" s="28"/>
      <c r="D38" s="28"/>
      <c r="E38" s="28"/>
      <c r="F38" s="28"/>
      <c r="G38" s="28"/>
      <c r="H38" s="28"/>
      <c r="I38" s="29"/>
      <c r="J38" s="28"/>
      <c r="K38" s="28"/>
      <c r="L38" s="28"/>
      <c r="M38" s="29"/>
    </row>
    <row r="39" spans="1:13">
      <c r="A39" s="264"/>
      <c r="B39" s="28"/>
      <c r="C39" s="28"/>
      <c r="D39" s="28"/>
      <c r="E39" s="28"/>
      <c r="F39" s="28"/>
      <c r="G39" s="28"/>
      <c r="H39" s="28"/>
      <c r="I39" s="29"/>
      <c r="J39" s="28"/>
      <c r="K39" s="28"/>
      <c r="L39" s="28"/>
      <c r="M39" s="29"/>
    </row>
    <row r="40" spans="1:13">
      <c r="A40" s="264"/>
      <c r="B40" s="28"/>
      <c r="C40" s="28"/>
      <c r="D40" s="28"/>
      <c r="E40" s="28"/>
      <c r="F40" s="28"/>
      <c r="G40" s="28"/>
      <c r="H40" s="28"/>
      <c r="I40" s="29"/>
      <c r="J40" s="28"/>
      <c r="K40" s="28"/>
      <c r="L40" s="28"/>
      <c r="M40" s="29"/>
    </row>
    <row r="41" spans="1:13">
      <c r="A41" s="264" t="s">
        <v>43</v>
      </c>
      <c r="B41" s="28" t="s">
        <v>14</v>
      </c>
      <c r="C41" s="28" t="s">
        <v>14</v>
      </c>
      <c r="D41" s="28" t="s">
        <v>14</v>
      </c>
      <c r="E41" s="28" t="s">
        <v>14</v>
      </c>
      <c r="F41" s="28" t="s">
        <v>14</v>
      </c>
      <c r="G41" s="28" t="s">
        <v>14</v>
      </c>
      <c r="H41" s="28" t="s">
        <v>14</v>
      </c>
      <c r="I41" s="29">
        <v>3975</v>
      </c>
      <c r="J41" s="28" t="s">
        <v>14</v>
      </c>
      <c r="K41" s="28" t="s">
        <v>14</v>
      </c>
      <c r="L41" s="28" t="s">
        <v>14</v>
      </c>
      <c r="M41" s="29">
        <v>3975</v>
      </c>
    </row>
    <row r="42" spans="1:13">
      <c r="A42" s="264" t="s">
        <v>44</v>
      </c>
      <c r="B42" s="29">
        <v>213</v>
      </c>
      <c r="C42" s="29">
        <v>596</v>
      </c>
      <c r="D42" s="29">
        <v>0</v>
      </c>
      <c r="E42" s="29">
        <v>405</v>
      </c>
      <c r="F42" s="29">
        <v>1609</v>
      </c>
      <c r="G42" s="29">
        <v>257</v>
      </c>
      <c r="H42" s="29">
        <v>1604</v>
      </c>
      <c r="I42" s="29">
        <v>89</v>
      </c>
      <c r="J42" s="28" t="s">
        <v>14</v>
      </c>
      <c r="K42" s="29">
        <v>876</v>
      </c>
      <c r="L42" s="28" t="s">
        <v>14</v>
      </c>
      <c r="M42" s="29">
        <v>5648</v>
      </c>
    </row>
    <row r="43" spans="1:13">
      <c r="A43" s="264" t="s">
        <v>45</v>
      </c>
      <c r="B43" s="29">
        <v>65</v>
      </c>
      <c r="C43" s="29">
        <v>139</v>
      </c>
      <c r="D43" s="29">
        <v>0</v>
      </c>
      <c r="E43" s="29">
        <v>116</v>
      </c>
      <c r="F43" s="29">
        <v>464</v>
      </c>
      <c r="G43" s="29">
        <v>102</v>
      </c>
      <c r="H43" s="29">
        <v>343</v>
      </c>
      <c r="I43" s="29">
        <v>25</v>
      </c>
      <c r="J43" s="28" t="s">
        <v>14</v>
      </c>
      <c r="K43" s="29">
        <v>268</v>
      </c>
      <c r="L43" s="28" t="s">
        <v>14</v>
      </c>
      <c r="M43" s="29">
        <v>1521</v>
      </c>
    </row>
    <row r="44" spans="1:13">
      <c r="A44" s="264" t="s">
        <v>46</v>
      </c>
      <c r="B44" s="29">
        <v>159</v>
      </c>
      <c r="C44" s="29">
        <v>299</v>
      </c>
      <c r="D44" s="29">
        <v>43</v>
      </c>
      <c r="E44" s="29">
        <v>84</v>
      </c>
      <c r="F44" s="29">
        <v>386</v>
      </c>
      <c r="G44" s="29">
        <v>67</v>
      </c>
      <c r="H44" s="29">
        <v>673</v>
      </c>
      <c r="I44" s="29">
        <v>4</v>
      </c>
      <c r="J44" s="28" t="s">
        <v>14</v>
      </c>
      <c r="K44" s="29">
        <v>922</v>
      </c>
      <c r="L44" s="28" t="s">
        <v>14</v>
      </c>
      <c r="M44" s="29">
        <v>2637</v>
      </c>
    </row>
    <row r="45" spans="1:13">
      <c r="A45" s="264" t="s">
        <v>47</v>
      </c>
      <c r="B45" s="28" t="s">
        <v>14</v>
      </c>
      <c r="C45" s="29">
        <v>67</v>
      </c>
      <c r="D45" s="28" t="s">
        <v>14</v>
      </c>
      <c r="E45" s="28" t="s">
        <v>14</v>
      </c>
      <c r="F45" s="28" t="s">
        <v>14</v>
      </c>
      <c r="G45" s="28" t="s">
        <v>14</v>
      </c>
      <c r="H45" s="28" t="s">
        <v>14</v>
      </c>
      <c r="I45" s="28" t="s">
        <v>14</v>
      </c>
      <c r="J45" s="28" t="s">
        <v>14</v>
      </c>
      <c r="K45" s="28" t="s">
        <v>14</v>
      </c>
      <c r="L45" s="28" t="s">
        <v>14</v>
      </c>
      <c r="M45" s="29">
        <v>67</v>
      </c>
    </row>
    <row r="46" spans="1:13">
      <c r="A46" s="264" t="s">
        <v>48</v>
      </c>
      <c r="B46" s="29">
        <v>232</v>
      </c>
      <c r="C46" s="29">
        <v>11</v>
      </c>
      <c r="D46" s="28" t="s">
        <v>14</v>
      </c>
      <c r="E46" s="28" t="s">
        <v>14</v>
      </c>
      <c r="F46" s="28" t="s">
        <v>14</v>
      </c>
      <c r="G46" s="28" t="s">
        <v>14</v>
      </c>
      <c r="H46" s="28" t="s">
        <v>14</v>
      </c>
      <c r="I46" s="28" t="s">
        <v>14</v>
      </c>
      <c r="J46" s="28" t="s">
        <v>14</v>
      </c>
      <c r="K46" s="28" t="s">
        <v>14</v>
      </c>
      <c r="L46" s="28" t="s">
        <v>14</v>
      </c>
      <c r="M46" s="29">
        <v>244</v>
      </c>
    </row>
    <row r="47" spans="1:13">
      <c r="A47" s="264" t="s">
        <v>49</v>
      </c>
      <c r="B47" s="29">
        <v>45</v>
      </c>
      <c r="C47" s="28" t="s">
        <v>14</v>
      </c>
      <c r="D47" s="28" t="s">
        <v>14</v>
      </c>
      <c r="E47" s="28" t="s">
        <v>14</v>
      </c>
      <c r="F47" s="28" t="s">
        <v>14</v>
      </c>
      <c r="G47" s="28" t="s">
        <v>14</v>
      </c>
      <c r="H47" s="28" t="s">
        <v>14</v>
      </c>
      <c r="I47" s="28" t="s">
        <v>14</v>
      </c>
      <c r="J47" s="29">
        <v>36</v>
      </c>
      <c r="K47" s="28" t="s">
        <v>14</v>
      </c>
      <c r="L47" s="28" t="s">
        <v>14</v>
      </c>
      <c r="M47" s="29">
        <v>81</v>
      </c>
    </row>
    <row r="48" spans="1:13">
      <c r="A48" s="264"/>
      <c r="B48" s="29"/>
      <c r="C48" s="28"/>
      <c r="D48" s="28"/>
      <c r="E48" s="28"/>
      <c r="F48" s="28"/>
      <c r="G48" s="28"/>
      <c r="H48" s="28"/>
      <c r="I48" s="28"/>
      <c r="J48" s="29"/>
      <c r="K48" s="28"/>
      <c r="L48" s="28"/>
      <c r="M48" s="29"/>
    </row>
    <row r="49" spans="1:13">
      <c r="A49" s="264"/>
      <c r="B49" s="29"/>
      <c r="C49" s="28"/>
      <c r="D49" s="28"/>
      <c r="E49" s="28"/>
      <c r="F49" s="28"/>
      <c r="G49" s="28"/>
      <c r="H49" s="28"/>
      <c r="I49" s="28"/>
      <c r="J49" s="29"/>
      <c r="K49" s="28"/>
      <c r="L49" s="28"/>
      <c r="M49" s="29"/>
    </row>
    <row r="50" spans="1:13">
      <c r="A50" s="264" t="s">
        <v>50</v>
      </c>
      <c r="B50" s="28" t="s">
        <v>14</v>
      </c>
      <c r="C50" s="28" t="s">
        <v>14</v>
      </c>
      <c r="D50" s="28" t="s">
        <v>14</v>
      </c>
      <c r="E50" s="28" t="s">
        <v>14</v>
      </c>
      <c r="F50" s="28" t="s">
        <v>14</v>
      </c>
      <c r="G50" s="28" t="s">
        <v>14</v>
      </c>
      <c r="H50" s="28" t="s">
        <v>14</v>
      </c>
      <c r="I50" s="29">
        <v>37045</v>
      </c>
      <c r="J50" s="28" t="s">
        <v>14</v>
      </c>
      <c r="K50" s="28" t="s">
        <v>14</v>
      </c>
      <c r="L50" s="28" t="s">
        <v>14</v>
      </c>
      <c r="M50" s="29">
        <v>37045</v>
      </c>
    </row>
    <row r="51" spans="1:13">
      <c r="A51" s="264" t="s">
        <v>51</v>
      </c>
      <c r="B51" s="28" t="s">
        <v>14</v>
      </c>
      <c r="C51" s="28" t="s">
        <v>14</v>
      </c>
      <c r="D51" s="29">
        <v>-2394</v>
      </c>
      <c r="E51" s="29">
        <v>13381</v>
      </c>
      <c r="F51" s="28" t="s">
        <v>14</v>
      </c>
      <c r="G51" s="28" t="s">
        <v>14</v>
      </c>
      <c r="H51" s="28" t="s">
        <v>14</v>
      </c>
      <c r="I51" s="28" t="s">
        <v>14</v>
      </c>
      <c r="J51" s="28" t="s">
        <v>14</v>
      </c>
      <c r="K51" s="28" t="s">
        <v>14</v>
      </c>
      <c r="L51" s="28" t="s">
        <v>14</v>
      </c>
      <c r="M51" s="29">
        <v>10987</v>
      </c>
    </row>
    <row r="52" spans="1:13">
      <c r="A52" s="264" t="s">
        <v>52</v>
      </c>
      <c r="B52" s="28" t="s">
        <v>14</v>
      </c>
      <c r="C52" s="28" t="s">
        <v>14</v>
      </c>
      <c r="D52" s="29">
        <v>-1847</v>
      </c>
      <c r="E52" s="29">
        <v>16971</v>
      </c>
      <c r="F52" s="28" t="s">
        <v>14</v>
      </c>
      <c r="G52" s="28" t="s">
        <v>14</v>
      </c>
      <c r="H52" s="28" t="s">
        <v>14</v>
      </c>
      <c r="I52" s="28" t="s">
        <v>14</v>
      </c>
      <c r="J52" s="28" t="s">
        <v>14</v>
      </c>
      <c r="K52" s="28" t="s">
        <v>14</v>
      </c>
      <c r="L52" s="28" t="s">
        <v>14</v>
      </c>
      <c r="M52" s="29">
        <v>15123</v>
      </c>
    </row>
    <row r="53" spans="1:13">
      <c r="A53" s="264" t="s">
        <v>53</v>
      </c>
      <c r="B53" s="29">
        <v>109</v>
      </c>
      <c r="C53" s="29">
        <v>3786</v>
      </c>
      <c r="D53" s="29">
        <v>677</v>
      </c>
      <c r="E53" s="29">
        <v>76</v>
      </c>
      <c r="F53" s="29">
        <v>2008</v>
      </c>
      <c r="G53" s="29">
        <v>2617</v>
      </c>
      <c r="H53" s="29">
        <v>1199</v>
      </c>
      <c r="I53" s="28" t="s">
        <v>14</v>
      </c>
      <c r="J53" s="29">
        <v>2503</v>
      </c>
      <c r="K53" s="29">
        <v>59</v>
      </c>
      <c r="L53" s="28" t="s">
        <v>14</v>
      </c>
      <c r="M53" s="29">
        <v>13033</v>
      </c>
    </row>
    <row r="54" spans="1:13">
      <c r="A54" s="264" t="s">
        <v>54</v>
      </c>
      <c r="B54" s="29">
        <v>109</v>
      </c>
      <c r="C54" s="29">
        <v>3786</v>
      </c>
      <c r="D54" s="29">
        <v>677</v>
      </c>
      <c r="E54" s="29">
        <v>76</v>
      </c>
      <c r="F54" s="29">
        <v>2008</v>
      </c>
      <c r="G54" s="29">
        <v>2617</v>
      </c>
      <c r="H54" s="29">
        <v>1199</v>
      </c>
      <c r="I54" s="28" t="s">
        <v>14</v>
      </c>
      <c r="J54" s="29">
        <v>2503</v>
      </c>
      <c r="K54" s="29">
        <v>59</v>
      </c>
      <c r="L54" s="28" t="s">
        <v>14</v>
      </c>
      <c r="M54" s="29">
        <v>13033</v>
      </c>
    </row>
    <row r="55" spans="1:13">
      <c r="A55" s="264"/>
      <c r="B55" s="29"/>
      <c r="C55" s="29"/>
      <c r="D55" s="29"/>
      <c r="E55" s="29"/>
      <c r="F55" s="29"/>
      <c r="G55" s="29"/>
      <c r="H55" s="29"/>
      <c r="I55" s="28"/>
      <c r="J55" s="29"/>
      <c r="K55" s="29"/>
      <c r="L55" s="28"/>
      <c r="M55" s="29"/>
    </row>
    <row r="56" spans="1:13">
      <c r="A56" s="264" t="s">
        <v>55</v>
      </c>
      <c r="B56" s="28" t="s">
        <v>14</v>
      </c>
      <c r="C56" s="29">
        <v>509</v>
      </c>
      <c r="D56" s="29">
        <v>308</v>
      </c>
      <c r="E56" s="29">
        <v>2159</v>
      </c>
      <c r="F56" s="29">
        <v>3303</v>
      </c>
      <c r="G56" s="29">
        <v>3074</v>
      </c>
      <c r="H56" s="29">
        <v>881</v>
      </c>
      <c r="I56" s="29">
        <v>43</v>
      </c>
      <c r="J56" s="29">
        <v>614</v>
      </c>
      <c r="K56" s="29">
        <v>5</v>
      </c>
      <c r="L56" s="28" t="s">
        <v>14</v>
      </c>
      <c r="M56" s="29">
        <v>10897</v>
      </c>
    </row>
    <row r="57" spans="1:13">
      <c r="A57" s="264" t="s">
        <v>56</v>
      </c>
      <c r="B57" s="29">
        <v>0</v>
      </c>
      <c r="C57" s="29">
        <v>0</v>
      </c>
      <c r="D57" s="29">
        <v>0</v>
      </c>
      <c r="E57" s="29">
        <v>0</v>
      </c>
      <c r="F57" s="29">
        <v>0</v>
      </c>
      <c r="G57" s="29">
        <v>0</v>
      </c>
      <c r="H57" s="29">
        <v>0</v>
      </c>
      <c r="I57" s="29">
        <v>0</v>
      </c>
      <c r="J57" s="29">
        <v>0</v>
      </c>
      <c r="K57" s="29">
        <v>0</v>
      </c>
      <c r="L57" s="29">
        <v>0</v>
      </c>
      <c r="M57" s="29">
        <v>0</v>
      </c>
    </row>
    <row r="58" spans="1:13">
      <c r="A58" s="264" t="s">
        <v>57</v>
      </c>
      <c r="B58" s="29">
        <v>156</v>
      </c>
      <c r="C58" s="29">
        <v>11</v>
      </c>
      <c r="D58" s="29">
        <v>32</v>
      </c>
      <c r="E58" s="28" t="s">
        <v>14</v>
      </c>
      <c r="F58" s="29">
        <v>11946</v>
      </c>
      <c r="G58" s="28" t="s">
        <v>14</v>
      </c>
      <c r="H58" s="29">
        <v>412</v>
      </c>
      <c r="I58" s="29">
        <v>-73</v>
      </c>
      <c r="J58" s="29">
        <v>-4716</v>
      </c>
      <c r="K58" s="29">
        <v>6108</v>
      </c>
      <c r="L58" s="29">
        <v>193672</v>
      </c>
      <c r="M58" s="29">
        <v>207547</v>
      </c>
    </row>
    <row r="59" spans="1:13">
      <c r="A59" s="264" t="s">
        <v>58</v>
      </c>
      <c r="B59" s="29">
        <v>98258</v>
      </c>
      <c r="C59" s="29">
        <v>479839</v>
      </c>
      <c r="D59" s="29">
        <v>125899</v>
      </c>
      <c r="E59" s="29">
        <v>231704</v>
      </c>
      <c r="F59" s="29">
        <v>378827</v>
      </c>
      <c r="G59" s="29">
        <v>738868</v>
      </c>
      <c r="H59" s="29">
        <v>579077</v>
      </c>
      <c r="I59" s="29">
        <v>664193</v>
      </c>
      <c r="J59" s="29">
        <v>282849</v>
      </c>
      <c r="K59" s="29">
        <v>159374</v>
      </c>
      <c r="L59" s="29">
        <v>347124</v>
      </c>
      <c r="M59" s="29">
        <v>4086013</v>
      </c>
    </row>
    <row r="60" spans="1:13">
      <c r="A60" s="264" t="s">
        <v>59</v>
      </c>
      <c r="B60" s="29">
        <v>0</v>
      </c>
      <c r="C60" s="29">
        <v>0</v>
      </c>
      <c r="D60" s="29">
        <v>0</v>
      </c>
      <c r="E60" s="29">
        <v>84</v>
      </c>
      <c r="F60" s="29">
        <v>2392</v>
      </c>
      <c r="G60" s="29">
        <v>0</v>
      </c>
      <c r="H60" s="29">
        <v>0</v>
      </c>
      <c r="I60" s="29">
        <v>302</v>
      </c>
      <c r="J60" s="29">
        <v>0</v>
      </c>
      <c r="K60" s="29">
        <v>0</v>
      </c>
      <c r="L60" s="29">
        <v>193276</v>
      </c>
      <c r="M60" s="29">
        <v>196055</v>
      </c>
    </row>
    <row r="61" spans="1:13">
      <c r="A61" s="264" t="s">
        <v>60</v>
      </c>
      <c r="B61" s="29">
        <v>98258</v>
      </c>
      <c r="C61" s="29">
        <v>479839</v>
      </c>
      <c r="D61" s="29">
        <v>125899</v>
      </c>
      <c r="E61" s="29">
        <v>231620</v>
      </c>
      <c r="F61" s="29">
        <v>376434</v>
      </c>
      <c r="G61" s="29">
        <v>738868</v>
      </c>
      <c r="H61" s="29">
        <v>579077</v>
      </c>
      <c r="I61" s="29">
        <v>663891</v>
      </c>
      <c r="J61" s="29">
        <v>282849</v>
      </c>
      <c r="K61" s="29">
        <v>159374</v>
      </c>
      <c r="L61" s="29">
        <v>153848</v>
      </c>
      <c r="M61" s="29">
        <v>3889958</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workbookViewId="0">
      <selection sqref="A1:XFD1048576"/>
    </sheetView>
  </sheetViews>
  <sheetFormatPr defaultRowHeight="15"/>
  <cols>
    <col min="1" max="1" width="14.7109375" style="267" customWidth="1"/>
    <col min="2" max="12" width="10.85546875" style="267" customWidth="1"/>
    <col min="13" max="13" width="8.28515625" style="267" customWidth="1"/>
    <col min="14" max="256" width="9.140625" style="267"/>
    <col min="257" max="257" width="14.7109375" style="267" customWidth="1"/>
    <col min="258" max="268" width="10.85546875" style="267" customWidth="1"/>
    <col min="269" max="269" width="8.28515625" style="267" customWidth="1"/>
    <col min="270" max="512" width="9.140625" style="267"/>
    <col min="513" max="513" width="14.7109375" style="267" customWidth="1"/>
    <col min="514" max="524" width="10.85546875" style="267" customWidth="1"/>
    <col min="525" max="525" width="8.28515625" style="267" customWidth="1"/>
    <col min="526" max="768" width="9.140625" style="267"/>
    <col min="769" max="769" width="14.7109375" style="267" customWidth="1"/>
    <col min="770" max="780" width="10.85546875" style="267" customWidth="1"/>
    <col min="781" max="781" width="8.28515625" style="267" customWidth="1"/>
    <col min="782" max="1024" width="9.140625" style="267"/>
    <col min="1025" max="1025" width="14.7109375" style="267" customWidth="1"/>
    <col min="1026" max="1036" width="10.85546875" style="267" customWidth="1"/>
    <col min="1037" max="1037" width="8.28515625" style="267" customWidth="1"/>
    <col min="1038" max="1280" width="9.140625" style="267"/>
    <col min="1281" max="1281" width="14.7109375" style="267" customWidth="1"/>
    <col min="1282" max="1292" width="10.85546875" style="267" customWidth="1"/>
    <col min="1293" max="1293" width="8.28515625" style="267" customWidth="1"/>
    <col min="1294" max="1536" width="9.140625" style="267"/>
    <col min="1537" max="1537" width="14.7109375" style="267" customWidth="1"/>
    <col min="1538" max="1548" width="10.85546875" style="267" customWidth="1"/>
    <col min="1549" max="1549" width="8.28515625" style="267" customWidth="1"/>
    <col min="1550" max="1792" width="9.140625" style="267"/>
    <col min="1793" max="1793" width="14.7109375" style="267" customWidth="1"/>
    <col min="1794" max="1804" width="10.85546875" style="267" customWidth="1"/>
    <col min="1805" max="1805" width="8.28515625" style="267" customWidth="1"/>
    <col min="1806" max="2048" width="9.140625" style="267"/>
    <col min="2049" max="2049" width="14.7109375" style="267" customWidth="1"/>
    <col min="2050" max="2060" width="10.85546875" style="267" customWidth="1"/>
    <col min="2061" max="2061" width="8.28515625" style="267" customWidth="1"/>
    <col min="2062" max="2304" width="9.140625" style="267"/>
    <col min="2305" max="2305" width="14.7109375" style="267" customWidth="1"/>
    <col min="2306" max="2316" width="10.85546875" style="267" customWidth="1"/>
    <col min="2317" max="2317" width="8.28515625" style="267" customWidth="1"/>
    <col min="2318" max="2560" width="9.140625" style="267"/>
    <col min="2561" max="2561" width="14.7109375" style="267" customWidth="1"/>
    <col min="2562" max="2572" width="10.85546875" style="267" customWidth="1"/>
    <col min="2573" max="2573" width="8.28515625" style="267" customWidth="1"/>
    <col min="2574" max="2816" width="9.140625" style="267"/>
    <col min="2817" max="2817" width="14.7109375" style="267" customWidth="1"/>
    <col min="2818" max="2828" width="10.85546875" style="267" customWidth="1"/>
    <col min="2829" max="2829" width="8.28515625" style="267" customWidth="1"/>
    <col min="2830" max="3072" width="9.140625" style="267"/>
    <col min="3073" max="3073" width="14.7109375" style="267" customWidth="1"/>
    <col min="3074" max="3084" width="10.85546875" style="267" customWidth="1"/>
    <col min="3085" max="3085" width="8.28515625" style="267" customWidth="1"/>
    <col min="3086" max="3328" width="9.140625" style="267"/>
    <col min="3329" max="3329" width="14.7109375" style="267" customWidth="1"/>
    <col min="3330" max="3340" width="10.85546875" style="267" customWidth="1"/>
    <col min="3341" max="3341" width="8.28515625" style="267" customWidth="1"/>
    <col min="3342" max="3584" width="9.140625" style="267"/>
    <col min="3585" max="3585" width="14.7109375" style="267" customWidth="1"/>
    <col min="3586" max="3596" width="10.85546875" style="267" customWidth="1"/>
    <col min="3597" max="3597" width="8.28515625" style="267" customWidth="1"/>
    <col min="3598" max="3840" width="9.140625" style="267"/>
    <col min="3841" max="3841" width="14.7109375" style="267" customWidth="1"/>
    <col min="3842" max="3852" width="10.85546875" style="267" customWidth="1"/>
    <col min="3853" max="3853" width="8.28515625" style="267" customWidth="1"/>
    <col min="3854" max="4096" width="9.140625" style="267"/>
    <col min="4097" max="4097" width="14.7109375" style="267" customWidth="1"/>
    <col min="4098" max="4108" width="10.85546875" style="267" customWidth="1"/>
    <col min="4109" max="4109" width="8.28515625" style="267" customWidth="1"/>
    <col min="4110" max="4352" width="9.140625" style="267"/>
    <col min="4353" max="4353" width="14.7109375" style="267" customWidth="1"/>
    <col min="4354" max="4364" width="10.85546875" style="267" customWidth="1"/>
    <col min="4365" max="4365" width="8.28515625" style="267" customWidth="1"/>
    <col min="4366" max="4608" width="9.140625" style="267"/>
    <col min="4609" max="4609" width="14.7109375" style="267" customWidth="1"/>
    <col min="4610" max="4620" width="10.85546875" style="267" customWidth="1"/>
    <col min="4621" max="4621" width="8.28515625" style="267" customWidth="1"/>
    <col min="4622" max="4864" width="9.140625" style="267"/>
    <col min="4865" max="4865" width="14.7109375" style="267" customWidth="1"/>
    <col min="4866" max="4876" width="10.85546875" style="267" customWidth="1"/>
    <col min="4877" max="4877" width="8.28515625" style="267" customWidth="1"/>
    <col min="4878" max="5120" width="9.140625" style="267"/>
    <col min="5121" max="5121" width="14.7109375" style="267" customWidth="1"/>
    <col min="5122" max="5132" width="10.85546875" style="267" customWidth="1"/>
    <col min="5133" max="5133" width="8.28515625" style="267" customWidth="1"/>
    <col min="5134" max="5376" width="9.140625" style="267"/>
    <col min="5377" max="5377" width="14.7109375" style="267" customWidth="1"/>
    <col min="5378" max="5388" width="10.85546875" style="267" customWidth="1"/>
    <col min="5389" max="5389" width="8.28515625" style="267" customWidth="1"/>
    <col min="5390" max="5632" width="9.140625" style="267"/>
    <col min="5633" max="5633" width="14.7109375" style="267" customWidth="1"/>
    <col min="5634" max="5644" width="10.85546875" style="267" customWidth="1"/>
    <col min="5645" max="5645" width="8.28515625" style="267" customWidth="1"/>
    <col min="5646" max="5888" width="9.140625" style="267"/>
    <col min="5889" max="5889" width="14.7109375" style="267" customWidth="1"/>
    <col min="5890" max="5900" width="10.85546875" style="267" customWidth="1"/>
    <col min="5901" max="5901" width="8.28515625" style="267" customWidth="1"/>
    <col min="5902" max="6144" width="9.140625" style="267"/>
    <col min="6145" max="6145" width="14.7109375" style="267" customWidth="1"/>
    <col min="6146" max="6156" width="10.85546875" style="267" customWidth="1"/>
    <col min="6157" max="6157" width="8.28515625" style="267" customWidth="1"/>
    <col min="6158" max="6400" width="9.140625" style="267"/>
    <col min="6401" max="6401" width="14.7109375" style="267" customWidth="1"/>
    <col min="6402" max="6412" width="10.85546875" style="267" customWidth="1"/>
    <col min="6413" max="6413" width="8.28515625" style="267" customWidth="1"/>
    <col min="6414" max="6656" width="9.140625" style="267"/>
    <col min="6657" max="6657" width="14.7109375" style="267" customWidth="1"/>
    <col min="6658" max="6668" width="10.85546875" style="267" customWidth="1"/>
    <col min="6669" max="6669" width="8.28515625" style="267" customWidth="1"/>
    <col min="6670" max="6912" width="9.140625" style="267"/>
    <col min="6913" max="6913" width="14.7109375" style="267" customWidth="1"/>
    <col min="6914" max="6924" width="10.85546875" style="267" customWidth="1"/>
    <col min="6925" max="6925" width="8.28515625" style="267" customWidth="1"/>
    <col min="6926" max="7168" width="9.140625" style="267"/>
    <col min="7169" max="7169" width="14.7109375" style="267" customWidth="1"/>
    <col min="7170" max="7180" width="10.85546875" style="267" customWidth="1"/>
    <col min="7181" max="7181" width="8.28515625" style="267" customWidth="1"/>
    <col min="7182" max="7424" width="9.140625" style="267"/>
    <col min="7425" max="7425" width="14.7109375" style="267" customWidth="1"/>
    <col min="7426" max="7436" width="10.85546875" style="267" customWidth="1"/>
    <col min="7437" max="7437" width="8.28515625" style="267" customWidth="1"/>
    <col min="7438" max="7680" width="9.140625" style="267"/>
    <col min="7681" max="7681" width="14.7109375" style="267" customWidth="1"/>
    <col min="7682" max="7692" width="10.85546875" style="267" customWidth="1"/>
    <col min="7693" max="7693" width="8.28515625" style="267" customWidth="1"/>
    <col min="7694" max="7936" width="9.140625" style="267"/>
    <col min="7937" max="7937" width="14.7109375" style="267" customWidth="1"/>
    <col min="7938" max="7948" width="10.85546875" style="267" customWidth="1"/>
    <col min="7949" max="7949" width="8.28515625" style="267" customWidth="1"/>
    <col min="7950" max="8192" width="9.140625" style="267"/>
    <col min="8193" max="8193" width="14.7109375" style="267" customWidth="1"/>
    <col min="8194" max="8204" width="10.85546875" style="267" customWidth="1"/>
    <col min="8205" max="8205" width="8.28515625" style="267" customWidth="1"/>
    <col min="8206" max="8448" width="9.140625" style="267"/>
    <col min="8449" max="8449" width="14.7109375" style="267" customWidth="1"/>
    <col min="8450" max="8460" width="10.85546875" style="267" customWidth="1"/>
    <col min="8461" max="8461" width="8.28515625" style="267" customWidth="1"/>
    <col min="8462" max="8704" width="9.140625" style="267"/>
    <col min="8705" max="8705" width="14.7109375" style="267" customWidth="1"/>
    <col min="8706" max="8716" width="10.85546875" style="267" customWidth="1"/>
    <col min="8717" max="8717" width="8.28515625" style="267" customWidth="1"/>
    <col min="8718" max="8960" width="9.140625" style="267"/>
    <col min="8961" max="8961" width="14.7109375" style="267" customWidth="1"/>
    <col min="8962" max="8972" width="10.85546875" style="267" customWidth="1"/>
    <col min="8973" max="8973" width="8.28515625" style="267" customWidth="1"/>
    <col min="8974" max="9216" width="9.140625" style="267"/>
    <col min="9217" max="9217" width="14.7109375" style="267" customWidth="1"/>
    <col min="9218" max="9228" width="10.85546875" style="267" customWidth="1"/>
    <col min="9229" max="9229" width="8.28515625" style="267" customWidth="1"/>
    <col min="9230" max="9472" width="9.140625" style="267"/>
    <col min="9473" max="9473" width="14.7109375" style="267" customWidth="1"/>
    <col min="9474" max="9484" width="10.85546875" style="267" customWidth="1"/>
    <col min="9485" max="9485" width="8.28515625" style="267" customWidth="1"/>
    <col min="9486" max="9728" width="9.140625" style="267"/>
    <col min="9729" max="9729" width="14.7109375" style="267" customWidth="1"/>
    <col min="9730" max="9740" width="10.85546875" style="267" customWidth="1"/>
    <col min="9741" max="9741" width="8.28515625" style="267" customWidth="1"/>
    <col min="9742" max="9984" width="9.140625" style="267"/>
    <col min="9985" max="9985" width="14.7109375" style="267" customWidth="1"/>
    <col min="9986" max="9996" width="10.85546875" style="267" customWidth="1"/>
    <col min="9997" max="9997" width="8.28515625" style="267" customWidth="1"/>
    <col min="9998" max="10240" width="9.140625" style="267"/>
    <col min="10241" max="10241" width="14.7109375" style="267" customWidth="1"/>
    <col min="10242" max="10252" width="10.85546875" style="267" customWidth="1"/>
    <col min="10253" max="10253" width="8.28515625" style="267" customWidth="1"/>
    <col min="10254" max="10496" width="9.140625" style="267"/>
    <col min="10497" max="10497" width="14.7109375" style="267" customWidth="1"/>
    <col min="10498" max="10508" width="10.85546875" style="267" customWidth="1"/>
    <col min="10509" max="10509" width="8.28515625" style="267" customWidth="1"/>
    <col min="10510" max="10752" width="9.140625" style="267"/>
    <col min="10753" max="10753" width="14.7109375" style="267" customWidth="1"/>
    <col min="10754" max="10764" width="10.85546875" style="267" customWidth="1"/>
    <col min="10765" max="10765" width="8.28515625" style="267" customWidth="1"/>
    <col min="10766" max="11008" width="9.140625" style="267"/>
    <col min="11009" max="11009" width="14.7109375" style="267" customWidth="1"/>
    <col min="11010" max="11020" width="10.85546875" style="267" customWidth="1"/>
    <col min="11021" max="11021" width="8.28515625" style="267" customWidth="1"/>
    <col min="11022" max="11264" width="9.140625" style="267"/>
    <col min="11265" max="11265" width="14.7109375" style="267" customWidth="1"/>
    <col min="11266" max="11276" width="10.85546875" style="267" customWidth="1"/>
    <col min="11277" max="11277" width="8.28515625" style="267" customWidth="1"/>
    <col min="11278" max="11520" width="9.140625" style="267"/>
    <col min="11521" max="11521" width="14.7109375" style="267" customWidth="1"/>
    <col min="11522" max="11532" width="10.85546875" style="267" customWidth="1"/>
    <col min="11533" max="11533" width="8.28515625" style="267" customWidth="1"/>
    <col min="11534" max="11776" width="9.140625" style="267"/>
    <col min="11777" max="11777" width="14.7109375" style="267" customWidth="1"/>
    <col min="11778" max="11788" width="10.85546875" style="267" customWidth="1"/>
    <col min="11789" max="11789" width="8.28515625" style="267" customWidth="1"/>
    <col min="11790" max="12032" width="9.140625" style="267"/>
    <col min="12033" max="12033" width="14.7109375" style="267" customWidth="1"/>
    <col min="12034" max="12044" width="10.85546875" style="267" customWidth="1"/>
    <col min="12045" max="12045" width="8.28515625" style="267" customWidth="1"/>
    <col min="12046" max="12288" width="9.140625" style="267"/>
    <col min="12289" max="12289" width="14.7109375" style="267" customWidth="1"/>
    <col min="12290" max="12300" width="10.85546875" style="267" customWidth="1"/>
    <col min="12301" max="12301" width="8.28515625" style="267" customWidth="1"/>
    <col min="12302" max="12544" width="9.140625" style="267"/>
    <col min="12545" max="12545" width="14.7109375" style="267" customWidth="1"/>
    <col min="12546" max="12556" width="10.85546875" style="267" customWidth="1"/>
    <col min="12557" max="12557" width="8.28515625" style="267" customWidth="1"/>
    <col min="12558" max="12800" width="9.140625" style="267"/>
    <col min="12801" max="12801" width="14.7109375" style="267" customWidth="1"/>
    <col min="12802" max="12812" width="10.85546875" style="267" customWidth="1"/>
    <col min="12813" max="12813" width="8.28515625" style="267" customWidth="1"/>
    <col min="12814" max="13056" width="9.140625" style="267"/>
    <col min="13057" max="13057" width="14.7109375" style="267" customWidth="1"/>
    <col min="13058" max="13068" width="10.85546875" style="267" customWidth="1"/>
    <col min="13069" max="13069" width="8.28515625" style="267" customWidth="1"/>
    <col min="13070" max="13312" width="9.140625" style="267"/>
    <col min="13313" max="13313" width="14.7109375" style="267" customWidth="1"/>
    <col min="13314" max="13324" width="10.85546875" style="267" customWidth="1"/>
    <col min="13325" max="13325" width="8.28515625" style="267" customWidth="1"/>
    <col min="13326" max="13568" width="9.140625" style="267"/>
    <col min="13569" max="13569" width="14.7109375" style="267" customWidth="1"/>
    <col min="13570" max="13580" width="10.85546875" style="267" customWidth="1"/>
    <col min="13581" max="13581" width="8.28515625" style="267" customWidth="1"/>
    <col min="13582" max="13824" width="9.140625" style="267"/>
    <col min="13825" max="13825" width="14.7109375" style="267" customWidth="1"/>
    <col min="13826" max="13836" width="10.85546875" style="267" customWidth="1"/>
    <col min="13837" max="13837" width="8.28515625" style="267" customWidth="1"/>
    <col min="13838" max="14080" width="9.140625" style="267"/>
    <col min="14081" max="14081" width="14.7109375" style="267" customWidth="1"/>
    <col min="14082" max="14092" width="10.85546875" style="267" customWidth="1"/>
    <col min="14093" max="14093" width="8.28515625" style="267" customWidth="1"/>
    <col min="14094" max="14336" width="9.140625" style="267"/>
    <col min="14337" max="14337" width="14.7109375" style="267" customWidth="1"/>
    <col min="14338" max="14348" width="10.85546875" style="267" customWidth="1"/>
    <col min="14349" max="14349" width="8.28515625" style="267" customWidth="1"/>
    <col min="14350" max="14592" width="9.140625" style="267"/>
    <col min="14593" max="14593" width="14.7109375" style="267" customWidth="1"/>
    <col min="14594" max="14604" width="10.85546875" style="267" customWidth="1"/>
    <col min="14605" max="14605" width="8.28515625" style="267" customWidth="1"/>
    <col min="14606" max="14848" width="9.140625" style="267"/>
    <col min="14849" max="14849" width="14.7109375" style="267" customWidth="1"/>
    <col min="14850" max="14860" width="10.85546875" style="267" customWidth="1"/>
    <col min="14861" max="14861" width="8.28515625" style="267" customWidth="1"/>
    <col min="14862" max="15104" width="9.140625" style="267"/>
    <col min="15105" max="15105" width="14.7109375" style="267" customWidth="1"/>
    <col min="15106" max="15116" width="10.85546875" style="267" customWidth="1"/>
    <col min="15117" max="15117" width="8.28515625" style="267" customWidth="1"/>
    <col min="15118" max="15360" width="9.140625" style="267"/>
    <col min="15361" max="15361" width="14.7109375" style="267" customWidth="1"/>
    <col min="15362" max="15372" width="10.85546875" style="267" customWidth="1"/>
    <col min="15373" max="15373" width="8.28515625" style="267" customWidth="1"/>
    <col min="15374" max="15616" width="9.140625" style="267"/>
    <col min="15617" max="15617" width="14.7109375" style="267" customWidth="1"/>
    <col min="15618" max="15628" width="10.85546875" style="267" customWidth="1"/>
    <col min="15629" max="15629" width="8.28515625" style="267" customWidth="1"/>
    <col min="15630" max="15872" width="9.140625" style="267"/>
    <col min="15873" max="15873" width="14.7109375" style="267" customWidth="1"/>
    <col min="15874" max="15884" width="10.85546875" style="267" customWidth="1"/>
    <col min="15885" max="15885" width="8.28515625" style="267" customWidth="1"/>
    <col min="15886" max="16128" width="9.140625" style="267"/>
    <col min="16129" max="16129" width="14.7109375" style="267" customWidth="1"/>
    <col min="16130" max="16140" width="10.85546875" style="267" customWidth="1"/>
    <col min="16141" max="16141" width="8.28515625" style="267" customWidth="1"/>
    <col min="16142" max="16384" width="9.140625" style="267"/>
  </cols>
  <sheetData>
    <row r="1" spans="1:13">
      <c r="A1" s="285" t="s">
        <v>326</v>
      </c>
      <c r="B1" s="286"/>
      <c r="C1" s="286"/>
      <c r="D1" s="286"/>
      <c r="E1" s="286"/>
      <c r="F1" s="286"/>
      <c r="G1" s="286"/>
      <c r="H1" s="286"/>
      <c r="I1" s="286"/>
      <c r="J1" s="286"/>
      <c r="K1" s="286"/>
      <c r="L1" s="286"/>
      <c r="M1" s="286"/>
    </row>
    <row r="2" spans="1:13">
      <c r="A2" s="285" t="s">
        <v>327</v>
      </c>
      <c r="B2" s="286"/>
      <c r="C2" s="286"/>
      <c r="D2" s="286"/>
      <c r="E2" s="286"/>
      <c r="F2" s="286"/>
      <c r="G2" s="286"/>
      <c r="H2" s="286"/>
      <c r="I2" s="286"/>
      <c r="J2" s="286"/>
      <c r="K2" s="286"/>
      <c r="L2" s="286"/>
      <c r="M2" s="286"/>
    </row>
    <row r="3" spans="1:13">
      <c r="A3" s="266" t="s">
        <v>0</v>
      </c>
      <c r="B3" s="266" t="s">
        <v>1</v>
      </c>
      <c r="C3" s="266" t="s">
        <v>2</v>
      </c>
      <c r="D3" s="266" t="s">
        <v>3</v>
      </c>
      <c r="E3" s="266" t="s">
        <v>4</v>
      </c>
      <c r="F3" s="266" t="s">
        <v>5</v>
      </c>
      <c r="G3" s="266" t="s">
        <v>6</v>
      </c>
      <c r="H3" s="266" t="s">
        <v>7</v>
      </c>
      <c r="I3" s="266" t="s">
        <v>8</v>
      </c>
      <c r="J3" s="266" t="s">
        <v>9</v>
      </c>
      <c r="K3" s="266" t="s">
        <v>10</v>
      </c>
      <c r="L3" s="266" t="s">
        <v>11</v>
      </c>
      <c r="M3" s="266" t="s">
        <v>12</v>
      </c>
    </row>
    <row r="4" spans="1:13">
      <c r="A4" s="266" t="s">
        <v>13</v>
      </c>
      <c r="B4" s="29">
        <v>55086</v>
      </c>
      <c r="C4" s="29">
        <v>214701</v>
      </c>
      <c r="D4" s="29">
        <v>37969</v>
      </c>
      <c r="E4" s="29">
        <v>87968</v>
      </c>
      <c r="F4" s="29">
        <v>118841</v>
      </c>
      <c r="G4" s="29">
        <v>214435</v>
      </c>
      <c r="H4" s="29">
        <v>260927</v>
      </c>
      <c r="I4" s="29">
        <v>487</v>
      </c>
      <c r="J4" s="29">
        <v>29263</v>
      </c>
      <c r="K4" s="29">
        <v>68271</v>
      </c>
      <c r="L4" s="28" t="s">
        <v>14</v>
      </c>
      <c r="M4" s="29">
        <v>1087948</v>
      </c>
    </row>
    <row r="5" spans="1:13">
      <c r="A5" s="266" t="s">
        <v>15</v>
      </c>
      <c r="B5" s="29">
        <v>33767</v>
      </c>
      <c r="C5" s="29">
        <v>133284</v>
      </c>
      <c r="D5" s="29">
        <v>23511</v>
      </c>
      <c r="E5" s="29">
        <v>54946</v>
      </c>
      <c r="F5" s="29">
        <v>73361</v>
      </c>
      <c r="G5" s="29">
        <v>167089</v>
      </c>
      <c r="H5" s="29">
        <v>176893</v>
      </c>
      <c r="I5" s="29">
        <v>302</v>
      </c>
      <c r="J5" s="29">
        <v>18420</v>
      </c>
      <c r="K5" s="29">
        <v>40427</v>
      </c>
      <c r="L5" s="28" t="s">
        <v>14</v>
      </c>
      <c r="M5" s="29">
        <v>721999</v>
      </c>
    </row>
    <row r="6" spans="1:13">
      <c r="A6" s="266" t="s">
        <v>16</v>
      </c>
      <c r="B6" s="29">
        <v>19</v>
      </c>
      <c r="C6" s="29">
        <v>113</v>
      </c>
      <c r="D6" s="28" t="s">
        <v>14</v>
      </c>
      <c r="E6" s="29">
        <v>58</v>
      </c>
      <c r="F6" s="29">
        <v>10</v>
      </c>
      <c r="G6" s="29">
        <v>140</v>
      </c>
      <c r="H6" s="29">
        <v>18</v>
      </c>
      <c r="I6" s="28" t="s">
        <v>14</v>
      </c>
      <c r="J6" s="28" t="s">
        <v>14</v>
      </c>
      <c r="K6" s="28" t="s">
        <v>14</v>
      </c>
      <c r="L6" s="28" t="s">
        <v>14</v>
      </c>
      <c r="M6" s="29">
        <v>359</v>
      </c>
    </row>
    <row r="7" spans="1:13">
      <c r="A7" s="266" t="s">
        <v>17</v>
      </c>
      <c r="B7" s="29">
        <v>6174</v>
      </c>
      <c r="C7" s="29">
        <v>16922</v>
      </c>
      <c r="D7" s="29">
        <v>3928</v>
      </c>
      <c r="E7" s="29">
        <v>10893</v>
      </c>
      <c r="F7" s="29">
        <v>10053</v>
      </c>
      <c r="G7" s="29">
        <v>39826</v>
      </c>
      <c r="H7" s="29">
        <v>30975</v>
      </c>
      <c r="I7" s="29">
        <v>30</v>
      </c>
      <c r="J7" s="29">
        <v>2588</v>
      </c>
      <c r="K7" s="29">
        <v>7441</v>
      </c>
      <c r="L7" s="28" t="s">
        <v>14</v>
      </c>
      <c r="M7" s="29">
        <v>128829</v>
      </c>
    </row>
    <row r="8" spans="1:13">
      <c r="A8" s="266" t="s">
        <v>18</v>
      </c>
      <c r="B8" s="29">
        <v>3146</v>
      </c>
      <c r="C8" s="29">
        <v>19860</v>
      </c>
      <c r="D8" s="29">
        <v>5977</v>
      </c>
      <c r="E8" s="29">
        <v>8956</v>
      </c>
      <c r="F8" s="29">
        <v>10696</v>
      </c>
      <c r="G8" s="29">
        <v>19952</v>
      </c>
      <c r="H8" s="29">
        <v>21141</v>
      </c>
      <c r="I8" s="29">
        <v>39</v>
      </c>
      <c r="J8" s="29">
        <v>2724</v>
      </c>
      <c r="K8" s="29">
        <v>5505</v>
      </c>
      <c r="L8" s="28" t="s">
        <v>14</v>
      </c>
      <c r="M8" s="29">
        <v>97997</v>
      </c>
    </row>
    <row r="9" spans="1:13">
      <c r="A9" s="266" t="s">
        <v>19</v>
      </c>
      <c r="B9" s="28" t="s">
        <v>14</v>
      </c>
      <c r="C9" s="28" t="s">
        <v>14</v>
      </c>
      <c r="D9" s="28" t="s">
        <v>14</v>
      </c>
      <c r="E9" s="28" t="s">
        <v>14</v>
      </c>
      <c r="F9" s="28" t="s">
        <v>14</v>
      </c>
      <c r="G9" s="28" t="s">
        <v>14</v>
      </c>
      <c r="H9" s="28" t="s">
        <v>14</v>
      </c>
      <c r="I9" s="28" t="s">
        <v>14</v>
      </c>
      <c r="J9" s="28" t="s">
        <v>14</v>
      </c>
      <c r="K9" s="28" t="s">
        <v>14</v>
      </c>
      <c r="L9" s="29">
        <v>176599</v>
      </c>
      <c r="M9" s="29">
        <v>176599</v>
      </c>
    </row>
    <row r="10" spans="1:13">
      <c r="A10" s="266"/>
      <c r="B10" s="28"/>
      <c r="C10" s="28"/>
      <c r="D10" s="28"/>
      <c r="E10" s="28"/>
      <c r="F10" s="28"/>
      <c r="G10" s="28"/>
      <c r="H10" s="28"/>
      <c r="I10" s="28"/>
      <c r="J10" s="28"/>
      <c r="K10" s="28"/>
      <c r="L10" s="29"/>
      <c r="M10" s="29"/>
    </row>
    <row r="11" spans="1:13">
      <c r="A11" s="266" t="s">
        <v>20</v>
      </c>
      <c r="B11" s="28" t="s">
        <v>14</v>
      </c>
      <c r="C11" s="28" t="s">
        <v>14</v>
      </c>
      <c r="D11" s="28" t="s">
        <v>14</v>
      </c>
      <c r="E11" s="28" t="s">
        <v>14</v>
      </c>
      <c r="F11" s="29">
        <v>667</v>
      </c>
      <c r="G11" s="29">
        <v>101708</v>
      </c>
      <c r="H11" s="29">
        <v>51792</v>
      </c>
      <c r="I11" s="28" t="s">
        <v>14</v>
      </c>
      <c r="J11" s="28" t="s">
        <v>14</v>
      </c>
      <c r="K11" s="28" t="s">
        <v>14</v>
      </c>
      <c r="L11" s="28" t="s">
        <v>14</v>
      </c>
      <c r="M11" s="29">
        <v>154167</v>
      </c>
    </row>
    <row r="12" spans="1:13">
      <c r="A12" s="266" t="s">
        <v>21</v>
      </c>
      <c r="B12" s="28" t="s">
        <v>14</v>
      </c>
      <c r="C12" s="29">
        <v>84</v>
      </c>
      <c r="D12" s="29">
        <v>221</v>
      </c>
      <c r="E12" s="29">
        <v>464</v>
      </c>
      <c r="F12" s="29">
        <v>16</v>
      </c>
      <c r="G12" s="29">
        <v>244</v>
      </c>
      <c r="H12" s="29">
        <v>6409</v>
      </c>
      <c r="I12" s="29">
        <v>1</v>
      </c>
      <c r="J12" s="29">
        <v>196</v>
      </c>
      <c r="K12" s="28" t="s">
        <v>14</v>
      </c>
      <c r="L12" s="28" t="s">
        <v>14</v>
      </c>
      <c r="M12" s="29">
        <v>7634</v>
      </c>
    </row>
    <row r="13" spans="1:13">
      <c r="A13" s="266" t="s">
        <v>22</v>
      </c>
      <c r="B13" s="29">
        <v>58</v>
      </c>
      <c r="C13" s="29">
        <v>7948</v>
      </c>
      <c r="D13" s="29">
        <v>1077</v>
      </c>
      <c r="E13" s="29">
        <v>4397</v>
      </c>
      <c r="F13" s="29">
        <v>2048</v>
      </c>
      <c r="G13" s="29">
        <v>11766</v>
      </c>
      <c r="H13" s="29">
        <v>17158</v>
      </c>
      <c r="I13" s="29">
        <v>37</v>
      </c>
      <c r="J13" s="28" t="s">
        <v>14</v>
      </c>
      <c r="K13" s="29">
        <v>6</v>
      </c>
      <c r="L13" s="28" t="s">
        <v>14</v>
      </c>
      <c r="M13" s="29">
        <v>44496</v>
      </c>
    </row>
    <row r="14" spans="1:13">
      <c r="A14" s="266" t="s">
        <v>23</v>
      </c>
      <c r="B14" s="29">
        <v>252</v>
      </c>
      <c r="C14" s="29">
        <v>19345</v>
      </c>
      <c r="D14" s="29">
        <v>343</v>
      </c>
      <c r="E14" s="29">
        <v>1749</v>
      </c>
      <c r="F14" s="29">
        <v>2027</v>
      </c>
      <c r="G14" s="29">
        <v>16426</v>
      </c>
      <c r="H14" s="29">
        <v>10447</v>
      </c>
      <c r="I14" s="29">
        <v>27</v>
      </c>
      <c r="J14" s="29">
        <v>3056</v>
      </c>
      <c r="K14" s="29">
        <v>5130</v>
      </c>
      <c r="L14" s="28" t="s">
        <v>14</v>
      </c>
      <c r="M14" s="29">
        <v>58803</v>
      </c>
    </row>
    <row r="15" spans="1:13">
      <c r="A15" s="266" t="s">
        <v>24</v>
      </c>
      <c r="B15" s="29">
        <v>38</v>
      </c>
      <c r="C15" s="28" t="s">
        <v>14</v>
      </c>
      <c r="D15" s="28" t="s">
        <v>14</v>
      </c>
      <c r="E15" s="28" t="s">
        <v>14</v>
      </c>
      <c r="F15" s="29">
        <v>0</v>
      </c>
      <c r="G15" s="28" t="s">
        <v>14</v>
      </c>
      <c r="H15" s="29">
        <v>100</v>
      </c>
      <c r="I15" s="28" t="s">
        <v>14</v>
      </c>
      <c r="J15" s="28" t="s">
        <v>14</v>
      </c>
      <c r="K15" s="29">
        <v>16</v>
      </c>
      <c r="L15" s="28" t="s">
        <v>14</v>
      </c>
      <c r="M15" s="29">
        <v>155</v>
      </c>
    </row>
    <row r="16" spans="1:13">
      <c r="A16" s="266" t="s">
        <v>25</v>
      </c>
      <c r="B16" s="29">
        <v>212</v>
      </c>
      <c r="C16" s="29">
        <v>203</v>
      </c>
      <c r="D16" s="29">
        <v>221</v>
      </c>
      <c r="E16" s="29">
        <v>174</v>
      </c>
      <c r="F16" s="29">
        <v>310</v>
      </c>
      <c r="G16" s="29">
        <v>542</v>
      </c>
      <c r="H16" s="29">
        <v>2141</v>
      </c>
      <c r="I16" s="29">
        <v>21</v>
      </c>
      <c r="J16" s="29">
        <v>138</v>
      </c>
      <c r="K16" s="29">
        <v>618</v>
      </c>
      <c r="L16" s="28" t="s">
        <v>14</v>
      </c>
      <c r="M16" s="29">
        <v>4578</v>
      </c>
    </row>
    <row r="17" spans="1:13">
      <c r="A17" s="266" t="s">
        <v>26</v>
      </c>
      <c r="B17" s="29">
        <v>1909</v>
      </c>
      <c r="C17" s="29">
        <v>12359</v>
      </c>
      <c r="D17" s="29">
        <v>854</v>
      </c>
      <c r="E17" s="29">
        <v>3020</v>
      </c>
      <c r="F17" s="29">
        <v>12416</v>
      </c>
      <c r="G17" s="29">
        <v>492</v>
      </c>
      <c r="H17" s="29">
        <v>19034</v>
      </c>
      <c r="I17" s="29">
        <v>17</v>
      </c>
      <c r="J17" s="29">
        <v>621</v>
      </c>
      <c r="K17" s="29">
        <v>7098</v>
      </c>
      <c r="L17" s="28" t="s">
        <v>14</v>
      </c>
      <c r="M17" s="29">
        <v>57820</v>
      </c>
    </row>
    <row r="18" spans="1:13">
      <c r="A18" s="266"/>
      <c r="B18" s="29"/>
      <c r="C18" s="29"/>
      <c r="D18" s="29"/>
      <c r="E18" s="29"/>
      <c r="F18" s="29"/>
      <c r="G18" s="29"/>
      <c r="H18" s="29"/>
      <c r="I18" s="29"/>
      <c r="J18" s="29"/>
      <c r="K18" s="29"/>
      <c r="L18" s="28"/>
      <c r="M18" s="29"/>
    </row>
    <row r="19" spans="1:13">
      <c r="A19" s="266" t="s">
        <v>27</v>
      </c>
      <c r="B19" s="29">
        <v>50</v>
      </c>
      <c r="C19" s="29">
        <v>304</v>
      </c>
      <c r="D19" s="28" t="s">
        <v>14</v>
      </c>
      <c r="E19" s="28" t="s">
        <v>14</v>
      </c>
      <c r="F19" s="29">
        <v>87</v>
      </c>
      <c r="G19" s="28" t="s">
        <v>14</v>
      </c>
      <c r="H19" s="28" t="s">
        <v>14</v>
      </c>
      <c r="I19" s="28" t="s">
        <v>14</v>
      </c>
      <c r="J19" s="28" t="s">
        <v>14</v>
      </c>
      <c r="K19" s="29">
        <v>11</v>
      </c>
      <c r="L19" s="28" t="s">
        <v>14</v>
      </c>
      <c r="M19" s="29">
        <v>451</v>
      </c>
    </row>
    <row r="20" spans="1:13">
      <c r="A20" s="266" t="s">
        <v>28</v>
      </c>
      <c r="B20" s="29">
        <v>643</v>
      </c>
      <c r="C20" s="28" t="s">
        <v>14</v>
      </c>
      <c r="D20" s="29">
        <v>138</v>
      </c>
      <c r="E20" s="29">
        <v>10</v>
      </c>
      <c r="F20" s="29">
        <v>127</v>
      </c>
      <c r="G20" s="28" t="s">
        <v>14</v>
      </c>
      <c r="H20" s="29">
        <v>50</v>
      </c>
      <c r="I20" s="28" t="s">
        <v>14</v>
      </c>
      <c r="J20" s="29">
        <v>5</v>
      </c>
      <c r="K20" s="29">
        <v>50</v>
      </c>
      <c r="L20" s="28" t="s">
        <v>14</v>
      </c>
      <c r="M20" s="29">
        <v>1022</v>
      </c>
    </row>
    <row r="21" spans="1:13">
      <c r="A21" s="266" t="s">
        <v>29</v>
      </c>
      <c r="B21" s="29">
        <v>338</v>
      </c>
      <c r="C21" s="29">
        <v>132</v>
      </c>
      <c r="D21" s="29">
        <v>232</v>
      </c>
      <c r="E21" s="29">
        <v>349</v>
      </c>
      <c r="F21" s="29">
        <v>148</v>
      </c>
      <c r="G21" s="29">
        <v>269</v>
      </c>
      <c r="H21" s="29">
        <v>451</v>
      </c>
      <c r="I21" s="28" t="s">
        <v>14</v>
      </c>
      <c r="J21" s="29">
        <v>190</v>
      </c>
      <c r="K21" s="29">
        <v>155</v>
      </c>
      <c r="L21" s="28" t="s">
        <v>14</v>
      </c>
      <c r="M21" s="29">
        <v>2265</v>
      </c>
    </row>
    <row r="22" spans="1:13">
      <c r="A22" s="266" t="s">
        <v>30</v>
      </c>
      <c r="B22" s="29">
        <v>390</v>
      </c>
      <c r="C22" s="29">
        <v>2984</v>
      </c>
      <c r="D22" s="28" t="s">
        <v>14</v>
      </c>
      <c r="E22" s="28" t="s">
        <v>14</v>
      </c>
      <c r="F22" s="29">
        <v>1707</v>
      </c>
      <c r="G22" s="29">
        <v>887</v>
      </c>
      <c r="H22" s="29">
        <v>3049</v>
      </c>
      <c r="I22" s="28" t="s">
        <v>14</v>
      </c>
      <c r="J22" s="29">
        <v>479</v>
      </c>
      <c r="K22" s="28" t="s">
        <v>14</v>
      </c>
      <c r="L22" s="28" t="s">
        <v>14</v>
      </c>
      <c r="M22" s="29">
        <v>9496</v>
      </c>
    </row>
    <row r="23" spans="1:13">
      <c r="A23" s="266"/>
      <c r="B23" s="29"/>
      <c r="C23" s="29"/>
      <c r="D23" s="28"/>
      <c r="E23" s="28"/>
      <c r="F23" s="29"/>
      <c r="G23" s="29"/>
      <c r="H23" s="29"/>
      <c r="I23" s="28"/>
      <c r="J23" s="29"/>
      <c r="K23" s="28"/>
      <c r="L23" s="28"/>
      <c r="M23" s="29"/>
    </row>
    <row r="24" spans="1:13">
      <c r="A24" s="266"/>
      <c r="B24" s="29"/>
      <c r="C24" s="29"/>
      <c r="D24" s="28"/>
      <c r="E24" s="28"/>
      <c r="F24" s="29"/>
      <c r="G24" s="29"/>
      <c r="H24" s="29"/>
      <c r="I24" s="28"/>
      <c r="J24" s="29"/>
      <c r="K24" s="28"/>
      <c r="L24" s="28"/>
      <c r="M24" s="29"/>
    </row>
    <row r="25" spans="1:13">
      <c r="A25" s="266" t="s">
        <v>31</v>
      </c>
      <c r="B25" s="28" t="s">
        <v>14</v>
      </c>
      <c r="C25" s="28" t="s">
        <v>14</v>
      </c>
      <c r="D25" s="28" t="s">
        <v>14</v>
      </c>
      <c r="E25" s="28" t="s">
        <v>14</v>
      </c>
      <c r="F25" s="28" t="s">
        <v>14</v>
      </c>
      <c r="G25" s="28" t="s">
        <v>14</v>
      </c>
      <c r="H25" s="29">
        <v>2184</v>
      </c>
      <c r="I25" s="28" t="s">
        <v>14</v>
      </c>
      <c r="J25" s="28" t="s">
        <v>14</v>
      </c>
      <c r="K25" s="28" t="s">
        <v>14</v>
      </c>
      <c r="L25" s="28" t="s">
        <v>14</v>
      </c>
      <c r="M25" s="29">
        <v>2184</v>
      </c>
    </row>
    <row r="26" spans="1:13">
      <c r="A26" s="266" t="s">
        <v>33</v>
      </c>
      <c r="B26" s="28" t="s">
        <v>14</v>
      </c>
      <c r="C26" s="28" t="s">
        <v>14</v>
      </c>
      <c r="D26" s="28" t="s">
        <v>14</v>
      </c>
      <c r="E26" s="28" t="s">
        <v>14</v>
      </c>
      <c r="F26" s="28" t="s">
        <v>14</v>
      </c>
      <c r="G26" s="28" t="s">
        <v>14</v>
      </c>
      <c r="H26" s="28" t="s">
        <v>14</v>
      </c>
      <c r="I26" s="28" t="s">
        <v>14</v>
      </c>
      <c r="J26" s="29">
        <v>14462</v>
      </c>
      <c r="K26" s="28" t="s">
        <v>14</v>
      </c>
      <c r="L26" s="28" t="s">
        <v>14</v>
      </c>
      <c r="M26" s="29">
        <v>14462</v>
      </c>
    </row>
    <row r="27" spans="1:13">
      <c r="A27" s="266" t="s">
        <v>34</v>
      </c>
      <c r="B27" s="28" t="s">
        <v>14</v>
      </c>
      <c r="C27" s="28" t="s">
        <v>14</v>
      </c>
      <c r="D27" s="28" t="s">
        <v>14</v>
      </c>
      <c r="E27" s="28" t="s">
        <v>14</v>
      </c>
      <c r="F27" s="28" t="s">
        <v>14</v>
      </c>
      <c r="G27" s="28" t="s">
        <v>14</v>
      </c>
      <c r="H27" s="28" t="s">
        <v>14</v>
      </c>
      <c r="I27" s="28" t="s">
        <v>14</v>
      </c>
      <c r="J27" s="29">
        <v>231825</v>
      </c>
      <c r="K27" s="28" t="s">
        <v>14</v>
      </c>
      <c r="L27" s="28" t="s">
        <v>14</v>
      </c>
      <c r="M27" s="29">
        <v>231825</v>
      </c>
    </row>
    <row r="28" spans="1:13">
      <c r="A28" s="266" t="s">
        <v>35</v>
      </c>
      <c r="B28" s="29">
        <v>124</v>
      </c>
      <c r="C28" s="29">
        <v>257</v>
      </c>
      <c r="D28" s="29">
        <v>22314</v>
      </c>
      <c r="E28" s="29">
        <v>28638</v>
      </c>
      <c r="F28" s="29">
        <v>40814</v>
      </c>
      <c r="G28" s="29">
        <v>3065</v>
      </c>
      <c r="H28" s="29">
        <v>1722</v>
      </c>
      <c r="I28" s="29">
        <v>261</v>
      </c>
      <c r="J28" s="29">
        <v>2</v>
      </c>
      <c r="K28" s="29">
        <v>-40</v>
      </c>
      <c r="L28" s="28" t="s">
        <v>14</v>
      </c>
      <c r="M28" s="29">
        <v>97158</v>
      </c>
    </row>
    <row r="29" spans="1:13">
      <c r="A29" s="266" t="s">
        <v>36</v>
      </c>
      <c r="B29" s="29">
        <v>527</v>
      </c>
      <c r="C29" s="29">
        <v>20762</v>
      </c>
      <c r="D29" s="29">
        <v>9990</v>
      </c>
      <c r="E29" s="29">
        <v>11685</v>
      </c>
      <c r="F29" s="29">
        <v>32561</v>
      </c>
      <c r="G29" s="29">
        <v>9231</v>
      </c>
      <c r="H29" s="29">
        <v>5475</v>
      </c>
      <c r="I29" s="28" t="s">
        <v>14</v>
      </c>
      <c r="J29" s="29">
        <v>13200</v>
      </c>
      <c r="K29" s="29">
        <v>1905</v>
      </c>
      <c r="L29" s="28" t="s">
        <v>14</v>
      </c>
      <c r="M29" s="29">
        <v>105337</v>
      </c>
    </row>
    <row r="30" spans="1:13">
      <c r="A30" s="266"/>
      <c r="B30" s="29"/>
      <c r="C30" s="29"/>
      <c r="D30" s="29"/>
      <c r="E30" s="29"/>
      <c r="F30" s="29"/>
      <c r="G30" s="29"/>
      <c r="H30" s="29"/>
      <c r="I30" s="28"/>
      <c r="J30" s="29"/>
      <c r="K30" s="29"/>
      <c r="L30" s="28"/>
      <c r="M30" s="29"/>
    </row>
    <row r="31" spans="1:13">
      <c r="A31" s="266" t="s">
        <v>37</v>
      </c>
      <c r="B31" s="28" t="s">
        <v>14</v>
      </c>
      <c r="C31" s="28" t="s">
        <v>14</v>
      </c>
      <c r="D31" s="28" t="s">
        <v>14</v>
      </c>
      <c r="E31" s="28" t="s">
        <v>14</v>
      </c>
      <c r="F31" s="28" t="s">
        <v>14</v>
      </c>
      <c r="G31" s="29">
        <v>31576</v>
      </c>
      <c r="H31" s="28" t="s">
        <v>14</v>
      </c>
      <c r="I31" s="29">
        <v>1086661</v>
      </c>
      <c r="J31" s="29">
        <v>1801</v>
      </c>
      <c r="K31" s="28" t="s">
        <v>14</v>
      </c>
      <c r="L31" s="28" t="s">
        <v>14</v>
      </c>
      <c r="M31" s="29">
        <v>1120038</v>
      </c>
    </row>
    <row r="32" spans="1:13">
      <c r="A32" s="266" t="s">
        <v>38</v>
      </c>
      <c r="B32" s="28" t="s">
        <v>14</v>
      </c>
      <c r="C32" s="29">
        <v>17606</v>
      </c>
      <c r="D32" s="28" t="s">
        <v>14</v>
      </c>
      <c r="E32" s="28" t="s">
        <v>14</v>
      </c>
      <c r="F32" s="28" t="s">
        <v>14</v>
      </c>
      <c r="G32" s="29">
        <v>6999</v>
      </c>
      <c r="H32" s="28" t="s">
        <v>14</v>
      </c>
      <c r="I32" s="28" t="s">
        <v>14</v>
      </c>
      <c r="J32" s="28" t="s">
        <v>14</v>
      </c>
      <c r="K32" s="28" t="s">
        <v>14</v>
      </c>
      <c r="L32" s="28" t="s">
        <v>14</v>
      </c>
      <c r="M32" s="29">
        <v>24605</v>
      </c>
    </row>
    <row r="33" spans="1:13">
      <c r="A33" s="266" t="s">
        <v>40</v>
      </c>
      <c r="B33" s="29">
        <v>318</v>
      </c>
      <c r="C33" s="29">
        <v>77427</v>
      </c>
      <c r="D33" s="29">
        <v>1877</v>
      </c>
      <c r="E33" s="29">
        <v>6821</v>
      </c>
      <c r="F33" s="29">
        <v>74454</v>
      </c>
      <c r="G33" s="29">
        <v>148375</v>
      </c>
      <c r="H33" s="29">
        <v>69246</v>
      </c>
      <c r="I33" s="28" t="s">
        <v>14</v>
      </c>
      <c r="J33" s="29">
        <v>64365</v>
      </c>
      <c r="K33" s="29">
        <v>7614</v>
      </c>
      <c r="L33" s="28" t="s">
        <v>14</v>
      </c>
      <c r="M33" s="29">
        <v>450497</v>
      </c>
    </row>
    <row r="34" spans="1:13">
      <c r="A34" s="266" t="s">
        <v>41</v>
      </c>
      <c r="B34" s="28" t="s">
        <v>14</v>
      </c>
      <c r="C34" s="28" t="s">
        <v>14</v>
      </c>
      <c r="D34" s="29">
        <v>-558</v>
      </c>
      <c r="E34" s="29">
        <v>-132963</v>
      </c>
      <c r="F34" s="29">
        <v>250</v>
      </c>
      <c r="G34" s="28" t="s">
        <v>14</v>
      </c>
      <c r="H34" s="28" t="s">
        <v>14</v>
      </c>
      <c r="I34" s="28" t="s">
        <v>14</v>
      </c>
      <c r="J34" s="28" t="s">
        <v>14</v>
      </c>
      <c r="K34" s="28" t="s">
        <v>14</v>
      </c>
      <c r="L34" s="28" t="s">
        <v>14</v>
      </c>
      <c r="M34" s="29">
        <v>-133270</v>
      </c>
    </row>
    <row r="35" spans="1:13">
      <c r="A35" s="266" t="s">
        <v>304</v>
      </c>
      <c r="B35" s="28" t="s">
        <v>14</v>
      </c>
      <c r="C35" s="28" t="s">
        <v>14</v>
      </c>
      <c r="D35" s="28" t="s">
        <v>14</v>
      </c>
      <c r="E35" s="29">
        <v>10023</v>
      </c>
      <c r="F35" s="28" t="s">
        <v>14</v>
      </c>
      <c r="G35" s="28" t="s">
        <v>14</v>
      </c>
      <c r="H35" s="28" t="s">
        <v>14</v>
      </c>
      <c r="I35" s="28" t="s">
        <v>14</v>
      </c>
      <c r="J35" s="28" t="s">
        <v>14</v>
      </c>
      <c r="K35" s="28" t="s">
        <v>14</v>
      </c>
      <c r="L35" s="28" t="s">
        <v>14</v>
      </c>
      <c r="M35" s="29">
        <v>10023</v>
      </c>
    </row>
    <row r="36" spans="1:13">
      <c r="A36" s="266" t="s">
        <v>305</v>
      </c>
      <c r="B36" s="28" t="s">
        <v>14</v>
      </c>
      <c r="C36" s="28" t="s">
        <v>14</v>
      </c>
      <c r="D36" s="28" t="s">
        <v>14</v>
      </c>
      <c r="E36" s="29">
        <v>17400</v>
      </c>
      <c r="F36" s="29">
        <v>2</v>
      </c>
      <c r="G36" s="28" t="s">
        <v>14</v>
      </c>
      <c r="H36" s="28" t="s">
        <v>14</v>
      </c>
      <c r="I36" s="28" t="s">
        <v>14</v>
      </c>
      <c r="J36" s="28" t="s">
        <v>14</v>
      </c>
      <c r="K36" s="28" t="s">
        <v>14</v>
      </c>
      <c r="L36" s="28" t="s">
        <v>14</v>
      </c>
      <c r="M36" s="29">
        <v>17402</v>
      </c>
    </row>
    <row r="37" spans="1:13">
      <c r="A37" s="266" t="s">
        <v>42</v>
      </c>
      <c r="B37" s="28" t="s">
        <v>14</v>
      </c>
      <c r="C37" s="28" t="s">
        <v>14</v>
      </c>
      <c r="D37" s="28" t="s">
        <v>14</v>
      </c>
      <c r="E37" s="28" t="s">
        <v>14</v>
      </c>
      <c r="F37" s="28" t="s">
        <v>14</v>
      </c>
      <c r="G37" s="28" t="s">
        <v>14</v>
      </c>
      <c r="H37" s="28" t="s">
        <v>14</v>
      </c>
      <c r="I37" s="29">
        <v>2149</v>
      </c>
      <c r="J37" s="28" t="s">
        <v>14</v>
      </c>
      <c r="K37" s="28" t="s">
        <v>14</v>
      </c>
      <c r="L37" s="28" t="s">
        <v>14</v>
      </c>
      <c r="M37" s="29">
        <v>2149</v>
      </c>
    </row>
    <row r="38" spans="1:13">
      <c r="A38" s="266"/>
      <c r="B38" s="28"/>
      <c r="C38" s="28"/>
      <c r="D38" s="28"/>
      <c r="E38" s="28"/>
      <c r="F38" s="28"/>
      <c r="G38" s="28"/>
      <c r="H38" s="28"/>
      <c r="I38" s="29"/>
      <c r="J38" s="28"/>
      <c r="K38" s="28"/>
      <c r="L38" s="28"/>
      <c r="M38" s="29"/>
    </row>
    <row r="39" spans="1:13">
      <c r="A39" s="266"/>
      <c r="B39" s="28"/>
      <c r="C39" s="28"/>
      <c r="D39" s="28"/>
      <c r="E39" s="28"/>
      <c r="F39" s="28"/>
      <c r="G39" s="28"/>
      <c r="H39" s="28"/>
      <c r="I39" s="29"/>
      <c r="J39" s="28"/>
      <c r="K39" s="28"/>
      <c r="L39" s="28"/>
      <c r="M39" s="29"/>
    </row>
    <row r="40" spans="1:13">
      <c r="A40" s="266"/>
      <c r="B40" s="28"/>
      <c r="C40" s="28"/>
      <c r="D40" s="28"/>
      <c r="E40" s="28"/>
      <c r="F40" s="28"/>
      <c r="G40" s="28"/>
      <c r="H40" s="28"/>
      <c r="I40" s="29"/>
      <c r="J40" s="28"/>
      <c r="K40" s="28"/>
      <c r="L40" s="28"/>
      <c r="M40" s="29"/>
    </row>
    <row r="41" spans="1:13">
      <c r="A41" s="266" t="s">
        <v>43</v>
      </c>
      <c r="B41" s="28" t="s">
        <v>14</v>
      </c>
      <c r="C41" s="28" t="s">
        <v>14</v>
      </c>
      <c r="D41" s="28" t="s">
        <v>14</v>
      </c>
      <c r="E41" s="28" t="s">
        <v>14</v>
      </c>
      <c r="F41" s="28" t="s">
        <v>14</v>
      </c>
      <c r="G41" s="28" t="s">
        <v>14</v>
      </c>
      <c r="H41" s="28" t="s">
        <v>14</v>
      </c>
      <c r="I41" s="29">
        <v>1523</v>
      </c>
      <c r="J41" s="28" t="s">
        <v>14</v>
      </c>
      <c r="K41" s="28" t="s">
        <v>14</v>
      </c>
      <c r="L41" s="28" t="s">
        <v>14</v>
      </c>
      <c r="M41" s="29">
        <v>1523</v>
      </c>
    </row>
    <row r="42" spans="1:13">
      <c r="A42" s="266" t="s">
        <v>44</v>
      </c>
      <c r="B42" s="29">
        <v>289</v>
      </c>
      <c r="C42" s="29">
        <v>961</v>
      </c>
      <c r="D42" s="29">
        <v>209</v>
      </c>
      <c r="E42" s="29">
        <v>1178</v>
      </c>
      <c r="F42" s="29">
        <v>1169</v>
      </c>
      <c r="G42" s="29">
        <v>2205</v>
      </c>
      <c r="H42" s="29">
        <v>2986</v>
      </c>
      <c r="I42" s="28" t="s">
        <v>14</v>
      </c>
      <c r="J42" s="29">
        <v>43</v>
      </c>
      <c r="K42" s="29">
        <v>417</v>
      </c>
      <c r="L42" s="28" t="s">
        <v>14</v>
      </c>
      <c r="M42" s="29">
        <v>9458</v>
      </c>
    </row>
    <row r="43" spans="1:13">
      <c r="A43" s="266" t="s">
        <v>45</v>
      </c>
      <c r="B43" s="29">
        <v>124</v>
      </c>
      <c r="C43" s="29">
        <v>426</v>
      </c>
      <c r="D43" s="29">
        <v>84</v>
      </c>
      <c r="E43" s="29">
        <v>519</v>
      </c>
      <c r="F43" s="29">
        <v>336</v>
      </c>
      <c r="G43" s="29">
        <v>886</v>
      </c>
      <c r="H43" s="29">
        <v>1355</v>
      </c>
      <c r="I43" s="28" t="s">
        <v>14</v>
      </c>
      <c r="J43" s="29">
        <v>20</v>
      </c>
      <c r="K43" s="29">
        <v>131</v>
      </c>
      <c r="L43" s="28" t="s">
        <v>14</v>
      </c>
      <c r="M43" s="29">
        <v>3880</v>
      </c>
    </row>
    <row r="44" spans="1:13">
      <c r="A44" s="266" t="s">
        <v>46</v>
      </c>
      <c r="B44" s="29">
        <v>275</v>
      </c>
      <c r="C44" s="29">
        <v>246</v>
      </c>
      <c r="D44" s="29">
        <v>27</v>
      </c>
      <c r="E44" s="29">
        <v>125</v>
      </c>
      <c r="F44" s="29">
        <v>145</v>
      </c>
      <c r="G44" s="29">
        <v>623</v>
      </c>
      <c r="H44" s="29">
        <v>1638</v>
      </c>
      <c r="I44" s="29">
        <v>3</v>
      </c>
      <c r="J44" s="28" t="s">
        <v>14</v>
      </c>
      <c r="K44" s="29">
        <v>67</v>
      </c>
      <c r="L44" s="28" t="s">
        <v>14</v>
      </c>
      <c r="M44" s="29">
        <v>3149</v>
      </c>
    </row>
    <row r="45" spans="1:13">
      <c r="A45" s="266"/>
      <c r="B45" s="29"/>
      <c r="C45" s="29"/>
      <c r="D45" s="29"/>
      <c r="E45" s="29"/>
      <c r="F45" s="29"/>
      <c r="G45" s="29"/>
      <c r="H45" s="29"/>
      <c r="I45" s="29"/>
      <c r="J45" s="28"/>
      <c r="K45" s="29"/>
      <c r="L45" s="28"/>
      <c r="M45" s="29"/>
    </row>
    <row r="46" spans="1:13">
      <c r="A46" s="266" t="s">
        <v>48</v>
      </c>
      <c r="B46" s="29">
        <v>59</v>
      </c>
      <c r="C46" s="28" t="s">
        <v>14</v>
      </c>
      <c r="D46" s="28" t="s">
        <v>14</v>
      </c>
      <c r="E46" s="28" t="s">
        <v>14</v>
      </c>
      <c r="F46" s="28" t="s">
        <v>14</v>
      </c>
      <c r="G46" s="28" t="s">
        <v>14</v>
      </c>
      <c r="H46" s="28" t="s">
        <v>14</v>
      </c>
      <c r="I46" s="28" t="s">
        <v>14</v>
      </c>
      <c r="J46" s="28" t="s">
        <v>14</v>
      </c>
      <c r="K46" s="28" t="s">
        <v>14</v>
      </c>
      <c r="L46" s="28" t="s">
        <v>14</v>
      </c>
      <c r="M46" s="29">
        <v>59</v>
      </c>
    </row>
    <row r="47" spans="1:13">
      <c r="A47" s="266"/>
      <c r="B47" s="29"/>
      <c r="C47" s="28"/>
      <c r="D47" s="28"/>
      <c r="E47" s="28"/>
      <c r="F47" s="28"/>
      <c r="G47" s="28"/>
      <c r="H47" s="28"/>
      <c r="I47" s="28"/>
      <c r="J47" s="28"/>
      <c r="K47" s="28"/>
      <c r="L47" s="28"/>
      <c r="M47" s="29"/>
    </row>
    <row r="48" spans="1:13">
      <c r="A48" s="266" t="s">
        <v>328</v>
      </c>
      <c r="B48" s="29">
        <v>80</v>
      </c>
      <c r="C48" s="28" t="s">
        <v>14</v>
      </c>
      <c r="D48" s="28" t="s">
        <v>14</v>
      </c>
      <c r="E48" s="28" t="s">
        <v>14</v>
      </c>
      <c r="F48" s="28" t="s">
        <v>14</v>
      </c>
      <c r="G48" s="28" t="s">
        <v>14</v>
      </c>
      <c r="H48" s="28" t="s">
        <v>14</v>
      </c>
      <c r="I48" s="28" t="s">
        <v>14</v>
      </c>
      <c r="J48" s="28" t="s">
        <v>14</v>
      </c>
      <c r="K48" s="28" t="s">
        <v>14</v>
      </c>
      <c r="L48" s="28" t="s">
        <v>14</v>
      </c>
      <c r="M48" s="29">
        <v>80</v>
      </c>
    </row>
    <row r="49" spans="1:13">
      <c r="A49" s="266"/>
      <c r="B49" s="29"/>
      <c r="C49" s="28"/>
      <c r="D49" s="28"/>
      <c r="E49" s="28"/>
      <c r="F49" s="28"/>
      <c r="G49" s="28"/>
      <c r="H49" s="28"/>
      <c r="I49" s="28"/>
      <c r="J49" s="28"/>
      <c r="K49" s="28"/>
      <c r="L49" s="28"/>
      <c r="M49" s="29"/>
    </row>
    <row r="50" spans="1:13">
      <c r="A50" s="266" t="s">
        <v>50</v>
      </c>
      <c r="B50" s="28" t="s">
        <v>14</v>
      </c>
      <c r="C50" s="28" t="s">
        <v>14</v>
      </c>
      <c r="D50" s="28" t="s">
        <v>14</v>
      </c>
      <c r="E50" s="28" t="s">
        <v>14</v>
      </c>
      <c r="F50" s="28" t="s">
        <v>14</v>
      </c>
      <c r="G50" s="28" t="s">
        <v>14</v>
      </c>
      <c r="H50" s="28" t="s">
        <v>14</v>
      </c>
      <c r="I50" s="29">
        <v>19663</v>
      </c>
      <c r="J50" s="28" t="s">
        <v>14</v>
      </c>
      <c r="K50" s="28" t="s">
        <v>14</v>
      </c>
      <c r="L50" s="28" t="s">
        <v>14</v>
      </c>
      <c r="M50" s="29">
        <v>19663</v>
      </c>
    </row>
    <row r="51" spans="1:13">
      <c r="A51" s="266" t="s">
        <v>51</v>
      </c>
      <c r="B51" s="28" t="s">
        <v>14</v>
      </c>
      <c r="C51" s="28" t="s">
        <v>14</v>
      </c>
      <c r="D51" s="28" t="s">
        <v>14</v>
      </c>
      <c r="E51" s="29">
        <v>40931</v>
      </c>
      <c r="F51" s="28" t="s">
        <v>14</v>
      </c>
      <c r="G51" s="28" t="s">
        <v>14</v>
      </c>
      <c r="H51" s="28" t="s">
        <v>14</v>
      </c>
      <c r="I51" s="28" t="s">
        <v>14</v>
      </c>
      <c r="J51" s="28" t="s">
        <v>14</v>
      </c>
      <c r="K51" s="28" t="s">
        <v>14</v>
      </c>
      <c r="L51" s="28" t="s">
        <v>14</v>
      </c>
      <c r="M51" s="29">
        <v>40931</v>
      </c>
    </row>
    <row r="52" spans="1:13">
      <c r="A52" s="266" t="s">
        <v>52</v>
      </c>
      <c r="B52" s="28" t="s">
        <v>14</v>
      </c>
      <c r="C52" s="28" t="s">
        <v>14</v>
      </c>
      <c r="D52" s="29">
        <v>-10232</v>
      </c>
      <c r="E52" s="29">
        <v>44646</v>
      </c>
      <c r="F52" s="28" t="s">
        <v>14</v>
      </c>
      <c r="G52" s="28" t="s">
        <v>14</v>
      </c>
      <c r="H52" s="28" t="s">
        <v>14</v>
      </c>
      <c r="I52" s="28" t="s">
        <v>14</v>
      </c>
      <c r="J52" s="28" t="s">
        <v>14</v>
      </c>
      <c r="K52" s="28" t="s">
        <v>14</v>
      </c>
      <c r="L52" s="28" t="s">
        <v>14</v>
      </c>
      <c r="M52" s="29">
        <v>34414</v>
      </c>
    </row>
    <row r="53" spans="1:13">
      <c r="A53" s="266" t="s">
        <v>53</v>
      </c>
      <c r="B53" s="29">
        <v>73</v>
      </c>
      <c r="C53" s="29">
        <v>6257</v>
      </c>
      <c r="D53" s="29">
        <v>255</v>
      </c>
      <c r="E53" s="29">
        <v>353</v>
      </c>
      <c r="F53" s="29">
        <v>3290</v>
      </c>
      <c r="G53" s="29">
        <v>4385</v>
      </c>
      <c r="H53" s="29">
        <v>2651</v>
      </c>
      <c r="I53" s="28" t="s">
        <v>14</v>
      </c>
      <c r="J53" s="29">
        <v>4898</v>
      </c>
      <c r="K53" s="29">
        <v>118</v>
      </c>
      <c r="L53" s="28" t="s">
        <v>14</v>
      </c>
      <c r="M53" s="29">
        <v>22280</v>
      </c>
    </row>
    <row r="54" spans="1:13">
      <c r="A54" s="266" t="s">
        <v>54</v>
      </c>
      <c r="B54" s="29">
        <v>73</v>
      </c>
      <c r="C54" s="29">
        <v>6257</v>
      </c>
      <c r="D54" s="29">
        <v>255</v>
      </c>
      <c r="E54" s="29">
        <v>353</v>
      </c>
      <c r="F54" s="29">
        <v>3290</v>
      </c>
      <c r="G54" s="29">
        <v>4385</v>
      </c>
      <c r="H54" s="29">
        <v>2651</v>
      </c>
      <c r="I54" s="28" t="s">
        <v>14</v>
      </c>
      <c r="J54" s="29">
        <v>4898</v>
      </c>
      <c r="K54" s="29">
        <v>118</v>
      </c>
      <c r="L54" s="28" t="s">
        <v>14</v>
      </c>
      <c r="M54" s="29">
        <v>22280</v>
      </c>
    </row>
    <row r="55" spans="1:13">
      <c r="A55" s="266"/>
      <c r="B55" s="29"/>
      <c r="C55" s="29"/>
      <c r="D55" s="29"/>
      <c r="E55" s="29"/>
      <c r="F55" s="29"/>
      <c r="G55" s="29"/>
      <c r="H55" s="29"/>
      <c r="I55" s="28"/>
      <c r="J55" s="29"/>
      <c r="K55" s="29"/>
      <c r="L55" s="28"/>
      <c r="M55" s="29"/>
    </row>
    <row r="56" spans="1:13">
      <c r="A56" s="266" t="s">
        <v>55</v>
      </c>
      <c r="B56" s="29">
        <v>3</v>
      </c>
      <c r="C56" s="29">
        <v>438</v>
      </c>
      <c r="D56" s="29">
        <v>1078</v>
      </c>
      <c r="E56" s="29">
        <v>2314</v>
      </c>
      <c r="F56" s="29">
        <v>9037</v>
      </c>
      <c r="G56" s="29">
        <v>14319</v>
      </c>
      <c r="H56" s="29">
        <v>3364</v>
      </c>
      <c r="I56" s="29">
        <v>265</v>
      </c>
      <c r="J56" s="29">
        <v>479</v>
      </c>
      <c r="K56" s="29">
        <v>15</v>
      </c>
      <c r="L56" s="28" t="s">
        <v>14</v>
      </c>
      <c r="M56" s="29">
        <v>31311</v>
      </c>
    </row>
    <row r="57" spans="1:13">
      <c r="A57" s="266" t="s">
        <v>56</v>
      </c>
      <c r="B57" s="29">
        <v>0</v>
      </c>
      <c r="C57" s="29">
        <v>0</v>
      </c>
      <c r="D57" s="29">
        <v>0</v>
      </c>
      <c r="E57" s="29">
        <v>0</v>
      </c>
      <c r="F57" s="29">
        <v>0</v>
      </c>
      <c r="G57" s="29">
        <v>0</v>
      </c>
      <c r="H57" s="29">
        <v>0</v>
      </c>
      <c r="I57" s="29">
        <v>0</v>
      </c>
      <c r="J57" s="29">
        <v>0</v>
      </c>
      <c r="K57" s="29">
        <v>0</v>
      </c>
      <c r="L57" s="29">
        <v>0</v>
      </c>
      <c r="M57" s="29">
        <v>0</v>
      </c>
    </row>
    <row r="58" spans="1:13">
      <c r="A58" s="266" t="s">
        <v>57</v>
      </c>
      <c r="B58" s="29">
        <v>1683</v>
      </c>
      <c r="C58" s="29">
        <v>36</v>
      </c>
      <c r="D58" s="29">
        <v>12</v>
      </c>
      <c r="E58" s="28" t="s">
        <v>14</v>
      </c>
      <c r="F58" s="29">
        <v>206669</v>
      </c>
      <c r="G58" s="28" t="s">
        <v>14</v>
      </c>
      <c r="H58" s="29">
        <v>677</v>
      </c>
      <c r="I58" s="29">
        <v>229</v>
      </c>
      <c r="J58" s="29">
        <v>-2671</v>
      </c>
      <c r="K58" s="29">
        <v>4258</v>
      </c>
      <c r="L58" s="29">
        <v>203219</v>
      </c>
      <c r="M58" s="29">
        <v>414112</v>
      </c>
    </row>
    <row r="59" spans="1:13">
      <c r="A59" s="266" t="s">
        <v>58</v>
      </c>
      <c r="B59" s="29">
        <v>105713</v>
      </c>
      <c r="C59" s="29">
        <v>558910</v>
      </c>
      <c r="D59" s="29">
        <v>99784</v>
      </c>
      <c r="E59" s="29">
        <v>205007</v>
      </c>
      <c r="F59" s="29">
        <v>604531</v>
      </c>
      <c r="G59" s="29">
        <v>799827</v>
      </c>
      <c r="H59" s="29">
        <v>694531</v>
      </c>
      <c r="I59" s="29">
        <v>1111713</v>
      </c>
      <c r="J59" s="29">
        <v>391001</v>
      </c>
      <c r="K59" s="29">
        <v>149332</v>
      </c>
      <c r="L59" s="29">
        <v>379818</v>
      </c>
      <c r="M59" s="29">
        <v>5100167</v>
      </c>
    </row>
    <row r="60" spans="1:13">
      <c r="A60" s="266" t="s">
        <v>59</v>
      </c>
      <c r="B60" s="29">
        <v>0</v>
      </c>
      <c r="C60" s="29">
        <v>0</v>
      </c>
      <c r="D60" s="29">
        <v>0</v>
      </c>
      <c r="E60" s="29">
        <v>60</v>
      </c>
      <c r="F60" s="29">
        <v>4859</v>
      </c>
      <c r="G60" s="29">
        <v>0</v>
      </c>
      <c r="H60" s="29">
        <v>0</v>
      </c>
      <c r="I60" s="29">
        <v>203309</v>
      </c>
      <c r="J60" s="29">
        <v>0</v>
      </c>
      <c r="K60" s="29">
        <v>0</v>
      </c>
      <c r="L60" s="29">
        <v>202499</v>
      </c>
      <c r="M60" s="29">
        <v>410726</v>
      </c>
    </row>
    <row r="61" spans="1:13">
      <c r="A61" s="266" t="s">
        <v>60</v>
      </c>
      <c r="B61" s="29">
        <v>105713</v>
      </c>
      <c r="C61" s="29">
        <v>558910</v>
      </c>
      <c r="D61" s="29">
        <v>99784</v>
      </c>
      <c r="E61" s="29">
        <v>204947</v>
      </c>
      <c r="F61" s="29">
        <v>599672</v>
      </c>
      <c r="G61" s="29">
        <v>799827</v>
      </c>
      <c r="H61" s="29">
        <v>694531</v>
      </c>
      <c r="I61" s="29">
        <v>908404</v>
      </c>
      <c r="J61" s="29">
        <v>391001</v>
      </c>
      <c r="K61" s="29">
        <v>149332</v>
      </c>
      <c r="L61" s="29">
        <v>177319</v>
      </c>
      <c r="M61" s="29">
        <v>4689441</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O137"/>
  <sheetViews>
    <sheetView view="pageBreakPreview" zoomScale="120" zoomScaleNormal="100" zoomScaleSheetLayoutView="120" workbookViewId="0">
      <pane xSplit="2" ySplit="4" topLeftCell="BD76" activePane="bottomRight" state="frozen"/>
      <selection pane="topRight" activeCell="C1" sqref="C1"/>
      <selection pane="bottomLeft" activeCell="A6" sqref="A6"/>
      <selection pane="bottomRight" activeCell="BJ82" sqref="BJ82"/>
    </sheetView>
  </sheetViews>
  <sheetFormatPr defaultRowHeight="1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3"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41" customWidth="1"/>
    <col min="30" max="30" width="14.85546875" customWidth="1"/>
    <col min="31" max="31" width="12.140625"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style="282"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6" max="66" width="9.7109375" bestFit="1" customWidth="1"/>
  </cols>
  <sheetData>
    <row r="1" spans="1:67" ht="15.75">
      <c r="A1" s="121"/>
      <c r="B1" s="193"/>
      <c r="C1" s="287" t="s">
        <v>321</v>
      </c>
      <c r="D1" s="287"/>
      <c r="E1" s="287"/>
      <c r="F1" s="287"/>
      <c r="G1" s="287"/>
      <c r="H1" s="287"/>
      <c r="I1" s="287"/>
      <c r="J1" s="287"/>
      <c r="K1" s="287"/>
      <c r="L1" s="1"/>
      <c r="M1" s="1"/>
      <c r="N1" s="1"/>
      <c r="O1" s="1"/>
      <c r="P1" s="1"/>
      <c r="Q1" s="1"/>
      <c r="R1" s="1"/>
      <c r="S1" s="1"/>
      <c r="T1" s="1"/>
      <c r="U1" s="1"/>
      <c r="V1" s="177"/>
      <c r="W1" s="1"/>
      <c r="X1" s="1"/>
      <c r="Y1" s="1"/>
      <c r="Z1" s="1"/>
      <c r="AA1" s="1"/>
      <c r="AB1" s="1"/>
      <c r="AC1" s="2"/>
      <c r="AD1" s="2"/>
      <c r="AE1" s="1"/>
      <c r="AF1" s="1"/>
      <c r="AG1" s="1"/>
      <c r="AH1" s="1"/>
      <c r="AI1" s="1"/>
      <c r="AJ1" s="1"/>
      <c r="AK1" s="1"/>
      <c r="AL1" s="1"/>
      <c r="AM1" s="1"/>
      <c r="AN1" s="1"/>
      <c r="AO1" s="177"/>
      <c r="AP1" s="271"/>
      <c r="AQ1" s="2"/>
      <c r="AR1" s="1"/>
      <c r="AS1" s="1"/>
      <c r="AT1" s="1"/>
      <c r="AU1" s="1"/>
      <c r="AV1" s="1"/>
      <c r="AW1" s="2"/>
      <c r="AX1" s="1"/>
      <c r="AY1" s="1"/>
      <c r="AZ1" s="1"/>
      <c r="BA1" s="1"/>
      <c r="BB1" s="2"/>
      <c r="BD1" s="1"/>
      <c r="BE1" s="1"/>
      <c r="BF1" s="1"/>
      <c r="BG1" s="1"/>
      <c r="BH1" s="177"/>
      <c r="BI1" s="42"/>
      <c r="BJ1" s="1"/>
      <c r="BK1" s="48"/>
    </row>
    <row r="2" spans="1:67" ht="15.75">
      <c r="A2" s="121"/>
      <c r="B2" s="1"/>
      <c r="C2" s="1"/>
      <c r="D2" s="1"/>
      <c r="E2" s="1"/>
      <c r="F2" s="1"/>
      <c r="G2" s="1"/>
      <c r="H2" s="1"/>
      <c r="I2" s="1"/>
      <c r="J2" s="1"/>
      <c r="K2" s="1"/>
      <c r="L2" s="1"/>
      <c r="M2" s="288" t="s">
        <v>61</v>
      </c>
      <c r="N2" s="288"/>
      <c r="O2" s="288"/>
      <c r="P2" s="1"/>
      <c r="Q2" s="1"/>
      <c r="R2" s="1"/>
      <c r="S2" s="1"/>
      <c r="T2" s="1"/>
      <c r="U2" s="1"/>
      <c r="V2" s="177"/>
      <c r="W2" s="1"/>
      <c r="X2" s="1"/>
      <c r="Y2" s="1"/>
      <c r="Z2" s="1"/>
      <c r="AA2" s="1"/>
      <c r="AB2" s="1"/>
      <c r="AC2" s="2"/>
      <c r="AD2" s="2"/>
      <c r="AE2" s="1"/>
      <c r="AF2" s="1"/>
      <c r="AG2" s="1"/>
      <c r="AH2" s="1"/>
      <c r="AI2" s="1"/>
      <c r="AJ2" s="1"/>
      <c r="AK2" s="1"/>
      <c r="AL2" s="1"/>
      <c r="AM2" s="1"/>
      <c r="AN2" s="1"/>
      <c r="AO2" s="177"/>
      <c r="AP2" s="271"/>
      <c r="AQ2" s="288" t="s">
        <v>61</v>
      </c>
      <c r="AR2" s="288"/>
      <c r="AS2" s="288"/>
      <c r="AT2" s="1"/>
      <c r="AU2" s="1"/>
      <c r="AV2" s="1"/>
      <c r="AW2" s="2"/>
      <c r="AX2" s="1"/>
      <c r="AY2" s="1"/>
      <c r="AZ2" s="1"/>
      <c r="BA2" s="1"/>
      <c r="BB2" s="2"/>
      <c r="BC2" s="1"/>
      <c r="BD2" s="1"/>
      <c r="BE2" s="1"/>
      <c r="BF2" s="1"/>
      <c r="BG2" s="1"/>
      <c r="BH2" s="261">
        <f>6794202-BK71</f>
        <v>3432860</v>
      </c>
      <c r="BI2" s="288" t="s">
        <v>61</v>
      </c>
      <c r="BJ2" s="288"/>
      <c r="BK2" s="288"/>
    </row>
    <row r="3" spans="1:67" ht="37.5" customHeight="1">
      <c r="A3" s="39"/>
      <c r="B3" s="3"/>
      <c r="C3" s="3" t="s">
        <v>62</v>
      </c>
      <c r="D3" s="3" t="s">
        <v>63</v>
      </c>
      <c r="E3" s="3" t="s">
        <v>64</v>
      </c>
      <c r="F3" s="3" t="s">
        <v>65</v>
      </c>
      <c r="G3" s="3" t="s">
        <v>66</v>
      </c>
      <c r="H3" s="3" t="s">
        <v>67</v>
      </c>
      <c r="I3" s="3" t="s">
        <v>68</v>
      </c>
      <c r="J3" s="3" t="s">
        <v>69</v>
      </c>
      <c r="K3" s="3" t="s">
        <v>70</v>
      </c>
      <c r="L3" s="3" t="s">
        <v>71</v>
      </c>
      <c r="M3" s="3" t="s">
        <v>72</v>
      </c>
      <c r="N3" s="3" t="s">
        <v>73</v>
      </c>
      <c r="O3" s="3" t="s">
        <v>74</v>
      </c>
      <c r="P3" s="3" t="s">
        <v>75</v>
      </c>
      <c r="Q3" s="3" t="s">
        <v>76</v>
      </c>
      <c r="R3" s="3" t="s">
        <v>77</v>
      </c>
      <c r="S3" s="3" t="s">
        <v>78</v>
      </c>
      <c r="T3" s="3" t="s">
        <v>79</v>
      </c>
      <c r="U3" s="3" t="s">
        <v>95</v>
      </c>
      <c r="V3" s="39" t="s">
        <v>80</v>
      </c>
      <c r="W3" s="3" t="s">
        <v>81</v>
      </c>
      <c r="X3" s="3" t="s">
        <v>82</v>
      </c>
      <c r="Y3" s="3" t="s">
        <v>83</v>
      </c>
      <c r="Z3" s="3" t="s">
        <v>84</v>
      </c>
      <c r="AA3" s="3" t="s">
        <v>85</v>
      </c>
      <c r="AB3" s="3" t="s">
        <v>291</v>
      </c>
      <c r="AC3" s="4" t="s">
        <v>111</v>
      </c>
      <c r="AD3" s="4" t="s">
        <v>86</v>
      </c>
      <c r="AE3" s="3" t="s">
        <v>87</v>
      </c>
      <c r="AF3" s="3" t="s">
        <v>88</v>
      </c>
      <c r="AG3" s="3" t="s">
        <v>89</v>
      </c>
      <c r="AH3" s="3" t="s">
        <v>90</v>
      </c>
      <c r="AI3" s="3" t="s">
        <v>91</v>
      </c>
      <c r="AJ3" s="3" t="s">
        <v>92</v>
      </c>
      <c r="AK3" s="3" t="s">
        <v>93</v>
      </c>
      <c r="AL3" s="3" t="s">
        <v>94</v>
      </c>
      <c r="AM3" s="3" t="s">
        <v>96</v>
      </c>
      <c r="AN3" s="3" t="s">
        <v>97</v>
      </c>
      <c r="AO3" s="39" t="s">
        <v>98</v>
      </c>
      <c r="AP3" s="272" t="s">
        <v>99</v>
      </c>
      <c r="AQ3" s="4" t="s">
        <v>100</v>
      </c>
      <c r="AR3" s="3" t="s">
        <v>101</v>
      </c>
      <c r="AS3" s="3" t="s">
        <v>102</v>
      </c>
      <c r="AT3" s="3" t="s">
        <v>103</v>
      </c>
      <c r="AU3" s="39" t="s">
        <v>104</v>
      </c>
      <c r="AV3" s="39" t="s">
        <v>105</v>
      </c>
      <c r="AW3" s="39" t="s">
        <v>106</v>
      </c>
      <c r="AX3" s="3" t="s">
        <v>107</v>
      </c>
      <c r="AY3" s="3" t="s">
        <v>108</v>
      </c>
      <c r="AZ3" s="3" t="s">
        <v>109</v>
      </c>
      <c r="BA3" s="3" t="s">
        <v>110</v>
      </c>
      <c r="BB3" s="4" t="s">
        <v>112</v>
      </c>
      <c r="BC3" s="3" t="s">
        <v>113</v>
      </c>
      <c r="BD3" s="3" t="s">
        <v>114</v>
      </c>
      <c r="BE3" s="3" t="s">
        <v>115</v>
      </c>
      <c r="BF3" s="3" t="s">
        <v>116</v>
      </c>
      <c r="BG3" s="3" t="s">
        <v>117</v>
      </c>
      <c r="BH3" s="39" t="s">
        <v>136</v>
      </c>
      <c r="BI3" s="43" t="s">
        <v>118</v>
      </c>
      <c r="BJ3" s="3" t="s">
        <v>119</v>
      </c>
      <c r="BK3" s="49" t="s">
        <v>120</v>
      </c>
    </row>
    <row r="4" spans="1:67" s="132" customFormat="1" ht="15.75">
      <c r="A4" s="130" t="s">
        <v>199</v>
      </c>
      <c r="B4" s="130" t="s">
        <v>121</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273">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122</v>
      </c>
      <c r="BJ4" s="130">
        <v>98</v>
      </c>
      <c r="BK4" s="138"/>
    </row>
    <row r="5" spans="1:67" s="179" customFormat="1" ht="15.75">
      <c r="A5" s="268" t="s">
        <v>123</v>
      </c>
      <c r="B5" s="9" t="s">
        <v>316</v>
      </c>
      <c r="C5" s="224">
        <v>276481</v>
      </c>
      <c r="D5" s="225">
        <v>163323</v>
      </c>
      <c r="E5" s="225">
        <v>0</v>
      </c>
      <c r="F5" s="225">
        <v>38817</v>
      </c>
      <c r="G5" s="225">
        <v>16846</v>
      </c>
      <c r="H5" s="225">
        <v>0</v>
      </c>
      <c r="I5" s="225">
        <v>0</v>
      </c>
      <c r="J5" s="225">
        <v>0</v>
      </c>
      <c r="K5" s="225">
        <v>0</v>
      </c>
      <c r="L5" s="225">
        <v>493</v>
      </c>
      <c r="M5" s="225">
        <v>1796</v>
      </c>
      <c r="N5" s="225">
        <v>190</v>
      </c>
      <c r="O5" s="225">
        <v>3084</v>
      </c>
      <c r="P5" s="225">
        <v>14374</v>
      </c>
      <c r="Q5" s="225">
        <v>0</v>
      </c>
      <c r="R5" s="225">
        <v>2870</v>
      </c>
      <c r="S5" s="225"/>
      <c r="T5" s="225"/>
      <c r="U5" s="225"/>
      <c r="V5" s="225"/>
      <c r="W5" s="225">
        <v>183</v>
      </c>
      <c r="X5" s="225">
        <v>0</v>
      </c>
      <c r="Y5" s="225">
        <v>1645</v>
      </c>
      <c r="Z5" s="225">
        <v>526</v>
      </c>
      <c r="AA5" s="225">
        <v>318</v>
      </c>
      <c r="AB5" s="225">
        <v>178</v>
      </c>
      <c r="AC5" s="225">
        <v>0</v>
      </c>
      <c r="AD5" s="226">
        <f>SUM(C5:AC5)</f>
        <v>521124</v>
      </c>
      <c r="AE5" s="225">
        <v>419</v>
      </c>
      <c r="AF5" s="225">
        <v>1701</v>
      </c>
      <c r="AG5" s="225">
        <v>129</v>
      </c>
      <c r="AH5" s="225">
        <v>0</v>
      </c>
      <c r="AI5" s="225">
        <v>0</v>
      </c>
      <c r="AJ5" s="225">
        <v>0</v>
      </c>
      <c r="AK5" s="225">
        <v>229</v>
      </c>
      <c r="AL5" s="225">
        <v>2565</v>
      </c>
      <c r="AM5" s="225">
        <v>0</v>
      </c>
      <c r="AN5" s="225">
        <v>0</v>
      </c>
      <c r="AO5" s="225">
        <v>4338</v>
      </c>
      <c r="AP5" s="274">
        <v>1</v>
      </c>
      <c r="AQ5" s="225">
        <v>0</v>
      </c>
      <c r="AR5" s="225">
        <v>0</v>
      </c>
      <c r="AS5" s="225">
        <v>0</v>
      </c>
      <c r="AT5" s="225">
        <v>0</v>
      </c>
      <c r="AU5" s="225">
        <v>0</v>
      </c>
      <c r="AV5" s="225">
        <v>0</v>
      </c>
      <c r="AW5" s="225">
        <v>0</v>
      </c>
      <c r="AX5" s="225">
        <v>926</v>
      </c>
      <c r="AY5" s="225">
        <v>0</v>
      </c>
      <c r="AZ5" s="225">
        <v>0</v>
      </c>
      <c r="BA5" s="225">
        <v>0</v>
      </c>
      <c r="BB5" s="225">
        <v>0</v>
      </c>
      <c r="BC5" s="225">
        <v>189</v>
      </c>
      <c r="BD5" s="225">
        <v>199</v>
      </c>
      <c r="BE5" s="225">
        <v>5</v>
      </c>
      <c r="BF5" s="225">
        <v>80</v>
      </c>
      <c r="BG5" s="225">
        <v>3728</v>
      </c>
      <c r="BH5" s="9">
        <f>SUM(AE5:BG5)</f>
        <v>14509</v>
      </c>
      <c r="BI5" s="227">
        <f>AD5+BH5</f>
        <v>535633</v>
      </c>
      <c r="BJ5" s="97">
        <v>0</v>
      </c>
      <c r="BK5" s="226">
        <f>BI5-BJ5</f>
        <v>535633</v>
      </c>
      <c r="BM5" s="228">
        <f>BK5-AD5</f>
        <v>14509</v>
      </c>
    </row>
    <row r="6" spans="1:67" s="41" customFormat="1" ht="15.75">
      <c r="A6" s="136"/>
      <c r="B6" s="234" t="s">
        <v>317</v>
      </c>
      <c r="C6" s="10">
        <v>52533</v>
      </c>
      <c r="D6" s="10">
        <v>31029</v>
      </c>
      <c r="E6" s="10"/>
      <c r="F6" s="10">
        <v>7372</v>
      </c>
      <c r="G6" s="10">
        <v>3199</v>
      </c>
      <c r="H6" s="10"/>
      <c r="I6" s="10"/>
      <c r="J6" s="10"/>
      <c r="K6" s="10"/>
      <c r="L6" s="10">
        <v>94</v>
      </c>
      <c r="M6" s="10">
        <v>341</v>
      </c>
      <c r="N6" s="10">
        <v>35</v>
      </c>
      <c r="O6" s="10">
        <v>585</v>
      </c>
      <c r="P6" s="10">
        <v>2730</v>
      </c>
      <c r="Q6" s="10"/>
      <c r="R6" s="10">
        <v>545</v>
      </c>
      <c r="S6" s="10"/>
      <c r="T6" s="10"/>
      <c r="U6" s="10"/>
      <c r="V6" s="10"/>
      <c r="W6" s="10">
        <v>36</v>
      </c>
      <c r="X6" s="10"/>
      <c r="Y6" s="10">
        <v>311</v>
      </c>
      <c r="Z6" s="10">
        <v>99</v>
      </c>
      <c r="AA6" s="10">
        <v>60</v>
      </c>
      <c r="AB6" s="10">
        <v>34</v>
      </c>
      <c r="AC6" s="10"/>
      <c r="AD6" s="123">
        <f>SUM(C6:AC6)</f>
        <v>99003</v>
      </c>
      <c r="AE6" s="10">
        <v>101</v>
      </c>
      <c r="AF6" s="10">
        <v>408</v>
      </c>
      <c r="AG6" s="10">
        <v>31</v>
      </c>
      <c r="AH6" s="10">
        <v>0</v>
      </c>
      <c r="AI6" s="10"/>
      <c r="AJ6" s="10">
        <v>0</v>
      </c>
      <c r="AK6" s="10">
        <v>53</v>
      </c>
      <c r="AL6" s="10">
        <v>615</v>
      </c>
      <c r="AM6" s="10"/>
      <c r="AN6" s="10">
        <v>0</v>
      </c>
      <c r="AO6" s="10">
        <v>1041</v>
      </c>
      <c r="AP6" s="250">
        <v>0</v>
      </c>
      <c r="AQ6" s="10"/>
      <c r="AR6" s="10"/>
      <c r="AS6" s="10"/>
      <c r="AT6" s="10"/>
      <c r="AU6" s="10"/>
      <c r="AV6" s="10"/>
      <c r="AW6" s="10">
        <v>0</v>
      </c>
      <c r="AX6" s="10">
        <v>222</v>
      </c>
      <c r="AY6" s="10">
        <v>0</v>
      </c>
      <c r="AZ6" s="10"/>
      <c r="BA6" s="10"/>
      <c r="BB6" s="10"/>
      <c r="BC6" s="10">
        <v>46</v>
      </c>
      <c r="BD6" s="10">
        <v>48</v>
      </c>
      <c r="BE6" s="10">
        <v>1</v>
      </c>
      <c r="BF6" s="10">
        <v>19</v>
      </c>
      <c r="BG6" s="10">
        <v>895</v>
      </c>
      <c r="BH6" s="10">
        <f>SUM(AE6:BG6)</f>
        <v>3480</v>
      </c>
      <c r="BI6" s="219">
        <f>AD6+BH6</f>
        <v>102483</v>
      </c>
      <c r="BJ6" s="10">
        <f>IF('[1]Upto Month Current'!$B$60="",0,'[1]Upto Month Current'!$B$60)</f>
        <v>0</v>
      </c>
      <c r="BK6" s="10">
        <f>BI6-BJ6</f>
        <v>102483</v>
      </c>
      <c r="BL6" s="41">
        <f>'[1]Upto Month Current'!$B$61</f>
        <v>152671</v>
      </c>
      <c r="BM6" s="218">
        <f>BK6-AD6</f>
        <v>3480</v>
      </c>
    </row>
    <row r="7" spans="1:67" ht="15.75">
      <c r="A7" s="130"/>
      <c r="B7" s="12" t="s">
        <v>318</v>
      </c>
      <c r="C7" s="9">
        <f>IF('Upto Month COPPY'!$B$4="",0,'Upto Month COPPY'!$B$4)</f>
        <v>52582</v>
      </c>
      <c r="D7" s="9">
        <f>IF('Upto Month COPPY'!$B$5="",0,'Upto Month COPPY'!$B$5)</f>
        <v>28053</v>
      </c>
      <c r="E7" s="9">
        <f>IF('Upto Month COPPY'!$B$6="",0,'Upto Month COPPY'!$B$6)</f>
        <v>0</v>
      </c>
      <c r="F7" s="9">
        <f>IF('Upto Month COPPY'!$B$7="",0,'Upto Month COPPY'!$B$7)</f>
        <v>5818</v>
      </c>
      <c r="G7" s="9">
        <f>IF('Upto Month COPPY'!$B$8="",0,'Upto Month COPPY'!$B$8)</f>
        <v>2758</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132</v>
      </c>
      <c r="M7" s="9">
        <f>IF('Upto Month COPPY'!$B$14="",0,'Upto Month COPPY'!$B$14)</f>
        <v>245</v>
      </c>
      <c r="N7" s="9">
        <f>IF('Upto Month COPPY'!$B$15="",0,'Upto Month COPPY'!$B$15)</f>
        <v>40</v>
      </c>
      <c r="O7" s="9">
        <f>IF('Upto Month COPPY'!$B$16="",0,'Upto Month COPPY'!$B$16)</f>
        <v>1087</v>
      </c>
      <c r="P7" s="9">
        <f>IF('Upto Month COPPY'!$B$17="",0,'Upto Month COPPY'!$B$17)</f>
        <v>3785</v>
      </c>
      <c r="Q7" s="9">
        <f>IF('Upto Month COPPY'!$B$18="",0,'Upto Month COPPY'!$B$18)</f>
        <v>0</v>
      </c>
      <c r="R7" s="9">
        <f>IF('Upto Month COPPY'!$B$21="",0,'Upto Month COPPY'!$B$21)</f>
        <v>1021</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213</v>
      </c>
      <c r="Z7" s="9">
        <f>IF('Upto Month COPPY'!$B$43="",0,'Upto Month COPPY'!$B$43)</f>
        <v>65</v>
      </c>
      <c r="AA7" s="9">
        <f>IF('Upto Month COPPY'!$B$44="",0,'Upto Month COPPY'!$B$44)</f>
        <v>159</v>
      </c>
      <c r="AB7" s="9">
        <f>IF('Upto Month COPPY'!$B$48="",0,'Upto Month COPPY'!$B$48)</f>
        <v>0</v>
      </c>
      <c r="AC7" s="10">
        <f>IF('Upto Month COPPY'!$B$51="",0,'Upto Month COPPY'!$B$51)</f>
        <v>0</v>
      </c>
      <c r="AD7" s="123">
        <f>SUM(C7:AC7)</f>
        <v>95958</v>
      </c>
      <c r="AE7" s="9">
        <f>IF('Upto Month COPPY'!$B$19="",0,'Upto Month COPPY'!$B$19)</f>
        <v>10</v>
      </c>
      <c r="AF7" s="9">
        <f>IF('Upto Month COPPY'!$B$20="",0,'Upto Month COPPY'!$B$20)</f>
        <v>619</v>
      </c>
      <c r="AG7" s="9">
        <f>IF('Upto Month COPPY'!$B$22="",0,'Upto Month COPPY'!$B$22)</f>
        <v>0</v>
      </c>
      <c r="AH7" s="9">
        <f>IF('Upto Month COPPY'!$B$23="",0,'Upto Month COPPY'!$B$23)</f>
        <v>0</v>
      </c>
      <c r="AI7" s="9">
        <f>IF('Upto Month COPPY'!$B$24="",0,'Upto Month COPPY'!$B$24)</f>
        <v>0</v>
      </c>
      <c r="AJ7" s="9">
        <f>IF('Upto Month COPPY'!$B$25="",0,'Upto Month COPPY'!$B$25)</f>
        <v>0</v>
      </c>
      <c r="AK7" s="9">
        <f>IF('Upto Month COPPY'!$B$28="",0,'Upto Month COPPY'!$B$28)</f>
        <v>0</v>
      </c>
      <c r="AL7" s="9">
        <f>IF('Upto Month COPPY'!$B$29="",0,'Upto Month COPPY'!$B$29)</f>
        <v>437</v>
      </c>
      <c r="AM7" s="9">
        <f>IF('Upto Month COPPY'!$B$31="",0,'Upto Month COPPY'!$B$31)</f>
        <v>0</v>
      </c>
      <c r="AN7" s="9">
        <f>IF('Upto Month COPPY'!$B$32="",0,'Upto Month COPPY'!$B$32)</f>
        <v>0</v>
      </c>
      <c r="AO7" s="9">
        <f>IF('Upto Month COPPY'!$B$33="",0,'Upto Month COPPY'!$B$33)</f>
        <v>585</v>
      </c>
      <c r="AP7" s="275">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0</v>
      </c>
      <c r="AX7" s="9">
        <f>IF('Upto Month COPPY'!$B$46="",0,'Upto Month COPPY'!$B$46)</f>
        <v>232</v>
      </c>
      <c r="AY7" s="9">
        <f>IF('Upto Month COPPY'!$B$47="",0,'Upto Month COPPY'!$B$47)</f>
        <v>45</v>
      </c>
      <c r="AZ7" s="9">
        <f>IF('Upto Month COPPY'!$B$49="",0,'Upto Month COPPY'!$B$49)</f>
        <v>0</v>
      </c>
      <c r="BA7" s="9">
        <f>IF('Upto Month COPPY'!$B$50="",0,'Upto Month COPPY'!$B$50)</f>
        <v>0</v>
      </c>
      <c r="BB7" s="10">
        <f>IF('Upto Month COPPY'!$B$52="",0,'Upto Month COPPY'!$B$52)</f>
        <v>0</v>
      </c>
      <c r="BC7" s="9">
        <f>IF('Upto Month COPPY'!$B$53="",0,'Upto Month COPPY'!$B$53)</f>
        <v>109</v>
      </c>
      <c r="BD7" s="9">
        <f>IF('Upto Month COPPY'!$B$54="",0,'Upto Month COPPY'!$B$54)</f>
        <v>109</v>
      </c>
      <c r="BE7" s="9">
        <f>IF('Upto Month COPPY'!$B$55="",0,'Upto Month COPPY'!$B$55)</f>
        <v>0</v>
      </c>
      <c r="BF7" s="9">
        <f>IF('Upto Month COPPY'!$B$56="",0,'Upto Month COPPY'!$B$56)</f>
        <v>0</v>
      </c>
      <c r="BG7" s="9">
        <f>IF('Upto Month COPPY'!$B$58="",0,'Upto Month COPPY'!$B$58)</f>
        <v>156</v>
      </c>
      <c r="BH7" s="9">
        <f>SUM(AE7:BG7)</f>
        <v>2302</v>
      </c>
      <c r="BI7" s="127">
        <f>AD7+BH7</f>
        <v>98260</v>
      </c>
      <c r="BJ7" s="9">
        <f>IF('Upto Month COPPY'!$B$60="",0,'Upto Month COPPY'!$B$60)</f>
        <v>0</v>
      </c>
      <c r="BK7" s="51">
        <f>BI7-BJ7</f>
        <v>98260</v>
      </c>
      <c r="BL7">
        <f>'Upto Month COPPY'!$B$61</f>
        <v>98258</v>
      </c>
      <c r="BM7" s="30">
        <f>BK7-AD7</f>
        <v>2302</v>
      </c>
    </row>
    <row r="8" spans="1:67" ht="16.5" customHeight="1">
      <c r="A8" s="130"/>
      <c r="B8" s="183" t="s">
        <v>319</v>
      </c>
      <c r="C8" s="9">
        <f>IF('Upto Month Current'!$B$4="",0,'Upto Month Current'!$B$4)</f>
        <v>55086</v>
      </c>
      <c r="D8" s="9">
        <f>IF('Upto Month Current'!$B$5="",0,'Upto Month Current'!$B$5)</f>
        <v>33767</v>
      </c>
      <c r="E8" s="9">
        <f>IF('Upto Month Current'!$B$6="",0,'Upto Month Current'!$B$6)</f>
        <v>19</v>
      </c>
      <c r="F8" s="9">
        <f>IF('Upto Month Current'!$B$7="",0,'Upto Month Current'!$B$7)</f>
        <v>6174</v>
      </c>
      <c r="G8" s="9">
        <f>IF('Upto Month Current'!$B$8="",0,'Upto Month Current'!$B$8)</f>
        <v>3146</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58</v>
      </c>
      <c r="M8" s="9">
        <f>IF('Upto Month Current'!$B$14="",0,'Upto Month Current'!$B$14)</f>
        <v>252</v>
      </c>
      <c r="N8" s="9">
        <f>IF('Upto Month Current'!$B$15="",0,'Upto Month Current'!$B$15)</f>
        <v>38</v>
      </c>
      <c r="O8" s="9">
        <f>IF('Upto Month Current'!$B$16="",0,'Upto Month Current'!$B$16)</f>
        <v>212</v>
      </c>
      <c r="P8" s="9">
        <f>IF('Upto Month Current'!$B$17="",0,'Upto Month Current'!$B$17)</f>
        <v>1909</v>
      </c>
      <c r="Q8" s="9">
        <f>IF('Upto Month Current'!$B$18="",0,'Upto Month Current'!$B$18)</f>
        <v>0</v>
      </c>
      <c r="R8" s="9">
        <f>IF('Upto Month Current'!$B$21="",0,'Upto Month Current'!$B$21)</f>
        <v>338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289</v>
      </c>
      <c r="Z8" s="9">
        <f>IF('Upto Month Current'!$B$43="",0,'Upto Month Current'!$B$43)</f>
        <v>124</v>
      </c>
      <c r="AA8" s="9">
        <f>IF('Upto Month Current'!$B$44="",0,'Upto Month Current'!$B$44)</f>
        <v>275</v>
      </c>
      <c r="AB8" s="9">
        <f>IF('Upto Month Current'!$B$48="",0,'Upto Month Current'!$B$48)</f>
        <v>80</v>
      </c>
      <c r="AC8" s="10">
        <f>IF('Upto Month Current'!$B$51="",0,'Upto Month Current'!$B$51)</f>
        <v>0</v>
      </c>
      <c r="AD8" s="123">
        <f>SUM(C8:AC8)</f>
        <v>101767</v>
      </c>
      <c r="AE8" s="9">
        <f>IF('Upto Month Current'!$B$19="",0,'Upto Month Current'!$B$19)</f>
        <v>50</v>
      </c>
      <c r="AF8" s="9">
        <f>IF('Upto Month Current'!$B$20="",0,'Upto Month Current'!$B$20)</f>
        <v>643</v>
      </c>
      <c r="AG8" s="9">
        <f>IF('Upto Month Current'!$B$22="",0,'Upto Month Current'!$B$22)</f>
        <v>390</v>
      </c>
      <c r="AH8" s="9">
        <f>IF('Upto Month Current'!$B$23="",0,'Upto Month Current'!$B$23)</f>
        <v>0</v>
      </c>
      <c r="AI8" s="9">
        <f>IF('Upto Month Current'!$B$24="",0,'Upto Month Current'!$B$24)</f>
        <v>0</v>
      </c>
      <c r="AJ8" s="9">
        <f>IF('Upto Month Current'!$B$25="",0,'Upto Month Current'!$B$25)</f>
        <v>0</v>
      </c>
      <c r="AK8" s="9">
        <f>IF('Upto Month Current'!$B$28="",0,'Upto Month Current'!$B$28)</f>
        <v>124</v>
      </c>
      <c r="AL8" s="9">
        <f>IF('Upto Month Current'!$B$29="",0,'Upto Month Current'!$B$29)</f>
        <v>527</v>
      </c>
      <c r="AM8" s="9">
        <f>IF('Upto Month Current'!$B$31="",0,'Upto Month Current'!$B$31)</f>
        <v>0</v>
      </c>
      <c r="AN8" s="9">
        <f>IF('Upto Month Current'!$B$32="",0,'Upto Month Current'!$B$32)</f>
        <v>0</v>
      </c>
      <c r="AO8" s="9">
        <f>IF('Upto Month Current'!$B$33="",0,'Upto Month Current'!$B$33)</f>
        <v>318</v>
      </c>
      <c r="AP8" s="275">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59</v>
      </c>
      <c r="AY8" s="9">
        <f>IF('Upto Month Current'!$B$47="",0,'Upto Month Current'!$B$47)</f>
        <v>0</v>
      </c>
      <c r="AZ8" s="9">
        <f>IF('Upto Month Current'!$B$49="",0,'Upto Month Current'!$B$49)</f>
        <v>0</v>
      </c>
      <c r="BA8" s="9">
        <f>IF('Upto Month Current'!$B$50="",0,'Upto Month Current'!$B$50)</f>
        <v>0</v>
      </c>
      <c r="BB8" s="10">
        <f>IF('Upto Month Current'!$B$52="",0,'Upto Month Current'!$B$52)</f>
        <v>0</v>
      </c>
      <c r="BC8" s="9">
        <f>IF('Upto Month Current'!$B$53="",0,'Upto Month Current'!$B$53)</f>
        <v>73</v>
      </c>
      <c r="BD8" s="9">
        <f>IF('Upto Month Current'!$B$54="",0,'Upto Month Current'!$B$54)</f>
        <v>73</v>
      </c>
      <c r="BE8" s="9">
        <f>IF('Upto Month Current'!$B$55="",0,'Upto Month Current'!$B$55)</f>
        <v>0</v>
      </c>
      <c r="BF8" s="9">
        <f>IF('Upto Month Current'!$B$56="",0,'Upto Month Current'!$B$56)</f>
        <v>3</v>
      </c>
      <c r="BG8" s="9">
        <f>IF('Upto Month Current'!$B$58="",0,'Upto Month Current'!$B$58)</f>
        <v>1683</v>
      </c>
      <c r="BH8" s="9">
        <f>SUM(AE8:BG8)</f>
        <v>3943</v>
      </c>
      <c r="BI8" s="127">
        <f>AD8+BH8</f>
        <v>105710</v>
      </c>
      <c r="BJ8" s="9">
        <f>IF('Upto Month Current'!$B$60="",0,'Upto Month Current'!$B$60)</f>
        <v>0</v>
      </c>
      <c r="BK8" s="51">
        <f>BI8-BJ8</f>
        <v>105710</v>
      </c>
      <c r="BL8">
        <f>'Upto Month Current'!$B$61</f>
        <v>105713</v>
      </c>
      <c r="BM8" s="30">
        <f>BK8-AD8</f>
        <v>3943</v>
      </c>
    </row>
    <row r="9" spans="1:67" ht="15.75">
      <c r="A9" s="130"/>
      <c r="B9" s="5" t="s">
        <v>124</v>
      </c>
      <c r="C9" s="11">
        <f>C8-C6</f>
        <v>2553</v>
      </c>
      <c r="D9" s="11">
        <f t="shared" ref="D9:BK9" si="0">D8-D6</f>
        <v>2738</v>
      </c>
      <c r="E9" s="11">
        <f t="shared" si="0"/>
        <v>19</v>
      </c>
      <c r="F9" s="11">
        <f t="shared" si="0"/>
        <v>-1198</v>
      </c>
      <c r="G9" s="11">
        <f t="shared" si="0"/>
        <v>-53</v>
      </c>
      <c r="H9" s="11">
        <f t="shared" si="0"/>
        <v>0</v>
      </c>
      <c r="I9" s="11">
        <f t="shared" si="0"/>
        <v>0</v>
      </c>
      <c r="J9" s="11">
        <f t="shared" si="0"/>
        <v>0</v>
      </c>
      <c r="K9" s="11">
        <f t="shared" si="0"/>
        <v>0</v>
      </c>
      <c r="L9" s="11">
        <f t="shared" si="0"/>
        <v>-36</v>
      </c>
      <c r="M9" s="11">
        <f t="shared" si="0"/>
        <v>-89</v>
      </c>
      <c r="N9" s="11">
        <f t="shared" si="0"/>
        <v>3</v>
      </c>
      <c r="O9" s="11">
        <f t="shared" si="0"/>
        <v>-373</v>
      </c>
      <c r="P9" s="11">
        <f t="shared" si="0"/>
        <v>-821</v>
      </c>
      <c r="Q9" s="11">
        <f t="shared" si="0"/>
        <v>0</v>
      </c>
      <c r="R9" s="11">
        <f t="shared" si="0"/>
        <v>-207</v>
      </c>
      <c r="S9" s="11">
        <f t="shared" si="0"/>
        <v>0</v>
      </c>
      <c r="T9" s="11">
        <f t="shared" si="0"/>
        <v>0</v>
      </c>
      <c r="U9" s="11">
        <f>U8-U6</f>
        <v>0</v>
      </c>
      <c r="V9" s="9">
        <f t="shared" si="0"/>
        <v>0</v>
      </c>
      <c r="W9" s="11">
        <f t="shared" si="0"/>
        <v>-36</v>
      </c>
      <c r="X9" s="11">
        <f t="shared" si="0"/>
        <v>0</v>
      </c>
      <c r="Y9" s="11">
        <f t="shared" si="0"/>
        <v>-22</v>
      </c>
      <c r="Z9" s="11">
        <f t="shared" si="0"/>
        <v>25</v>
      </c>
      <c r="AA9" s="11">
        <f t="shared" si="0"/>
        <v>215</v>
      </c>
      <c r="AB9" s="11">
        <f>AB8-AB6</f>
        <v>46</v>
      </c>
      <c r="AC9" s="10">
        <f>AC8-AC6</f>
        <v>0</v>
      </c>
      <c r="AD9" s="11">
        <f t="shared" si="0"/>
        <v>2764</v>
      </c>
      <c r="AE9" s="11">
        <f t="shared" si="0"/>
        <v>-51</v>
      </c>
      <c r="AF9" s="11">
        <f t="shared" si="0"/>
        <v>235</v>
      </c>
      <c r="AG9" s="11">
        <f t="shared" si="0"/>
        <v>359</v>
      </c>
      <c r="AH9" s="11">
        <f t="shared" si="0"/>
        <v>0</v>
      </c>
      <c r="AI9" s="11">
        <f t="shared" si="0"/>
        <v>0</v>
      </c>
      <c r="AJ9" s="11">
        <f t="shared" si="0"/>
        <v>0</v>
      </c>
      <c r="AK9" s="11">
        <f t="shared" si="0"/>
        <v>71</v>
      </c>
      <c r="AL9" s="11">
        <f t="shared" si="0"/>
        <v>-88</v>
      </c>
      <c r="AM9" s="11">
        <f t="shared" si="0"/>
        <v>0</v>
      </c>
      <c r="AN9" s="11">
        <f t="shared" si="0"/>
        <v>0</v>
      </c>
      <c r="AO9" s="9">
        <f t="shared" si="0"/>
        <v>-723</v>
      </c>
      <c r="AP9" s="276">
        <f t="shared" si="0"/>
        <v>0</v>
      </c>
      <c r="AQ9" s="10">
        <f t="shared" si="0"/>
        <v>0</v>
      </c>
      <c r="AR9" s="11">
        <f t="shared" si="0"/>
        <v>0</v>
      </c>
      <c r="AS9" s="11">
        <f t="shared" si="0"/>
        <v>0</v>
      </c>
      <c r="AT9" s="11">
        <f t="shared" si="0"/>
        <v>0</v>
      </c>
      <c r="AU9" s="11">
        <f t="shared" si="0"/>
        <v>0</v>
      </c>
      <c r="AV9" s="11">
        <f t="shared" si="0"/>
        <v>0</v>
      </c>
      <c r="AW9" s="11">
        <f t="shared" si="0"/>
        <v>0</v>
      </c>
      <c r="AX9" s="11">
        <f t="shared" si="0"/>
        <v>-163</v>
      </c>
      <c r="AY9" s="11">
        <f t="shared" si="0"/>
        <v>0</v>
      </c>
      <c r="AZ9" s="11">
        <f t="shared" si="0"/>
        <v>0</v>
      </c>
      <c r="BA9" s="11">
        <f t="shared" si="0"/>
        <v>0</v>
      </c>
      <c r="BB9" s="10">
        <f t="shared" si="0"/>
        <v>0</v>
      </c>
      <c r="BC9" s="11">
        <f t="shared" si="0"/>
        <v>27</v>
      </c>
      <c r="BD9" s="11">
        <f t="shared" si="0"/>
        <v>25</v>
      </c>
      <c r="BE9" s="11">
        <f t="shared" si="0"/>
        <v>-1</v>
      </c>
      <c r="BF9" s="11">
        <f t="shared" si="0"/>
        <v>-16</v>
      </c>
      <c r="BG9" s="11">
        <f t="shared" si="0"/>
        <v>788</v>
      </c>
      <c r="BH9" s="9">
        <f t="shared" si="0"/>
        <v>463</v>
      </c>
      <c r="BI9" s="45">
        <f t="shared" si="0"/>
        <v>3227</v>
      </c>
      <c r="BJ9" s="11">
        <f t="shared" si="0"/>
        <v>0</v>
      </c>
      <c r="BK9" s="51">
        <f t="shared" si="0"/>
        <v>3227</v>
      </c>
      <c r="BM9" s="30">
        <f>BK9-AD9</f>
        <v>463</v>
      </c>
    </row>
    <row r="10" spans="1:67" ht="15.75">
      <c r="A10" s="130"/>
      <c r="B10" s="5" t="s">
        <v>125</v>
      </c>
      <c r="C10" s="13">
        <f>C9/C6</f>
        <v>4.8598024099137688E-2</v>
      </c>
      <c r="D10" s="13">
        <f t="shared" ref="D10:BM10" si="1">D9/D6</f>
        <v>8.8240033517032454E-2</v>
      </c>
      <c r="E10" s="13" t="e">
        <f t="shared" si="1"/>
        <v>#DIV/0!</v>
      </c>
      <c r="F10" s="13">
        <f t="shared" si="1"/>
        <v>-0.16250678241996744</v>
      </c>
      <c r="G10" s="13">
        <f t="shared" si="1"/>
        <v>-1.6567677399187245E-2</v>
      </c>
      <c r="H10" s="13" t="e">
        <f t="shared" si="1"/>
        <v>#DIV/0!</v>
      </c>
      <c r="I10" s="13" t="e">
        <f t="shared" si="1"/>
        <v>#DIV/0!</v>
      </c>
      <c r="J10" s="13" t="e">
        <f t="shared" si="1"/>
        <v>#DIV/0!</v>
      </c>
      <c r="K10" s="13" t="e">
        <f t="shared" si="1"/>
        <v>#DIV/0!</v>
      </c>
      <c r="L10" s="13">
        <f t="shared" si="1"/>
        <v>-0.38297872340425532</v>
      </c>
      <c r="M10" s="13">
        <f t="shared" si="1"/>
        <v>-0.26099706744868034</v>
      </c>
      <c r="N10" s="13">
        <f t="shared" si="1"/>
        <v>8.5714285714285715E-2</v>
      </c>
      <c r="O10" s="13">
        <f t="shared" si="1"/>
        <v>-0.63760683760683756</v>
      </c>
      <c r="P10" s="13">
        <f t="shared" si="1"/>
        <v>-0.30073260073260072</v>
      </c>
      <c r="Q10" s="13" t="e">
        <f t="shared" si="1"/>
        <v>#DIV/0!</v>
      </c>
      <c r="R10" s="13">
        <f t="shared" si="1"/>
        <v>-0.37981651376146791</v>
      </c>
      <c r="S10" s="13" t="e">
        <f t="shared" si="1"/>
        <v>#DIV/0!</v>
      </c>
      <c r="T10" s="13" t="e">
        <f t="shared" si="1"/>
        <v>#DIV/0!</v>
      </c>
      <c r="U10" s="13" t="e">
        <f>U9/U6</f>
        <v>#DIV/0!</v>
      </c>
      <c r="V10" s="163" t="e">
        <f t="shared" si="1"/>
        <v>#DIV/0!</v>
      </c>
      <c r="W10" s="13">
        <f t="shared" si="1"/>
        <v>-1</v>
      </c>
      <c r="X10" s="13" t="e">
        <f t="shared" si="1"/>
        <v>#DIV/0!</v>
      </c>
      <c r="Y10" s="13">
        <f t="shared" si="1"/>
        <v>-7.0739549839228297E-2</v>
      </c>
      <c r="Z10" s="13">
        <f t="shared" si="1"/>
        <v>0.25252525252525254</v>
      </c>
      <c r="AA10" s="13">
        <f t="shared" si="1"/>
        <v>3.5833333333333335</v>
      </c>
      <c r="AB10" s="13">
        <f>AB9/AB6</f>
        <v>1.3529411764705883</v>
      </c>
      <c r="AC10" s="14" t="e">
        <f>AC9/AC6</f>
        <v>#DIV/0!</v>
      </c>
      <c r="AD10" s="13">
        <f t="shared" si="1"/>
        <v>2.7918345908709837E-2</v>
      </c>
      <c r="AE10" s="13">
        <f t="shared" si="1"/>
        <v>-0.50495049504950495</v>
      </c>
      <c r="AF10" s="13">
        <f t="shared" si="1"/>
        <v>0.5759803921568627</v>
      </c>
      <c r="AG10" s="13">
        <f t="shared" si="1"/>
        <v>11.580645161290322</v>
      </c>
      <c r="AH10" s="13" t="e">
        <f t="shared" si="1"/>
        <v>#DIV/0!</v>
      </c>
      <c r="AI10" s="13" t="e">
        <f t="shared" si="1"/>
        <v>#DIV/0!</v>
      </c>
      <c r="AJ10" s="13" t="e">
        <f t="shared" si="1"/>
        <v>#DIV/0!</v>
      </c>
      <c r="AK10" s="13">
        <f t="shared" si="1"/>
        <v>1.3396226415094339</v>
      </c>
      <c r="AL10" s="13">
        <f t="shared" si="1"/>
        <v>-0.14308943089430895</v>
      </c>
      <c r="AM10" s="13" t="e">
        <f t="shared" si="1"/>
        <v>#DIV/0!</v>
      </c>
      <c r="AN10" s="13" t="e">
        <f t="shared" si="1"/>
        <v>#DIV/0!</v>
      </c>
      <c r="AO10" s="163">
        <f t="shared" si="1"/>
        <v>-0.6945244956772334</v>
      </c>
      <c r="AP10" s="277" t="e">
        <f t="shared" si="1"/>
        <v>#DIV/0!</v>
      </c>
      <c r="AQ10" s="14" t="e">
        <f t="shared" si="1"/>
        <v>#DIV/0!</v>
      </c>
      <c r="AR10" s="13" t="e">
        <f t="shared" si="1"/>
        <v>#DIV/0!</v>
      </c>
      <c r="AS10" s="13" t="e">
        <f t="shared" si="1"/>
        <v>#DIV/0!</v>
      </c>
      <c r="AT10" s="13" t="e">
        <f t="shared" si="1"/>
        <v>#DIV/0!</v>
      </c>
      <c r="AU10" s="13" t="e">
        <f t="shared" si="1"/>
        <v>#DIV/0!</v>
      </c>
      <c r="AV10" s="13" t="e">
        <f t="shared" si="1"/>
        <v>#DIV/0!</v>
      </c>
      <c r="AW10" s="13" t="e">
        <f t="shared" si="1"/>
        <v>#DIV/0!</v>
      </c>
      <c r="AX10" s="13">
        <f t="shared" si="1"/>
        <v>-0.73423423423423428</v>
      </c>
      <c r="AY10" s="13" t="e">
        <f t="shared" si="1"/>
        <v>#DIV/0!</v>
      </c>
      <c r="AZ10" s="13" t="e">
        <f t="shared" si="1"/>
        <v>#DIV/0!</v>
      </c>
      <c r="BA10" s="13" t="e">
        <f t="shared" si="1"/>
        <v>#DIV/0!</v>
      </c>
      <c r="BB10" s="14" t="e">
        <f t="shared" si="1"/>
        <v>#DIV/0!</v>
      </c>
      <c r="BC10" s="13">
        <f t="shared" si="1"/>
        <v>0.58695652173913049</v>
      </c>
      <c r="BD10" s="13">
        <f t="shared" si="1"/>
        <v>0.52083333333333337</v>
      </c>
      <c r="BE10" s="13">
        <f t="shared" si="1"/>
        <v>-1</v>
      </c>
      <c r="BF10" s="13">
        <f t="shared" si="1"/>
        <v>-0.84210526315789469</v>
      </c>
      <c r="BG10" s="13">
        <f t="shared" si="1"/>
        <v>0.88044692737430164</v>
      </c>
      <c r="BH10" s="163">
        <f t="shared" si="1"/>
        <v>0.13304597701149426</v>
      </c>
      <c r="BI10" s="46">
        <f t="shared" si="1"/>
        <v>3.1488149254022615E-2</v>
      </c>
      <c r="BJ10" s="13" t="e">
        <f t="shared" si="1"/>
        <v>#DIV/0!</v>
      </c>
      <c r="BK10" s="52">
        <f t="shared" si="1"/>
        <v>3.1488149254022615E-2</v>
      </c>
      <c r="BM10" s="163">
        <f t="shared" si="1"/>
        <v>0.13304597701149426</v>
      </c>
    </row>
    <row r="11" spans="1:67" ht="15.75">
      <c r="A11" s="130"/>
      <c r="B11" s="5" t="s">
        <v>126</v>
      </c>
      <c r="C11" s="11">
        <f>C8-C7</f>
        <v>2504</v>
      </c>
      <c r="D11" s="11">
        <f t="shared" ref="D11:BK11" si="2">D8-D7</f>
        <v>5714</v>
      </c>
      <c r="E11" s="11">
        <f t="shared" si="2"/>
        <v>19</v>
      </c>
      <c r="F11" s="11">
        <f t="shared" si="2"/>
        <v>356</v>
      </c>
      <c r="G11" s="11">
        <f t="shared" si="2"/>
        <v>388</v>
      </c>
      <c r="H11" s="11">
        <f t="shared" si="2"/>
        <v>0</v>
      </c>
      <c r="I11" s="11">
        <f t="shared" si="2"/>
        <v>0</v>
      </c>
      <c r="J11" s="11">
        <f t="shared" si="2"/>
        <v>0</v>
      </c>
      <c r="K11" s="11">
        <f t="shared" si="2"/>
        <v>0</v>
      </c>
      <c r="L11" s="11">
        <f t="shared" si="2"/>
        <v>-74</v>
      </c>
      <c r="M11" s="11">
        <f t="shared" si="2"/>
        <v>7</v>
      </c>
      <c r="N11" s="11">
        <f t="shared" si="2"/>
        <v>-2</v>
      </c>
      <c r="O11" s="11">
        <f t="shared" si="2"/>
        <v>-875</v>
      </c>
      <c r="P11" s="11">
        <f t="shared" si="2"/>
        <v>-1876</v>
      </c>
      <c r="Q11" s="11">
        <f t="shared" si="2"/>
        <v>0</v>
      </c>
      <c r="R11" s="11">
        <f t="shared" si="2"/>
        <v>-683</v>
      </c>
      <c r="S11" s="11">
        <f t="shared" si="2"/>
        <v>0</v>
      </c>
      <c r="T11" s="11">
        <f t="shared" si="2"/>
        <v>0</v>
      </c>
      <c r="U11" s="11">
        <f>U8-U7</f>
        <v>0</v>
      </c>
      <c r="V11" s="9">
        <f t="shared" si="2"/>
        <v>0</v>
      </c>
      <c r="W11" s="11">
        <f t="shared" si="2"/>
        <v>0</v>
      </c>
      <c r="X11" s="11">
        <f t="shared" si="2"/>
        <v>0</v>
      </c>
      <c r="Y11" s="11">
        <f t="shared" si="2"/>
        <v>76</v>
      </c>
      <c r="Z11" s="11">
        <f t="shared" si="2"/>
        <v>59</v>
      </c>
      <c r="AA11" s="11">
        <f t="shared" si="2"/>
        <v>116</v>
      </c>
      <c r="AB11" s="11">
        <f>AB8-AB7</f>
        <v>80</v>
      </c>
      <c r="AC11" s="10">
        <f>AC8-AC7</f>
        <v>0</v>
      </c>
      <c r="AD11" s="11">
        <f t="shared" si="2"/>
        <v>5809</v>
      </c>
      <c r="AE11" s="11">
        <f t="shared" si="2"/>
        <v>40</v>
      </c>
      <c r="AF11" s="11">
        <f t="shared" si="2"/>
        <v>24</v>
      </c>
      <c r="AG11" s="11">
        <f t="shared" si="2"/>
        <v>390</v>
      </c>
      <c r="AH11" s="11">
        <f t="shared" si="2"/>
        <v>0</v>
      </c>
      <c r="AI11" s="11">
        <f t="shared" si="2"/>
        <v>0</v>
      </c>
      <c r="AJ11" s="11">
        <f t="shared" si="2"/>
        <v>0</v>
      </c>
      <c r="AK11" s="11">
        <f t="shared" si="2"/>
        <v>124</v>
      </c>
      <c r="AL11" s="11">
        <f t="shared" si="2"/>
        <v>90</v>
      </c>
      <c r="AM11" s="11">
        <f t="shared" si="2"/>
        <v>0</v>
      </c>
      <c r="AN11" s="11">
        <f t="shared" si="2"/>
        <v>0</v>
      </c>
      <c r="AO11" s="9">
        <f t="shared" si="2"/>
        <v>-267</v>
      </c>
      <c r="AP11" s="276">
        <f t="shared" si="2"/>
        <v>0</v>
      </c>
      <c r="AQ11" s="10">
        <f t="shared" si="2"/>
        <v>0</v>
      </c>
      <c r="AR11" s="11">
        <f t="shared" si="2"/>
        <v>0</v>
      </c>
      <c r="AS11" s="11">
        <f t="shared" si="2"/>
        <v>0</v>
      </c>
      <c r="AT11" s="11">
        <f t="shared" si="2"/>
        <v>0</v>
      </c>
      <c r="AU11" s="11">
        <f t="shared" si="2"/>
        <v>0</v>
      </c>
      <c r="AV11" s="11">
        <f t="shared" si="2"/>
        <v>0</v>
      </c>
      <c r="AW11" s="11">
        <f t="shared" si="2"/>
        <v>0</v>
      </c>
      <c r="AX11" s="11">
        <f t="shared" si="2"/>
        <v>-173</v>
      </c>
      <c r="AY11" s="11">
        <f t="shared" si="2"/>
        <v>-45</v>
      </c>
      <c r="AZ11" s="11">
        <f t="shared" si="2"/>
        <v>0</v>
      </c>
      <c r="BA11" s="11">
        <f t="shared" si="2"/>
        <v>0</v>
      </c>
      <c r="BB11" s="10">
        <f t="shared" si="2"/>
        <v>0</v>
      </c>
      <c r="BC11" s="11">
        <f t="shared" si="2"/>
        <v>-36</v>
      </c>
      <c r="BD11" s="11">
        <f t="shared" si="2"/>
        <v>-36</v>
      </c>
      <c r="BE11" s="11">
        <f t="shared" si="2"/>
        <v>0</v>
      </c>
      <c r="BF11" s="11">
        <f t="shared" si="2"/>
        <v>3</v>
      </c>
      <c r="BG11" s="11">
        <f t="shared" si="2"/>
        <v>1527</v>
      </c>
      <c r="BH11" s="9">
        <f t="shared" si="2"/>
        <v>1641</v>
      </c>
      <c r="BI11" s="45">
        <f t="shared" si="2"/>
        <v>7450</v>
      </c>
      <c r="BJ11" s="11">
        <f t="shared" si="2"/>
        <v>0</v>
      </c>
      <c r="BK11" s="51">
        <f t="shared" si="2"/>
        <v>7450</v>
      </c>
      <c r="BM11" s="30">
        <f>BK11-AD11</f>
        <v>1641</v>
      </c>
    </row>
    <row r="12" spans="1:67" ht="15.75">
      <c r="A12" s="130"/>
      <c r="B12" s="5" t="s">
        <v>127</v>
      </c>
      <c r="C12" s="13">
        <f>C11/C7</f>
        <v>4.7620858849035795E-2</v>
      </c>
      <c r="D12" s="13">
        <f t="shared" ref="D12:BM12" si="3">D11/D7</f>
        <v>0.20368588029800735</v>
      </c>
      <c r="E12" s="13" t="e">
        <f t="shared" si="3"/>
        <v>#DIV/0!</v>
      </c>
      <c r="F12" s="13">
        <f t="shared" si="3"/>
        <v>6.1189412169130285E-2</v>
      </c>
      <c r="G12" s="13">
        <f t="shared" si="3"/>
        <v>0.14068165337200869</v>
      </c>
      <c r="H12" s="13" t="e">
        <f t="shared" si="3"/>
        <v>#DIV/0!</v>
      </c>
      <c r="I12" s="13" t="e">
        <f t="shared" si="3"/>
        <v>#DIV/0!</v>
      </c>
      <c r="J12" s="13" t="e">
        <f t="shared" si="3"/>
        <v>#DIV/0!</v>
      </c>
      <c r="K12" s="13" t="e">
        <f t="shared" si="3"/>
        <v>#DIV/0!</v>
      </c>
      <c r="L12" s="13">
        <f t="shared" si="3"/>
        <v>-0.56060606060606055</v>
      </c>
      <c r="M12" s="13">
        <f t="shared" si="3"/>
        <v>2.8571428571428571E-2</v>
      </c>
      <c r="N12" s="13">
        <f t="shared" si="3"/>
        <v>-0.05</v>
      </c>
      <c r="O12" s="13">
        <f t="shared" si="3"/>
        <v>-0.80496780128794854</v>
      </c>
      <c r="P12" s="13">
        <f t="shared" si="3"/>
        <v>-0.49564068692206076</v>
      </c>
      <c r="Q12" s="13" t="e">
        <f t="shared" si="3"/>
        <v>#DIV/0!</v>
      </c>
      <c r="R12" s="13">
        <f t="shared" si="3"/>
        <v>-0.66895200783545539</v>
      </c>
      <c r="S12" s="13" t="e">
        <f t="shared" si="3"/>
        <v>#DIV/0!</v>
      </c>
      <c r="T12" s="13" t="e">
        <f t="shared" si="3"/>
        <v>#DIV/0!</v>
      </c>
      <c r="U12" s="13" t="e">
        <f>U11/U7</f>
        <v>#DIV/0!</v>
      </c>
      <c r="V12" s="163" t="e">
        <f t="shared" si="3"/>
        <v>#DIV/0!</v>
      </c>
      <c r="W12" s="13" t="e">
        <f t="shared" si="3"/>
        <v>#DIV/0!</v>
      </c>
      <c r="X12" s="13" t="e">
        <f t="shared" si="3"/>
        <v>#DIV/0!</v>
      </c>
      <c r="Y12" s="13">
        <f t="shared" si="3"/>
        <v>0.35680751173708919</v>
      </c>
      <c r="Z12" s="13">
        <f t="shared" si="3"/>
        <v>0.90769230769230769</v>
      </c>
      <c r="AA12" s="13">
        <f t="shared" si="3"/>
        <v>0.72955974842767291</v>
      </c>
      <c r="AB12" s="13" t="e">
        <f>AB11/AB7</f>
        <v>#DIV/0!</v>
      </c>
      <c r="AC12" s="14" t="e">
        <f>AC11/AC7</f>
        <v>#DIV/0!</v>
      </c>
      <c r="AD12" s="13">
        <f t="shared" si="3"/>
        <v>6.053690156109965E-2</v>
      </c>
      <c r="AE12" s="13">
        <f t="shared" si="3"/>
        <v>4</v>
      </c>
      <c r="AF12" s="13">
        <f t="shared" si="3"/>
        <v>3.8772213247172858E-2</v>
      </c>
      <c r="AG12" s="13" t="e">
        <f t="shared" si="3"/>
        <v>#DIV/0!</v>
      </c>
      <c r="AH12" s="13" t="e">
        <f t="shared" si="3"/>
        <v>#DIV/0!</v>
      </c>
      <c r="AI12" s="13" t="e">
        <f t="shared" si="3"/>
        <v>#DIV/0!</v>
      </c>
      <c r="AJ12" s="13" t="e">
        <f t="shared" si="3"/>
        <v>#DIV/0!</v>
      </c>
      <c r="AK12" s="13" t="e">
        <f t="shared" si="3"/>
        <v>#DIV/0!</v>
      </c>
      <c r="AL12" s="13">
        <f t="shared" si="3"/>
        <v>0.20594965675057209</v>
      </c>
      <c r="AM12" s="13" t="e">
        <f t="shared" si="3"/>
        <v>#DIV/0!</v>
      </c>
      <c r="AN12" s="13" t="e">
        <f t="shared" si="3"/>
        <v>#DIV/0!</v>
      </c>
      <c r="AO12" s="163">
        <f t="shared" si="3"/>
        <v>-0.4564102564102564</v>
      </c>
      <c r="AP12" s="277" t="e">
        <f t="shared" si="3"/>
        <v>#DIV/0!</v>
      </c>
      <c r="AQ12" s="14" t="e">
        <f t="shared" si="3"/>
        <v>#DIV/0!</v>
      </c>
      <c r="AR12" s="13" t="e">
        <f t="shared" si="3"/>
        <v>#DIV/0!</v>
      </c>
      <c r="AS12" s="13" t="e">
        <f t="shared" si="3"/>
        <v>#DIV/0!</v>
      </c>
      <c r="AT12" s="13" t="e">
        <f t="shared" si="3"/>
        <v>#DIV/0!</v>
      </c>
      <c r="AU12" s="13" t="e">
        <f t="shared" si="3"/>
        <v>#DIV/0!</v>
      </c>
      <c r="AV12" s="13" t="e">
        <f t="shared" si="3"/>
        <v>#DIV/0!</v>
      </c>
      <c r="AW12" s="13" t="e">
        <f t="shared" si="3"/>
        <v>#DIV/0!</v>
      </c>
      <c r="AX12" s="13">
        <f t="shared" si="3"/>
        <v>-0.74568965517241381</v>
      </c>
      <c r="AY12" s="13">
        <f t="shared" si="3"/>
        <v>-1</v>
      </c>
      <c r="AZ12" s="13" t="e">
        <f t="shared" si="3"/>
        <v>#DIV/0!</v>
      </c>
      <c r="BA12" s="13" t="e">
        <f t="shared" si="3"/>
        <v>#DIV/0!</v>
      </c>
      <c r="BB12" s="14" t="e">
        <f t="shared" si="3"/>
        <v>#DIV/0!</v>
      </c>
      <c r="BC12" s="13">
        <f t="shared" si="3"/>
        <v>-0.33027522935779818</v>
      </c>
      <c r="BD12" s="13">
        <f t="shared" si="3"/>
        <v>-0.33027522935779818</v>
      </c>
      <c r="BE12" s="13" t="e">
        <f t="shared" si="3"/>
        <v>#DIV/0!</v>
      </c>
      <c r="BF12" s="13" t="e">
        <f t="shared" si="3"/>
        <v>#DIV/0!</v>
      </c>
      <c r="BG12" s="13">
        <f t="shared" si="3"/>
        <v>9.7884615384615383</v>
      </c>
      <c r="BH12" s="163">
        <f t="shared" si="3"/>
        <v>0.712858384013901</v>
      </c>
      <c r="BI12" s="46">
        <f t="shared" si="3"/>
        <v>7.58192550376552E-2</v>
      </c>
      <c r="BJ12" s="13" t="e">
        <f t="shared" si="3"/>
        <v>#DIV/0!</v>
      </c>
      <c r="BK12" s="52">
        <f t="shared" si="3"/>
        <v>7.58192550376552E-2</v>
      </c>
      <c r="BM12" s="14">
        <f t="shared" si="3"/>
        <v>0.712858384013901</v>
      </c>
      <c r="BO12" s="36"/>
    </row>
    <row r="13" spans="1:67" ht="15.75">
      <c r="A13" s="130"/>
      <c r="B13" s="5" t="s">
        <v>310</v>
      </c>
      <c r="C13" s="128">
        <f>C8/C5</f>
        <v>0.19923973075907567</v>
      </c>
      <c r="D13" s="128">
        <f t="shared" ref="D13:BM13" si="4">D8/D5</f>
        <v>0.20674981478420063</v>
      </c>
      <c r="E13" s="128" t="e">
        <f t="shared" si="4"/>
        <v>#DIV/0!</v>
      </c>
      <c r="F13" s="128">
        <f t="shared" si="4"/>
        <v>0.15905402272200325</v>
      </c>
      <c r="G13" s="128">
        <f t="shared" si="4"/>
        <v>0.18675056393209069</v>
      </c>
      <c r="H13" s="128" t="e">
        <f t="shared" si="4"/>
        <v>#DIV/0!</v>
      </c>
      <c r="I13" s="128" t="e">
        <f t="shared" si="4"/>
        <v>#DIV/0!</v>
      </c>
      <c r="J13" s="128" t="e">
        <f t="shared" si="4"/>
        <v>#DIV/0!</v>
      </c>
      <c r="K13" s="128" t="e">
        <f t="shared" si="4"/>
        <v>#DIV/0!</v>
      </c>
      <c r="L13" s="128">
        <f t="shared" si="4"/>
        <v>0.11764705882352941</v>
      </c>
      <c r="M13" s="128">
        <f t="shared" si="4"/>
        <v>0.14031180400890869</v>
      </c>
      <c r="N13" s="128">
        <f t="shared" si="4"/>
        <v>0.2</v>
      </c>
      <c r="O13" s="128">
        <f t="shared" si="4"/>
        <v>6.8741893644617386E-2</v>
      </c>
      <c r="P13" s="128">
        <f t="shared" si="4"/>
        <v>0.1328092389035759</v>
      </c>
      <c r="Q13" s="128" t="e">
        <f t="shared" si="4"/>
        <v>#DIV/0!</v>
      </c>
      <c r="R13" s="128">
        <f t="shared" si="4"/>
        <v>0.11777003484320557</v>
      </c>
      <c r="S13" s="128" t="e">
        <f t="shared" si="4"/>
        <v>#DIV/0!</v>
      </c>
      <c r="T13" s="128" t="e">
        <f t="shared" si="4"/>
        <v>#DIV/0!</v>
      </c>
      <c r="U13" s="128" t="e">
        <f t="shared" si="4"/>
        <v>#DIV/0!</v>
      </c>
      <c r="V13" s="178" t="e">
        <f t="shared" si="4"/>
        <v>#DIV/0!</v>
      </c>
      <c r="W13" s="128">
        <f t="shared" si="4"/>
        <v>0</v>
      </c>
      <c r="X13" s="128" t="e">
        <f t="shared" si="4"/>
        <v>#DIV/0!</v>
      </c>
      <c r="Y13" s="128">
        <f t="shared" si="4"/>
        <v>0.17568389057750761</v>
      </c>
      <c r="Z13" s="128">
        <f t="shared" si="4"/>
        <v>0.23574144486692014</v>
      </c>
      <c r="AA13" s="128">
        <f t="shared" si="4"/>
        <v>0.86477987421383651</v>
      </c>
      <c r="AB13" s="128">
        <f>AB8/AB5</f>
        <v>0.449438202247191</v>
      </c>
      <c r="AC13" s="217" t="e">
        <f t="shared" si="4"/>
        <v>#DIV/0!</v>
      </c>
      <c r="AD13" s="128">
        <f t="shared" si="4"/>
        <v>0.19528365609720527</v>
      </c>
      <c r="AE13" s="128">
        <f t="shared" si="4"/>
        <v>0.11933174224343675</v>
      </c>
      <c r="AF13" s="128">
        <f t="shared" si="4"/>
        <v>0.37801293356848914</v>
      </c>
      <c r="AG13" s="128">
        <f t="shared" si="4"/>
        <v>3.0232558139534884</v>
      </c>
      <c r="AH13" s="128" t="e">
        <f t="shared" si="4"/>
        <v>#DIV/0!</v>
      </c>
      <c r="AI13" s="128" t="e">
        <f t="shared" si="4"/>
        <v>#DIV/0!</v>
      </c>
      <c r="AJ13" s="128" t="e">
        <f t="shared" si="4"/>
        <v>#DIV/0!</v>
      </c>
      <c r="AK13" s="128">
        <f t="shared" si="4"/>
        <v>0.54148471615720528</v>
      </c>
      <c r="AL13" s="128">
        <f t="shared" si="4"/>
        <v>0.20545808966861598</v>
      </c>
      <c r="AM13" s="128" t="e">
        <f t="shared" si="4"/>
        <v>#DIV/0!</v>
      </c>
      <c r="AN13" s="128" t="e">
        <f t="shared" si="4"/>
        <v>#DIV/0!</v>
      </c>
      <c r="AO13" s="178">
        <f t="shared" si="4"/>
        <v>7.3305670816044263E-2</v>
      </c>
      <c r="AP13" s="278">
        <f t="shared" si="4"/>
        <v>0</v>
      </c>
      <c r="AQ13" s="217" t="e">
        <f t="shared" si="4"/>
        <v>#DIV/0!</v>
      </c>
      <c r="AR13" s="128" t="e">
        <f t="shared" si="4"/>
        <v>#DIV/0!</v>
      </c>
      <c r="AS13" s="128" t="e">
        <f t="shared" si="4"/>
        <v>#DIV/0!</v>
      </c>
      <c r="AT13" s="128" t="e">
        <f t="shared" si="4"/>
        <v>#DIV/0!</v>
      </c>
      <c r="AU13" s="128" t="e">
        <f t="shared" si="4"/>
        <v>#DIV/0!</v>
      </c>
      <c r="AV13" s="128" t="e">
        <f t="shared" si="4"/>
        <v>#DIV/0!</v>
      </c>
      <c r="AW13" s="128" t="e">
        <f t="shared" si="4"/>
        <v>#DIV/0!</v>
      </c>
      <c r="AX13" s="128">
        <f t="shared" si="4"/>
        <v>6.3714902807775378E-2</v>
      </c>
      <c r="AY13" s="128" t="e">
        <f t="shared" si="4"/>
        <v>#DIV/0!</v>
      </c>
      <c r="AZ13" s="128" t="e">
        <f t="shared" si="4"/>
        <v>#DIV/0!</v>
      </c>
      <c r="BA13" s="128" t="e">
        <f t="shared" si="4"/>
        <v>#DIV/0!</v>
      </c>
      <c r="BB13" s="217" t="e">
        <f t="shared" si="4"/>
        <v>#DIV/0!</v>
      </c>
      <c r="BC13" s="128">
        <f t="shared" si="4"/>
        <v>0.38624338624338622</v>
      </c>
      <c r="BD13" s="128">
        <f t="shared" si="4"/>
        <v>0.36683417085427134</v>
      </c>
      <c r="BE13" s="128">
        <f t="shared" si="4"/>
        <v>0</v>
      </c>
      <c r="BF13" s="128">
        <f t="shared" si="4"/>
        <v>3.7499999999999999E-2</v>
      </c>
      <c r="BG13" s="128">
        <f t="shared" si="4"/>
        <v>0.45144849785407726</v>
      </c>
      <c r="BH13" s="178">
        <f t="shared" si="4"/>
        <v>0.27176235440071678</v>
      </c>
      <c r="BI13" s="128">
        <f t="shared" si="4"/>
        <v>0.19735527870762257</v>
      </c>
      <c r="BJ13" s="128" t="e">
        <f t="shared" si="4"/>
        <v>#DIV/0!</v>
      </c>
      <c r="BK13" s="128">
        <f t="shared" si="4"/>
        <v>0.19735527870762257</v>
      </c>
      <c r="BM13" s="128">
        <f t="shared" si="4"/>
        <v>0.27176235440071678</v>
      </c>
    </row>
    <row r="14" spans="1:67" s="181" customFormat="1" ht="15.75">
      <c r="A14" s="130"/>
      <c r="B14" s="5" t="s">
        <v>322</v>
      </c>
      <c r="C14" s="11">
        <f>C5-C8</f>
        <v>221395</v>
      </c>
      <c r="D14" s="11">
        <f>D5-D8</f>
        <v>129556</v>
      </c>
      <c r="E14" s="11">
        <f>E5-E8</f>
        <v>-19</v>
      </c>
      <c r="F14" s="11">
        <f>F5-F8</f>
        <v>32643</v>
      </c>
      <c r="G14" s="11">
        <f t="shared" ref="G14:BM14" si="5">G5-G8</f>
        <v>13700</v>
      </c>
      <c r="H14" s="11">
        <f t="shared" si="5"/>
        <v>0</v>
      </c>
      <c r="I14" s="11">
        <f t="shared" si="5"/>
        <v>0</v>
      </c>
      <c r="J14" s="11">
        <f t="shared" si="5"/>
        <v>0</v>
      </c>
      <c r="K14" s="11">
        <f t="shared" si="5"/>
        <v>0</v>
      </c>
      <c r="L14" s="11">
        <f t="shared" si="5"/>
        <v>435</v>
      </c>
      <c r="M14" s="11">
        <f t="shared" si="5"/>
        <v>1544</v>
      </c>
      <c r="N14" s="11">
        <f t="shared" si="5"/>
        <v>152</v>
      </c>
      <c r="O14" s="11">
        <f t="shared" si="5"/>
        <v>2872</v>
      </c>
      <c r="P14" s="11">
        <f t="shared" si="5"/>
        <v>12465</v>
      </c>
      <c r="Q14" s="11">
        <f t="shared" si="5"/>
        <v>0</v>
      </c>
      <c r="R14" s="11">
        <f t="shared" si="5"/>
        <v>2532</v>
      </c>
      <c r="S14" s="11">
        <f t="shared" si="5"/>
        <v>0</v>
      </c>
      <c r="T14" s="11">
        <f t="shared" si="5"/>
        <v>0</v>
      </c>
      <c r="U14" s="11">
        <f t="shared" si="5"/>
        <v>0</v>
      </c>
      <c r="V14" s="9">
        <f t="shared" si="5"/>
        <v>0</v>
      </c>
      <c r="W14" s="11">
        <f t="shared" si="5"/>
        <v>183</v>
      </c>
      <c r="X14" s="11">
        <f t="shared" si="5"/>
        <v>0</v>
      </c>
      <c r="Y14" s="11">
        <f t="shared" si="5"/>
        <v>1356</v>
      </c>
      <c r="Z14" s="11">
        <f t="shared" si="5"/>
        <v>402</v>
      </c>
      <c r="AA14" s="11">
        <f t="shared" si="5"/>
        <v>43</v>
      </c>
      <c r="AB14" s="11">
        <f>AB5-AB8</f>
        <v>98</v>
      </c>
      <c r="AC14" s="10">
        <f t="shared" si="5"/>
        <v>0</v>
      </c>
      <c r="AD14" s="11">
        <f t="shared" si="5"/>
        <v>419357</v>
      </c>
      <c r="AE14" s="11">
        <f t="shared" si="5"/>
        <v>369</v>
      </c>
      <c r="AF14" s="11">
        <f t="shared" si="5"/>
        <v>1058</v>
      </c>
      <c r="AG14" s="11">
        <f t="shared" si="5"/>
        <v>-261</v>
      </c>
      <c r="AH14" s="11">
        <f t="shared" si="5"/>
        <v>0</v>
      </c>
      <c r="AI14" s="11">
        <f t="shared" si="5"/>
        <v>0</v>
      </c>
      <c r="AJ14" s="11">
        <f t="shared" si="5"/>
        <v>0</v>
      </c>
      <c r="AK14" s="11">
        <f t="shared" si="5"/>
        <v>105</v>
      </c>
      <c r="AL14" s="11">
        <f t="shared" si="5"/>
        <v>2038</v>
      </c>
      <c r="AM14" s="11">
        <f t="shared" si="5"/>
        <v>0</v>
      </c>
      <c r="AN14" s="11">
        <f t="shared" si="5"/>
        <v>0</v>
      </c>
      <c r="AO14" s="9">
        <f t="shared" si="5"/>
        <v>4020</v>
      </c>
      <c r="AP14" s="276">
        <f t="shared" si="5"/>
        <v>1</v>
      </c>
      <c r="AQ14" s="10">
        <f t="shared" si="5"/>
        <v>0</v>
      </c>
      <c r="AR14" s="11">
        <f t="shared" si="5"/>
        <v>0</v>
      </c>
      <c r="AS14" s="11">
        <f t="shared" si="5"/>
        <v>0</v>
      </c>
      <c r="AT14" s="11">
        <f t="shared" si="5"/>
        <v>0</v>
      </c>
      <c r="AU14" s="11">
        <f t="shared" si="5"/>
        <v>0</v>
      </c>
      <c r="AV14" s="11">
        <f t="shared" si="5"/>
        <v>0</v>
      </c>
      <c r="AW14" s="11">
        <f t="shared" si="5"/>
        <v>0</v>
      </c>
      <c r="AX14" s="11">
        <f t="shared" si="5"/>
        <v>867</v>
      </c>
      <c r="AY14" s="11">
        <f t="shared" si="5"/>
        <v>0</v>
      </c>
      <c r="AZ14" s="11">
        <f t="shared" si="5"/>
        <v>0</v>
      </c>
      <c r="BA14" s="11">
        <f t="shared" si="5"/>
        <v>0</v>
      </c>
      <c r="BB14" s="10">
        <f t="shared" si="5"/>
        <v>0</v>
      </c>
      <c r="BC14" s="11">
        <f t="shared" si="5"/>
        <v>116</v>
      </c>
      <c r="BD14" s="11">
        <f t="shared" si="5"/>
        <v>126</v>
      </c>
      <c r="BE14" s="11">
        <f t="shared" si="5"/>
        <v>5</v>
      </c>
      <c r="BF14" s="11">
        <f t="shared" si="5"/>
        <v>77</v>
      </c>
      <c r="BG14" s="11">
        <f t="shared" si="5"/>
        <v>2045</v>
      </c>
      <c r="BH14" s="11">
        <f t="shared" si="5"/>
        <v>10566</v>
      </c>
      <c r="BI14" s="11">
        <f t="shared" si="5"/>
        <v>429923</v>
      </c>
      <c r="BJ14" s="11">
        <f t="shared" si="5"/>
        <v>0</v>
      </c>
      <c r="BK14" s="11">
        <f t="shared" si="5"/>
        <v>429923</v>
      </c>
      <c r="BL14" s="11">
        <f t="shared" si="5"/>
        <v>-105713</v>
      </c>
      <c r="BM14" s="11">
        <f t="shared" si="5"/>
        <v>10566</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279"/>
      <c r="AQ15" s="6"/>
      <c r="AR15" s="5"/>
      <c r="AS15" s="5"/>
      <c r="AT15" s="5"/>
      <c r="AU15" s="5"/>
      <c r="AV15" s="5"/>
      <c r="AW15" s="6"/>
      <c r="AX15" s="5"/>
      <c r="AY15" s="5"/>
      <c r="AZ15" s="5"/>
      <c r="BA15" s="5"/>
      <c r="BB15" s="6"/>
      <c r="BC15" s="5"/>
      <c r="BD15" s="5"/>
      <c r="BE15" s="5"/>
      <c r="BF15" s="5"/>
      <c r="BG15" s="5"/>
      <c r="BH15" s="16"/>
      <c r="BI15" s="44"/>
      <c r="BJ15" s="5"/>
      <c r="BK15" s="50"/>
    </row>
    <row r="16" spans="1:67" s="179" customFormat="1" ht="15.75">
      <c r="A16" s="269" t="s">
        <v>128</v>
      </c>
      <c r="B16" s="9" t="s">
        <v>316</v>
      </c>
      <c r="C16" s="225">
        <v>1098446</v>
      </c>
      <c r="D16" s="225">
        <v>657175</v>
      </c>
      <c r="E16" s="225">
        <v>0</v>
      </c>
      <c r="F16" s="225">
        <v>95681</v>
      </c>
      <c r="G16" s="225">
        <v>100142</v>
      </c>
      <c r="H16" s="225">
        <v>0</v>
      </c>
      <c r="I16" s="225">
        <v>0</v>
      </c>
      <c r="J16" s="225">
        <v>0</v>
      </c>
      <c r="K16" s="225">
        <v>0</v>
      </c>
      <c r="L16" s="225">
        <v>28423</v>
      </c>
      <c r="M16" s="225">
        <v>112600</v>
      </c>
      <c r="N16" s="225">
        <v>64</v>
      </c>
      <c r="O16" s="225">
        <v>2305</v>
      </c>
      <c r="P16" s="225">
        <v>83705</v>
      </c>
      <c r="Q16" s="225">
        <v>0</v>
      </c>
      <c r="R16" s="225">
        <v>1783</v>
      </c>
      <c r="S16" s="225"/>
      <c r="T16" s="225"/>
      <c r="U16" s="225"/>
      <c r="V16" s="225"/>
      <c r="W16" s="225"/>
      <c r="X16" s="225"/>
      <c r="Y16" s="225">
        <v>3832</v>
      </c>
      <c r="Z16" s="225">
        <v>2063</v>
      </c>
      <c r="AA16" s="225">
        <v>1441</v>
      </c>
      <c r="AB16" s="225">
        <v>3122</v>
      </c>
      <c r="AC16" s="225"/>
      <c r="AD16" s="226">
        <f>SUM(C16:AC16)</f>
        <v>2190782</v>
      </c>
      <c r="AE16" s="225">
        <v>32</v>
      </c>
      <c r="AF16" s="225">
        <v>0</v>
      </c>
      <c r="AG16" s="225">
        <v>6854</v>
      </c>
      <c r="AH16" s="225"/>
      <c r="AI16" s="225"/>
      <c r="AJ16" s="225">
        <v>49</v>
      </c>
      <c r="AK16" s="225">
        <v>31598</v>
      </c>
      <c r="AL16" s="225">
        <v>79550</v>
      </c>
      <c r="AM16" s="225">
        <v>0</v>
      </c>
      <c r="AN16" s="225">
        <v>74250</v>
      </c>
      <c r="AO16" s="225">
        <v>286185</v>
      </c>
      <c r="AP16" s="274">
        <v>2443</v>
      </c>
      <c r="AQ16" s="225"/>
      <c r="AR16" s="225"/>
      <c r="AS16" s="225"/>
      <c r="AT16" s="225"/>
      <c r="AU16" s="225"/>
      <c r="AV16" s="225">
        <v>0</v>
      </c>
      <c r="AW16" s="225">
        <v>0</v>
      </c>
      <c r="AX16" s="225">
        <v>693</v>
      </c>
      <c r="AY16" s="225"/>
      <c r="AZ16" s="225"/>
      <c r="BA16" s="225"/>
      <c r="BB16" s="225"/>
      <c r="BC16" s="225">
        <v>12648</v>
      </c>
      <c r="BD16" s="225">
        <v>12829</v>
      </c>
      <c r="BE16" s="225">
        <v>0</v>
      </c>
      <c r="BF16" s="225">
        <v>5358</v>
      </c>
      <c r="BG16" s="225">
        <v>2576</v>
      </c>
      <c r="BH16" s="229">
        <f>SUM(AE16:BG16)</f>
        <v>515065</v>
      </c>
      <c r="BI16" s="125">
        <f>AD16+BH16</f>
        <v>2705847</v>
      </c>
      <c r="BJ16" s="283">
        <v>5283</v>
      </c>
      <c r="BK16" s="226">
        <f>BI16-BJ16</f>
        <v>2700564</v>
      </c>
      <c r="BM16" s="228">
        <f>BK16-AD16</f>
        <v>509782</v>
      </c>
    </row>
    <row r="17" spans="1:65" s="41" customFormat="1" ht="15.75">
      <c r="A17" s="136"/>
      <c r="B17" s="234" t="s">
        <v>317</v>
      </c>
      <c r="C17" s="10">
        <v>208702</v>
      </c>
      <c r="D17" s="10">
        <v>124862</v>
      </c>
      <c r="E17" s="10">
        <v>0</v>
      </c>
      <c r="F17" s="10">
        <v>18178</v>
      </c>
      <c r="G17" s="10">
        <v>19029</v>
      </c>
      <c r="H17" s="10">
        <v>0</v>
      </c>
      <c r="I17" s="10">
        <v>0</v>
      </c>
      <c r="J17" s="10">
        <v>0</v>
      </c>
      <c r="K17" s="10">
        <v>0</v>
      </c>
      <c r="L17" s="10">
        <v>5400</v>
      </c>
      <c r="M17" s="10">
        <v>21396</v>
      </c>
      <c r="N17" s="10">
        <v>12</v>
      </c>
      <c r="O17" s="10">
        <v>439</v>
      </c>
      <c r="P17" s="10">
        <v>15903</v>
      </c>
      <c r="Q17" s="10">
        <v>0</v>
      </c>
      <c r="R17" s="10">
        <v>340</v>
      </c>
      <c r="S17" s="10"/>
      <c r="T17" s="10"/>
      <c r="U17" s="10"/>
      <c r="V17" s="10"/>
      <c r="W17" s="10"/>
      <c r="X17" s="10"/>
      <c r="Y17" s="10">
        <v>728</v>
      </c>
      <c r="Z17" s="10">
        <v>392</v>
      </c>
      <c r="AA17" s="10">
        <v>274</v>
      </c>
      <c r="AB17" s="10">
        <v>593</v>
      </c>
      <c r="AC17" s="10"/>
      <c r="AD17" s="123">
        <f>SUM(C17:AC17)</f>
        <v>416248</v>
      </c>
      <c r="AE17" s="10">
        <v>8</v>
      </c>
      <c r="AF17" s="10">
        <v>0</v>
      </c>
      <c r="AG17" s="10">
        <v>1645</v>
      </c>
      <c r="AH17" s="10"/>
      <c r="AI17" s="10"/>
      <c r="AJ17" s="10">
        <v>12</v>
      </c>
      <c r="AK17" s="10">
        <v>7585</v>
      </c>
      <c r="AL17" s="10">
        <v>19091</v>
      </c>
      <c r="AM17" s="10">
        <v>0</v>
      </c>
      <c r="AN17" s="10">
        <v>17820</v>
      </c>
      <c r="AO17" s="10">
        <v>68685</v>
      </c>
      <c r="AP17" s="250">
        <v>585</v>
      </c>
      <c r="AQ17" s="10"/>
      <c r="AR17" s="10"/>
      <c r="AS17" s="10"/>
      <c r="AT17" s="10"/>
      <c r="AU17" s="10"/>
      <c r="AV17" s="10">
        <v>0</v>
      </c>
      <c r="AW17" s="10">
        <v>0</v>
      </c>
      <c r="AX17" s="10">
        <v>167</v>
      </c>
      <c r="AY17" s="10"/>
      <c r="AZ17" s="10"/>
      <c r="BA17" s="10"/>
      <c r="BB17" s="10"/>
      <c r="BC17" s="10">
        <v>3037</v>
      </c>
      <c r="BD17" s="10">
        <v>3078</v>
      </c>
      <c r="BE17" s="10">
        <v>0</v>
      </c>
      <c r="BF17" s="10">
        <v>1286</v>
      </c>
      <c r="BG17" s="10">
        <v>619</v>
      </c>
      <c r="BH17" s="10">
        <f>SUM(AE17:BG17)</f>
        <v>123618</v>
      </c>
      <c r="BI17" s="219">
        <f>AD17+BH17</f>
        <v>539866</v>
      </c>
      <c r="BJ17" s="284">
        <v>1268</v>
      </c>
      <c r="BK17" s="10">
        <f>BI17-BJ17</f>
        <v>538598</v>
      </c>
      <c r="BL17" s="41">
        <f>'[1]Upto Month Current'!$C$61</f>
        <v>650631</v>
      </c>
      <c r="BM17" s="218">
        <f>BK17-AD17</f>
        <v>122350</v>
      </c>
    </row>
    <row r="18" spans="1:65" ht="15.75">
      <c r="A18" s="130"/>
      <c r="B18" s="12" t="s">
        <v>318</v>
      </c>
      <c r="C18" s="9">
        <f>IF('Upto Month COPPY'!$C$4="",0,'Upto Month COPPY'!$C$4)</f>
        <v>196134</v>
      </c>
      <c r="D18" s="9">
        <f>IF('Upto Month COPPY'!$C$5="",0,'Upto Month COPPY'!$C$5)</f>
        <v>104894</v>
      </c>
      <c r="E18" s="9">
        <f>IF('Upto Month COPPY'!$C$6="",0,'Upto Month COPPY'!$C$6)</f>
        <v>15</v>
      </c>
      <c r="F18" s="9">
        <f>IF('Upto Month COPPY'!$C$7="",0,'Upto Month COPPY'!$C$7)</f>
        <v>14297</v>
      </c>
      <c r="G18" s="9">
        <f>IF('Upto Month COPPY'!$C$8="",0,'Upto Month COPPY'!$C$8)</f>
        <v>17239</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13628</v>
      </c>
      <c r="M18" s="9">
        <f>IF('Upto Month COPPY'!$C$14="",0,'Upto Month COPPY'!$C$14)</f>
        <v>18112</v>
      </c>
      <c r="N18" s="9">
        <f>IF('Upto Month COPPY'!$C$15="",0,'Upto Month COPPY'!$C$15)</f>
        <v>0</v>
      </c>
      <c r="O18" s="9">
        <f>IF('Upto Month COPPY'!$C$16="",0,'Upto Month COPPY'!$C$16)</f>
        <v>440</v>
      </c>
      <c r="P18" s="9">
        <f>IF('Upto Month COPPY'!$C$17="",0,'Upto Month COPPY'!$C$17)</f>
        <v>30884</v>
      </c>
      <c r="Q18" s="9">
        <f>IF('Upto Month COPPY'!$C$18="",0,'Upto Month COPPY'!$C$18)</f>
        <v>0</v>
      </c>
      <c r="R18" s="9">
        <f>IF('Upto Month COPPY'!$C$21="",0,'Upto Month COPPY'!$C$21)</f>
        <v>408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596</v>
      </c>
      <c r="Z18" s="9">
        <f>IF('Upto Month COPPY'!$C$43="",0,'Upto Month COPPY'!$C$43)</f>
        <v>139</v>
      </c>
      <c r="AA18" s="9">
        <f>IF('Upto Month COPPY'!$C$44="",0,'Upto Month COPPY'!$C$44)</f>
        <v>299</v>
      </c>
      <c r="AB18" s="9">
        <f>IF('Upto Month COPPY'!$C$48="",0,'Upto Month COPPY'!$C$48)</f>
        <v>0</v>
      </c>
      <c r="AC18" s="10">
        <f>IF('Upto Month COPPY'!$C$51="",0,'Upto Month COPPY'!$C$51)</f>
        <v>0</v>
      </c>
      <c r="AD18" s="123">
        <f>SUM(C18:AC18)</f>
        <v>397085</v>
      </c>
      <c r="AE18" s="9">
        <f>IF('Upto Month COPPY'!$C$19="",0,'Upto Month COPPY'!$C$19)</f>
        <v>5</v>
      </c>
      <c r="AF18" s="9">
        <f>IF('Upto Month COPPY'!$C$20="",0,'Upto Month COPPY'!$C$20)</f>
        <v>0</v>
      </c>
      <c r="AG18" s="9">
        <f>IF('Upto Month COPPY'!$C$22="",0,'Upto Month COPPY'!$C$22)</f>
        <v>1871</v>
      </c>
      <c r="AH18" s="9">
        <f>IF('Upto Month COPPY'!$C$23="",0,'Upto Month COPPY'!$C$23)</f>
        <v>0</v>
      </c>
      <c r="AI18" s="9">
        <f>IF('Upto Month COPPY'!$C$24="",0,'Upto Month COPPY'!$C$24)</f>
        <v>0</v>
      </c>
      <c r="AJ18" s="9">
        <f>IF('Upto Month COPPY'!$C$25="",0,'Upto Month COPPY'!$C$25)</f>
        <v>0</v>
      </c>
      <c r="AK18" s="9">
        <f>IF('Upto Month COPPY'!$C$28="",0,'Upto Month COPPY'!$C$28)</f>
        <v>-2923</v>
      </c>
      <c r="AL18" s="9">
        <f>IF('Upto Month COPPY'!$C$29="",0,'Upto Month COPPY'!$C$29)</f>
        <v>9984</v>
      </c>
      <c r="AM18" s="9">
        <f>IF('Upto Month COPPY'!$C$31="",0,'Upto Month COPPY'!$C$31)</f>
        <v>0</v>
      </c>
      <c r="AN18" s="9">
        <f>IF('Upto Month COPPY'!$C$32="",0,'Upto Month COPPY'!$C$32)</f>
        <v>10894</v>
      </c>
      <c r="AO18" s="9">
        <f>IF('Upto Month COPPY'!$C$33="",0,'Upto Month COPPY'!$C$33)</f>
        <v>54753</v>
      </c>
      <c r="AP18" s="275">
        <f>IF('Upto Month COPPY'!$C$34="",0,'Upto Month COPPY'!$C$34)</f>
        <v>0</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67</v>
      </c>
      <c r="AX18" s="9">
        <f>IF('Upto Month COPPY'!$C$46="",0,'Upto Month COPPY'!$C$46)</f>
        <v>11</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3786</v>
      </c>
      <c r="BD18" s="9">
        <f>IF('Upto Month COPPY'!$C$54="",0,'Upto Month COPPY'!$C$54)</f>
        <v>3786</v>
      </c>
      <c r="BE18" s="9">
        <f>IF('Upto Month COPPY'!$C$55="",0,'Upto Month COPPY'!$C$55)</f>
        <v>0</v>
      </c>
      <c r="BF18" s="9">
        <f>IF('Upto Month COPPY'!$C$56="",0,'Upto Month COPPY'!$C$56)</f>
        <v>509</v>
      </c>
      <c r="BG18" s="9">
        <f>IF('Upto Month COPPY'!$C$58="",0,'Upto Month COPPY'!$C$58)</f>
        <v>11</v>
      </c>
      <c r="BH18" s="9">
        <f>SUM(AE18:BG18)</f>
        <v>82754</v>
      </c>
      <c r="BI18" s="127">
        <f>AD18+BH18</f>
        <v>479839</v>
      </c>
      <c r="BJ18" s="9">
        <f>IF('Upto Month COPPY'!$C$60="",0,'Upto Month COPPY'!$C$60)</f>
        <v>0</v>
      </c>
      <c r="BK18" s="51">
        <f>BI18-BJ18</f>
        <v>479839</v>
      </c>
      <c r="BL18">
        <f>'Upto Month COPPY'!$C$61</f>
        <v>479839</v>
      </c>
      <c r="BM18" s="30">
        <f>BK18-AD18</f>
        <v>82754</v>
      </c>
    </row>
    <row r="19" spans="1:65" ht="18" customHeight="1">
      <c r="A19" s="130"/>
      <c r="B19" s="183" t="s">
        <v>319</v>
      </c>
      <c r="C19" s="9">
        <f>IF('Upto Month Current'!$C$4="",0,'Upto Month Current'!$C$4)</f>
        <v>214701</v>
      </c>
      <c r="D19" s="9">
        <f>IF('Upto Month Current'!$C$5="",0,'Upto Month Current'!$C$5)</f>
        <v>133284</v>
      </c>
      <c r="E19" s="9">
        <f>IF('Upto Month Current'!$C$6="",0,'Upto Month Current'!$C$6)</f>
        <v>113</v>
      </c>
      <c r="F19" s="9">
        <f>IF('Upto Month Current'!$C$7="",0,'Upto Month Current'!$C$7)</f>
        <v>16922</v>
      </c>
      <c r="G19" s="9">
        <f>IF('Upto Month Current'!$C$8="",0,'Upto Month Current'!$C$8)</f>
        <v>19860</v>
      </c>
      <c r="H19" s="9">
        <f>IF('Upto Month Current'!$C$9="",0,'Upto Month Current'!$C$9)</f>
        <v>0</v>
      </c>
      <c r="I19" s="9">
        <f>IF('Upto Month Current'!$C$10="",0,'Upto Month Current'!$C$10)</f>
        <v>0</v>
      </c>
      <c r="J19" s="9">
        <f>IF('Upto Month Current'!$C$11="",0,'Upto Month Current'!$C$11)</f>
        <v>0</v>
      </c>
      <c r="K19" s="9">
        <f>IF('Upto Month Current'!$C$12="",0,'Upto Month Current'!$C$12)</f>
        <v>84</v>
      </c>
      <c r="L19" s="9">
        <f>IF('Upto Month Current'!$C$13="",0,'Upto Month Current'!$C$13)</f>
        <v>7948</v>
      </c>
      <c r="M19" s="9">
        <f>IF('Upto Month Current'!$C$14="",0,'Upto Month Current'!$C$14)</f>
        <v>19345</v>
      </c>
      <c r="N19" s="9">
        <f>IF('Upto Month Current'!$C$15="",0,'Upto Month Current'!$C$15)</f>
        <v>0</v>
      </c>
      <c r="O19" s="9">
        <f>IF('Upto Month Current'!$C$16="",0,'Upto Month Current'!$C$16)</f>
        <v>203</v>
      </c>
      <c r="P19" s="9">
        <f>IF('Upto Month Current'!$C$17="",0,'Upto Month Current'!$C$17)</f>
        <v>12359</v>
      </c>
      <c r="Q19" s="9">
        <f>IF('Upto Month Current'!$C$18="",0,'Upto Month Current'!$C$18)</f>
        <v>0</v>
      </c>
      <c r="R19" s="9">
        <f>IF('Upto Month Current'!$C$21="",0,'Upto Month Current'!$C$21)</f>
        <v>132</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961</v>
      </c>
      <c r="Z19" s="9">
        <f>IF('Upto Month Current'!$C$43="",0,'Upto Month Current'!$C$43)</f>
        <v>426</v>
      </c>
      <c r="AA19" s="9">
        <f>IF('Upto Month Current'!$C$44="",0,'Upto Month Current'!$C$44)</f>
        <v>246</v>
      </c>
      <c r="AB19" s="9">
        <f>IF('Upto Month Current'!$C$48="",0,'Upto Month Current'!$C$48)</f>
        <v>0</v>
      </c>
      <c r="AC19" s="10">
        <f>IF('Upto Month Current'!$C$51="",0,'Upto Month Current'!$C$51)</f>
        <v>0</v>
      </c>
      <c r="AD19" s="123">
        <f>SUM(C19:AC19)</f>
        <v>426584</v>
      </c>
      <c r="AE19" s="9">
        <f>IF('Upto Month Current'!$C$19="",0,'Upto Month Current'!$C$19)</f>
        <v>304</v>
      </c>
      <c r="AF19" s="9">
        <f>IF('Upto Month Current'!$C$20="",0,'Upto Month Current'!$C$20)</f>
        <v>0</v>
      </c>
      <c r="AG19" s="9">
        <f>IF('Upto Month Current'!$C$22="",0,'Upto Month Current'!$C$22)</f>
        <v>2984</v>
      </c>
      <c r="AH19" s="9">
        <f>IF('Upto Month Current'!$C$23="",0,'Upto Month Current'!$C$23)</f>
        <v>0</v>
      </c>
      <c r="AI19" s="9">
        <f>IF('Upto Month Current'!$C$24="",0,'Upto Month Current'!$C$24)</f>
        <v>0</v>
      </c>
      <c r="AJ19" s="9">
        <f>IF('Upto Month Current'!$C$25="",0,'Upto Month Current'!$C$25)</f>
        <v>0</v>
      </c>
      <c r="AK19" s="9">
        <f>IF('Upto Month Current'!$C$28="",0,'Upto Month Current'!$C$28)</f>
        <v>257</v>
      </c>
      <c r="AL19" s="9">
        <f>IF('Upto Month Current'!$C$29="",0,'Upto Month Current'!$C$29)</f>
        <v>20762</v>
      </c>
      <c r="AM19" s="9">
        <f>IF('Upto Month Current'!$C$31="",0,'Upto Month Current'!$C$31)</f>
        <v>0</v>
      </c>
      <c r="AN19" s="9">
        <f>IF('Upto Month Current'!$C$32="",0,'Upto Month Current'!$C$32)</f>
        <v>17606</v>
      </c>
      <c r="AO19" s="9">
        <f>IF('Upto Month Current'!$C$33="",0,'Upto Month Current'!$C$33)</f>
        <v>77427</v>
      </c>
      <c r="AP19" s="275">
        <f>IF('Upto Month Current'!$C$34="",0,'Upto Month Current'!$C$34)</f>
        <v>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0</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6257</v>
      </c>
      <c r="BD19" s="9">
        <f>IF('Upto Month Current'!$C$54="",0,'Upto Month Current'!$C$54)</f>
        <v>6257</v>
      </c>
      <c r="BE19" s="9">
        <f>IF('Upto Month Current'!$C$55="",0,'Upto Month Current'!$C$55)</f>
        <v>0</v>
      </c>
      <c r="BF19" s="9">
        <f>IF('Upto Month Current'!$C$56="",0,'Upto Month Current'!$C$56)</f>
        <v>438</v>
      </c>
      <c r="BG19" s="9">
        <f>IF('Upto Month Current'!$C$58="",0,'Upto Month Current'!$C$58)</f>
        <v>36</v>
      </c>
      <c r="BH19" s="9">
        <f>SUM(AE19:BG19)</f>
        <v>132328</v>
      </c>
      <c r="BI19" s="127">
        <f>AD19+BH19</f>
        <v>558912</v>
      </c>
      <c r="BJ19" s="9">
        <f>IF('Upto Month Current'!$C$60="",0,'Upto Month Current'!$C$60)</f>
        <v>0</v>
      </c>
      <c r="BK19" s="51">
        <f>BI19-BJ19</f>
        <v>558912</v>
      </c>
      <c r="BL19">
        <f>'Upto Month Current'!$C$61</f>
        <v>558910</v>
      </c>
      <c r="BM19" s="30">
        <f>BK19-AD19</f>
        <v>132328</v>
      </c>
    </row>
    <row r="20" spans="1:65" ht="15.75">
      <c r="A20" s="130"/>
      <c r="B20" s="5" t="s">
        <v>124</v>
      </c>
      <c r="C20" s="11">
        <f t="shared" ref="C20:AH20" si="6">C19-C17</f>
        <v>5999</v>
      </c>
      <c r="D20" s="11">
        <f t="shared" si="6"/>
        <v>8422</v>
      </c>
      <c r="E20" s="11">
        <f t="shared" si="6"/>
        <v>113</v>
      </c>
      <c r="F20" s="11">
        <f t="shared" si="6"/>
        <v>-1256</v>
      </c>
      <c r="G20" s="11">
        <f t="shared" si="6"/>
        <v>831</v>
      </c>
      <c r="H20" s="11">
        <f t="shared" si="6"/>
        <v>0</v>
      </c>
      <c r="I20" s="11">
        <f t="shared" si="6"/>
        <v>0</v>
      </c>
      <c r="J20" s="11">
        <f t="shared" si="6"/>
        <v>0</v>
      </c>
      <c r="K20" s="11">
        <f t="shared" si="6"/>
        <v>84</v>
      </c>
      <c r="L20" s="11">
        <f t="shared" si="6"/>
        <v>2548</v>
      </c>
      <c r="M20" s="11">
        <f t="shared" si="6"/>
        <v>-2051</v>
      </c>
      <c r="N20" s="11">
        <f t="shared" si="6"/>
        <v>-12</v>
      </c>
      <c r="O20" s="11">
        <f t="shared" si="6"/>
        <v>-236</v>
      </c>
      <c r="P20" s="11">
        <f t="shared" si="6"/>
        <v>-3544</v>
      </c>
      <c r="Q20" s="11">
        <f t="shared" si="6"/>
        <v>0</v>
      </c>
      <c r="R20" s="11">
        <f t="shared" si="6"/>
        <v>-208</v>
      </c>
      <c r="S20" s="11">
        <f t="shared" si="6"/>
        <v>0</v>
      </c>
      <c r="T20" s="11">
        <f t="shared" si="6"/>
        <v>0</v>
      </c>
      <c r="U20" s="11">
        <f t="shared" si="6"/>
        <v>0</v>
      </c>
      <c r="V20" s="9">
        <f t="shared" si="6"/>
        <v>0</v>
      </c>
      <c r="W20" s="11">
        <f t="shared" si="6"/>
        <v>0</v>
      </c>
      <c r="X20" s="11">
        <f t="shared" si="6"/>
        <v>0</v>
      </c>
      <c r="Y20" s="11">
        <f t="shared" si="6"/>
        <v>233</v>
      </c>
      <c r="Z20" s="11">
        <f t="shared" si="6"/>
        <v>34</v>
      </c>
      <c r="AA20" s="11">
        <f t="shared" si="6"/>
        <v>-28</v>
      </c>
      <c r="AB20" s="11">
        <f t="shared" si="6"/>
        <v>-593</v>
      </c>
      <c r="AC20" s="10">
        <f t="shared" si="6"/>
        <v>0</v>
      </c>
      <c r="AD20" s="11">
        <f t="shared" si="6"/>
        <v>10336</v>
      </c>
      <c r="AE20" s="11">
        <f t="shared" si="6"/>
        <v>296</v>
      </c>
      <c r="AF20" s="11">
        <f t="shared" si="6"/>
        <v>0</v>
      </c>
      <c r="AG20" s="11">
        <f t="shared" si="6"/>
        <v>1339</v>
      </c>
      <c r="AH20" s="11">
        <f t="shared" si="6"/>
        <v>0</v>
      </c>
      <c r="AI20" s="11">
        <f t="shared" ref="AI20:BK20" si="7">AI19-AI17</f>
        <v>0</v>
      </c>
      <c r="AJ20" s="11">
        <f t="shared" si="7"/>
        <v>-12</v>
      </c>
      <c r="AK20" s="11">
        <f t="shared" si="7"/>
        <v>-7328</v>
      </c>
      <c r="AL20" s="11">
        <f t="shared" si="7"/>
        <v>1671</v>
      </c>
      <c r="AM20" s="11">
        <f t="shared" si="7"/>
        <v>0</v>
      </c>
      <c r="AN20" s="11">
        <f t="shared" si="7"/>
        <v>-214</v>
      </c>
      <c r="AO20" s="9">
        <f t="shared" si="7"/>
        <v>8742</v>
      </c>
      <c r="AP20" s="276">
        <f t="shared" si="7"/>
        <v>-585</v>
      </c>
      <c r="AQ20" s="10">
        <f t="shared" si="7"/>
        <v>0</v>
      </c>
      <c r="AR20" s="11">
        <f t="shared" si="7"/>
        <v>0</v>
      </c>
      <c r="AS20" s="11">
        <f t="shared" si="7"/>
        <v>0</v>
      </c>
      <c r="AT20" s="11">
        <f t="shared" si="7"/>
        <v>0</v>
      </c>
      <c r="AU20" s="11">
        <f t="shared" si="7"/>
        <v>0</v>
      </c>
      <c r="AV20" s="11">
        <f t="shared" si="7"/>
        <v>0</v>
      </c>
      <c r="AW20" s="11">
        <f t="shared" si="7"/>
        <v>0</v>
      </c>
      <c r="AX20" s="11">
        <f t="shared" si="7"/>
        <v>-167</v>
      </c>
      <c r="AY20" s="11">
        <f t="shared" si="7"/>
        <v>0</v>
      </c>
      <c r="AZ20" s="11">
        <f t="shared" si="7"/>
        <v>0</v>
      </c>
      <c r="BA20" s="11">
        <f t="shared" si="7"/>
        <v>0</v>
      </c>
      <c r="BB20" s="10">
        <f t="shared" si="7"/>
        <v>0</v>
      </c>
      <c r="BC20" s="11">
        <f t="shared" si="7"/>
        <v>3220</v>
      </c>
      <c r="BD20" s="11">
        <f t="shared" si="7"/>
        <v>3179</v>
      </c>
      <c r="BE20" s="11">
        <f t="shared" si="7"/>
        <v>0</v>
      </c>
      <c r="BF20" s="11">
        <f t="shared" si="7"/>
        <v>-848</v>
      </c>
      <c r="BG20" s="11">
        <f t="shared" si="7"/>
        <v>-583</v>
      </c>
      <c r="BH20" s="9">
        <f t="shared" si="7"/>
        <v>8710</v>
      </c>
      <c r="BI20" s="45">
        <f t="shared" si="7"/>
        <v>19046</v>
      </c>
      <c r="BJ20" s="11">
        <f t="shared" si="7"/>
        <v>-1268</v>
      </c>
      <c r="BK20" s="51">
        <f t="shared" si="7"/>
        <v>20314</v>
      </c>
      <c r="BM20" s="30">
        <f>BK20-AD20</f>
        <v>9978</v>
      </c>
    </row>
    <row r="21" spans="1:65" ht="15.75">
      <c r="A21" s="130"/>
      <c r="B21" s="5" t="s">
        <v>125</v>
      </c>
      <c r="C21" s="13">
        <f t="shared" ref="C21:AH21" si="8">C20/C17</f>
        <v>2.8744334026506693E-2</v>
      </c>
      <c r="D21" s="13">
        <f t="shared" si="8"/>
        <v>6.7450465313706326E-2</v>
      </c>
      <c r="E21" s="13" t="e">
        <f t="shared" si="8"/>
        <v>#DIV/0!</v>
      </c>
      <c r="F21" s="13">
        <f t="shared" si="8"/>
        <v>-6.9094509847067886E-2</v>
      </c>
      <c r="G21" s="13">
        <f t="shared" si="8"/>
        <v>4.3670187608387201E-2</v>
      </c>
      <c r="H21" s="13" t="e">
        <f t="shared" si="8"/>
        <v>#DIV/0!</v>
      </c>
      <c r="I21" s="13" t="e">
        <f t="shared" si="8"/>
        <v>#DIV/0!</v>
      </c>
      <c r="J21" s="13" t="e">
        <f t="shared" si="8"/>
        <v>#DIV/0!</v>
      </c>
      <c r="K21" s="13" t="e">
        <f t="shared" si="8"/>
        <v>#DIV/0!</v>
      </c>
      <c r="L21" s="13">
        <f t="shared" si="8"/>
        <v>0.47185185185185186</v>
      </c>
      <c r="M21" s="13">
        <f t="shared" si="8"/>
        <v>-9.5859039072723876E-2</v>
      </c>
      <c r="N21" s="13">
        <f t="shared" si="8"/>
        <v>-1</v>
      </c>
      <c r="O21" s="13">
        <f t="shared" si="8"/>
        <v>-0.5375854214123007</v>
      </c>
      <c r="P21" s="13">
        <f t="shared" si="8"/>
        <v>-0.22285103439602591</v>
      </c>
      <c r="Q21" s="13" t="e">
        <f t="shared" si="8"/>
        <v>#DIV/0!</v>
      </c>
      <c r="R21" s="13">
        <f t="shared" si="8"/>
        <v>-0.61176470588235299</v>
      </c>
      <c r="S21" s="13" t="e">
        <f t="shared" si="8"/>
        <v>#DIV/0!</v>
      </c>
      <c r="T21" s="13" t="e">
        <f t="shared" si="8"/>
        <v>#DIV/0!</v>
      </c>
      <c r="U21" s="13" t="e">
        <f t="shared" si="8"/>
        <v>#DIV/0!</v>
      </c>
      <c r="V21" s="163" t="e">
        <f t="shared" si="8"/>
        <v>#DIV/0!</v>
      </c>
      <c r="W21" s="13" t="e">
        <f t="shared" si="8"/>
        <v>#DIV/0!</v>
      </c>
      <c r="X21" s="13" t="e">
        <f t="shared" si="8"/>
        <v>#DIV/0!</v>
      </c>
      <c r="Y21" s="13">
        <f t="shared" si="8"/>
        <v>0.32005494505494503</v>
      </c>
      <c r="Z21" s="13">
        <f t="shared" si="8"/>
        <v>8.673469387755102E-2</v>
      </c>
      <c r="AA21" s="13">
        <f t="shared" si="8"/>
        <v>-0.10218978102189781</v>
      </c>
      <c r="AB21" s="13">
        <f t="shared" si="8"/>
        <v>-1</v>
      </c>
      <c r="AC21" s="14" t="e">
        <f t="shared" si="8"/>
        <v>#DIV/0!</v>
      </c>
      <c r="AD21" s="13">
        <f t="shared" si="8"/>
        <v>2.483135054102362E-2</v>
      </c>
      <c r="AE21" s="13">
        <f t="shared" si="8"/>
        <v>37</v>
      </c>
      <c r="AF21" s="13" t="e">
        <f t="shared" si="8"/>
        <v>#DIV/0!</v>
      </c>
      <c r="AG21" s="13">
        <f t="shared" si="8"/>
        <v>0.81398176291793312</v>
      </c>
      <c r="AH21" s="13" t="e">
        <f t="shared" si="8"/>
        <v>#DIV/0!</v>
      </c>
      <c r="AI21" s="13" t="e">
        <f t="shared" ref="AI21:BK21" si="9">AI20/AI17</f>
        <v>#DIV/0!</v>
      </c>
      <c r="AJ21" s="13">
        <f t="shared" si="9"/>
        <v>-1</v>
      </c>
      <c r="AK21" s="13">
        <f t="shared" si="9"/>
        <v>-0.96611733684904422</v>
      </c>
      <c r="AL21" s="13">
        <f t="shared" si="9"/>
        <v>8.75281546278351E-2</v>
      </c>
      <c r="AM21" s="13" t="e">
        <f t="shared" si="9"/>
        <v>#DIV/0!</v>
      </c>
      <c r="AN21" s="13">
        <f t="shared" si="9"/>
        <v>-1.2008978675645342E-2</v>
      </c>
      <c r="AO21" s="163">
        <f t="shared" si="9"/>
        <v>0.12727669796898886</v>
      </c>
      <c r="AP21" s="277">
        <f t="shared" si="9"/>
        <v>-1</v>
      </c>
      <c r="AQ21" s="14" t="e">
        <f t="shared" si="9"/>
        <v>#DIV/0!</v>
      </c>
      <c r="AR21" s="13" t="e">
        <f t="shared" si="9"/>
        <v>#DIV/0!</v>
      </c>
      <c r="AS21" s="13" t="e">
        <f t="shared" si="9"/>
        <v>#DIV/0!</v>
      </c>
      <c r="AT21" s="13" t="e">
        <f t="shared" si="9"/>
        <v>#DIV/0!</v>
      </c>
      <c r="AU21" s="13" t="e">
        <f t="shared" si="9"/>
        <v>#DIV/0!</v>
      </c>
      <c r="AV21" s="13" t="e">
        <f t="shared" si="9"/>
        <v>#DIV/0!</v>
      </c>
      <c r="AW21" s="13" t="e">
        <f t="shared" si="9"/>
        <v>#DIV/0!</v>
      </c>
      <c r="AX21" s="13">
        <f t="shared" si="9"/>
        <v>-1</v>
      </c>
      <c r="AY21" s="13" t="e">
        <f t="shared" si="9"/>
        <v>#DIV/0!</v>
      </c>
      <c r="AZ21" s="13" t="e">
        <f t="shared" si="9"/>
        <v>#DIV/0!</v>
      </c>
      <c r="BA21" s="13" t="e">
        <f t="shared" si="9"/>
        <v>#DIV/0!</v>
      </c>
      <c r="BB21" s="14" t="e">
        <f t="shared" si="9"/>
        <v>#DIV/0!</v>
      </c>
      <c r="BC21" s="13">
        <f t="shared" si="9"/>
        <v>1.0602568324003951</v>
      </c>
      <c r="BD21" s="13">
        <f t="shared" si="9"/>
        <v>1.0328135152696556</v>
      </c>
      <c r="BE21" s="13" t="e">
        <f t="shared" si="9"/>
        <v>#DIV/0!</v>
      </c>
      <c r="BF21" s="13">
        <f t="shared" si="9"/>
        <v>-0.6594090202177294</v>
      </c>
      <c r="BG21" s="13">
        <f t="shared" si="9"/>
        <v>-0.94184168012924074</v>
      </c>
      <c r="BH21" s="163">
        <f t="shared" si="9"/>
        <v>7.0458994644792827E-2</v>
      </c>
      <c r="BI21" s="46">
        <f t="shared" si="9"/>
        <v>3.5279124819862707E-2</v>
      </c>
      <c r="BJ21" s="13">
        <f t="shared" si="9"/>
        <v>-1</v>
      </c>
      <c r="BK21" s="52">
        <f t="shared" si="9"/>
        <v>3.7716441576092004E-2</v>
      </c>
      <c r="BM21" s="163">
        <f>BM20/BM17</f>
        <v>8.1552921945239068E-2</v>
      </c>
    </row>
    <row r="22" spans="1:65" ht="15.75">
      <c r="A22" s="130"/>
      <c r="B22" s="5" t="s">
        <v>126</v>
      </c>
      <c r="C22" s="11">
        <f>C19-C18</f>
        <v>18567</v>
      </c>
      <c r="D22" s="11">
        <f t="shared" ref="D22:BK22" si="10">D19-D18</f>
        <v>28390</v>
      </c>
      <c r="E22" s="11">
        <f t="shared" si="10"/>
        <v>98</v>
      </c>
      <c r="F22" s="11">
        <f t="shared" si="10"/>
        <v>2625</v>
      </c>
      <c r="G22" s="11">
        <f t="shared" si="10"/>
        <v>2621</v>
      </c>
      <c r="H22" s="11">
        <f t="shared" si="10"/>
        <v>0</v>
      </c>
      <c r="I22" s="11">
        <f t="shared" si="10"/>
        <v>0</v>
      </c>
      <c r="J22" s="11">
        <f t="shared" si="10"/>
        <v>0</v>
      </c>
      <c r="K22" s="11">
        <f t="shared" si="10"/>
        <v>84</v>
      </c>
      <c r="L22" s="11">
        <f t="shared" si="10"/>
        <v>-5680</v>
      </c>
      <c r="M22" s="11">
        <f t="shared" si="10"/>
        <v>1233</v>
      </c>
      <c r="N22" s="11">
        <f t="shared" si="10"/>
        <v>0</v>
      </c>
      <c r="O22" s="11">
        <f t="shared" si="10"/>
        <v>-237</v>
      </c>
      <c r="P22" s="11">
        <f t="shared" si="10"/>
        <v>-18525</v>
      </c>
      <c r="Q22" s="11">
        <f t="shared" si="10"/>
        <v>0</v>
      </c>
      <c r="R22" s="11">
        <f t="shared" si="10"/>
        <v>-276</v>
      </c>
      <c r="S22" s="11">
        <f t="shared" si="10"/>
        <v>0</v>
      </c>
      <c r="T22" s="11">
        <f t="shared" si="10"/>
        <v>0</v>
      </c>
      <c r="U22" s="11">
        <f>U19-U18</f>
        <v>0</v>
      </c>
      <c r="V22" s="9">
        <f t="shared" si="10"/>
        <v>0</v>
      </c>
      <c r="W22" s="11">
        <f t="shared" si="10"/>
        <v>0</v>
      </c>
      <c r="X22" s="11">
        <f t="shared" si="10"/>
        <v>0</v>
      </c>
      <c r="Y22" s="11">
        <f t="shared" si="10"/>
        <v>365</v>
      </c>
      <c r="Z22" s="11">
        <f t="shared" si="10"/>
        <v>287</v>
      </c>
      <c r="AA22" s="11">
        <f t="shared" si="10"/>
        <v>-53</v>
      </c>
      <c r="AB22" s="11">
        <f>AB19-AB18</f>
        <v>0</v>
      </c>
      <c r="AC22" s="10">
        <f>AC19-AC18</f>
        <v>0</v>
      </c>
      <c r="AD22" s="11">
        <f>AD19-AD18</f>
        <v>29499</v>
      </c>
      <c r="AE22" s="11">
        <f t="shared" si="10"/>
        <v>299</v>
      </c>
      <c r="AF22" s="11">
        <f t="shared" si="10"/>
        <v>0</v>
      </c>
      <c r="AG22" s="11">
        <f t="shared" si="10"/>
        <v>1113</v>
      </c>
      <c r="AH22" s="11">
        <f t="shared" si="10"/>
        <v>0</v>
      </c>
      <c r="AI22" s="11">
        <f t="shared" si="10"/>
        <v>0</v>
      </c>
      <c r="AJ22" s="11">
        <f t="shared" si="10"/>
        <v>0</v>
      </c>
      <c r="AK22" s="11">
        <f t="shared" si="10"/>
        <v>3180</v>
      </c>
      <c r="AL22" s="11">
        <f t="shared" si="10"/>
        <v>10778</v>
      </c>
      <c r="AM22" s="11">
        <f t="shared" si="10"/>
        <v>0</v>
      </c>
      <c r="AN22" s="11">
        <f t="shared" si="10"/>
        <v>6712</v>
      </c>
      <c r="AO22" s="9">
        <f t="shared" si="10"/>
        <v>22674</v>
      </c>
      <c r="AP22" s="276">
        <f t="shared" si="10"/>
        <v>0</v>
      </c>
      <c r="AQ22" s="10">
        <f t="shared" si="10"/>
        <v>0</v>
      </c>
      <c r="AR22" s="11">
        <f t="shared" si="10"/>
        <v>0</v>
      </c>
      <c r="AS22" s="11">
        <f t="shared" si="10"/>
        <v>0</v>
      </c>
      <c r="AT22" s="11">
        <f t="shared" si="10"/>
        <v>0</v>
      </c>
      <c r="AU22" s="11">
        <f t="shared" si="10"/>
        <v>0</v>
      </c>
      <c r="AV22" s="11">
        <f t="shared" si="10"/>
        <v>0</v>
      </c>
      <c r="AW22" s="11">
        <f t="shared" si="10"/>
        <v>-67</v>
      </c>
      <c r="AX22" s="11">
        <f t="shared" si="10"/>
        <v>-11</v>
      </c>
      <c r="AY22" s="11">
        <f t="shared" si="10"/>
        <v>0</v>
      </c>
      <c r="AZ22" s="11">
        <f t="shared" si="10"/>
        <v>0</v>
      </c>
      <c r="BA22" s="11">
        <f t="shared" si="10"/>
        <v>0</v>
      </c>
      <c r="BB22" s="10">
        <f t="shared" si="10"/>
        <v>0</v>
      </c>
      <c r="BC22" s="11">
        <f t="shared" si="10"/>
        <v>2471</v>
      </c>
      <c r="BD22" s="11">
        <f t="shared" si="10"/>
        <v>2471</v>
      </c>
      <c r="BE22" s="11">
        <f t="shared" si="10"/>
        <v>0</v>
      </c>
      <c r="BF22" s="11">
        <f t="shared" si="10"/>
        <v>-71</v>
      </c>
      <c r="BG22" s="11">
        <f t="shared" si="10"/>
        <v>25</v>
      </c>
      <c r="BH22" s="9">
        <f t="shared" si="10"/>
        <v>49574</v>
      </c>
      <c r="BI22" s="45">
        <f t="shared" si="10"/>
        <v>79073</v>
      </c>
      <c r="BJ22" s="11">
        <f t="shared" si="10"/>
        <v>0</v>
      </c>
      <c r="BK22" s="51">
        <f t="shared" si="10"/>
        <v>79073</v>
      </c>
      <c r="BM22" s="30">
        <f>BK22-AD22</f>
        <v>49574</v>
      </c>
    </row>
    <row r="23" spans="1:65" ht="15.75">
      <c r="A23" s="130"/>
      <c r="B23" s="5" t="s">
        <v>127</v>
      </c>
      <c r="C23" s="13">
        <f t="shared" ref="C23:AH23" si="11">C22/C18</f>
        <v>9.46648719752822E-2</v>
      </c>
      <c r="D23" s="13">
        <f t="shared" si="11"/>
        <v>0.27065418422407383</v>
      </c>
      <c r="E23" s="13">
        <f t="shared" si="11"/>
        <v>6.5333333333333332</v>
      </c>
      <c r="F23" s="13">
        <f t="shared" si="11"/>
        <v>0.1836049520878506</v>
      </c>
      <c r="G23" s="13">
        <f t="shared" si="11"/>
        <v>0.15203898137943037</v>
      </c>
      <c r="H23" s="13" t="e">
        <f t="shared" si="11"/>
        <v>#DIV/0!</v>
      </c>
      <c r="I23" s="13" t="e">
        <f t="shared" si="11"/>
        <v>#DIV/0!</v>
      </c>
      <c r="J23" s="13" t="e">
        <f t="shared" si="11"/>
        <v>#DIV/0!</v>
      </c>
      <c r="K23" s="13" t="e">
        <f t="shared" si="11"/>
        <v>#DIV/0!</v>
      </c>
      <c r="L23" s="13">
        <f t="shared" si="11"/>
        <v>-0.41678896389785736</v>
      </c>
      <c r="M23" s="13">
        <f t="shared" si="11"/>
        <v>6.8076413427561835E-2</v>
      </c>
      <c r="N23" s="13" t="e">
        <f t="shared" si="11"/>
        <v>#DIV/0!</v>
      </c>
      <c r="O23" s="13">
        <f t="shared" si="11"/>
        <v>-0.53863636363636369</v>
      </c>
      <c r="P23" s="13">
        <f t="shared" si="11"/>
        <v>-0.59982515218235977</v>
      </c>
      <c r="Q23" s="13" t="e">
        <f t="shared" si="11"/>
        <v>#DIV/0!</v>
      </c>
      <c r="R23" s="13">
        <f t="shared" si="11"/>
        <v>-0.67647058823529416</v>
      </c>
      <c r="S23" s="13" t="e">
        <f t="shared" si="11"/>
        <v>#DIV/0!</v>
      </c>
      <c r="T23" s="13" t="e">
        <f t="shared" si="11"/>
        <v>#DIV/0!</v>
      </c>
      <c r="U23" s="13" t="e">
        <f t="shared" si="11"/>
        <v>#DIV/0!</v>
      </c>
      <c r="V23" s="163" t="e">
        <f t="shared" si="11"/>
        <v>#DIV/0!</v>
      </c>
      <c r="W23" s="13" t="e">
        <f t="shared" si="11"/>
        <v>#DIV/0!</v>
      </c>
      <c r="X23" s="13" t="e">
        <f t="shared" si="11"/>
        <v>#DIV/0!</v>
      </c>
      <c r="Y23" s="13">
        <f t="shared" si="11"/>
        <v>0.61241610738255037</v>
      </c>
      <c r="Z23" s="13">
        <f t="shared" si="11"/>
        <v>2.064748201438849</v>
      </c>
      <c r="AA23" s="13">
        <f t="shared" si="11"/>
        <v>-0.17725752508361203</v>
      </c>
      <c r="AB23" s="13" t="e">
        <f t="shared" si="11"/>
        <v>#DIV/0!</v>
      </c>
      <c r="AC23" s="14" t="e">
        <f t="shared" si="11"/>
        <v>#DIV/0!</v>
      </c>
      <c r="AD23" s="13">
        <f t="shared" si="11"/>
        <v>7.4288880214563632E-2</v>
      </c>
      <c r="AE23" s="13">
        <f t="shared" si="11"/>
        <v>59.8</v>
      </c>
      <c r="AF23" s="13" t="e">
        <f t="shared" si="11"/>
        <v>#DIV/0!</v>
      </c>
      <c r="AG23" s="13">
        <f t="shared" si="11"/>
        <v>0.59486905398182788</v>
      </c>
      <c r="AH23" s="13" t="e">
        <f t="shared" si="11"/>
        <v>#DIV/0!</v>
      </c>
      <c r="AI23" s="13" t="e">
        <f t="shared" ref="AI23:BK23" si="12">AI22/AI18</f>
        <v>#DIV/0!</v>
      </c>
      <c r="AJ23" s="13" t="e">
        <f t="shared" si="12"/>
        <v>#DIV/0!</v>
      </c>
      <c r="AK23" s="13">
        <f t="shared" si="12"/>
        <v>-1.087923366404379</v>
      </c>
      <c r="AL23" s="13">
        <f t="shared" si="12"/>
        <v>1.0795272435897436</v>
      </c>
      <c r="AM23" s="13" t="e">
        <f t="shared" si="12"/>
        <v>#DIV/0!</v>
      </c>
      <c r="AN23" s="13">
        <f t="shared" si="12"/>
        <v>0.61611896456765192</v>
      </c>
      <c r="AO23" s="163">
        <f t="shared" si="12"/>
        <v>0.41411429510711739</v>
      </c>
      <c r="AP23" s="277" t="e">
        <f t="shared" si="12"/>
        <v>#DIV/0!</v>
      </c>
      <c r="AQ23" s="14" t="e">
        <f t="shared" si="12"/>
        <v>#DIV/0!</v>
      </c>
      <c r="AR23" s="13" t="e">
        <f t="shared" si="12"/>
        <v>#DIV/0!</v>
      </c>
      <c r="AS23" s="13" t="e">
        <f t="shared" si="12"/>
        <v>#DIV/0!</v>
      </c>
      <c r="AT23" s="13" t="e">
        <f t="shared" si="12"/>
        <v>#DIV/0!</v>
      </c>
      <c r="AU23" s="13" t="e">
        <f t="shared" si="12"/>
        <v>#DIV/0!</v>
      </c>
      <c r="AV23" s="13" t="e">
        <f t="shared" si="12"/>
        <v>#DIV/0!</v>
      </c>
      <c r="AW23" s="13">
        <f t="shared" si="12"/>
        <v>-1</v>
      </c>
      <c r="AX23" s="13">
        <f t="shared" si="12"/>
        <v>-1</v>
      </c>
      <c r="AY23" s="13" t="e">
        <f t="shared" si="12"/>
        <v>#DIV/0!</v>
      </c>
      <c r="AZ23" s="13" t="e">
        <f t="shared" si="12"/>
        <v>#DIV/0!</v>
      </c>
      <c r="BA23" s="13" t="e">
        <f t="shared" si="12"/>
        <v>#DIV/0!</v>
      </c>
      <c r="BB23" s="14" t="e">
        <f t="shared" si="12"/>
        <v>#DIV/0!</v>
      </c>
      <c r="BC23" s="13">
        <f t="shared" si="12"/>
        <v>0.65266772319070254</v>
      </c>
      <c r="BD23" s="13">
        <f t="shared" si="12"/>
        <v>0.65266772319070254</v>
      </c>
      <c r="BE23" s="13" t="e">
        <f t="shared" si="12"/>
        <v>#DIV/0!</v>
      </c>
      <c r="BF23" s="13">
        <f t="shared" si="12"/>
        <v>-0.13948919449901767</v>
      </c>
      <c r="BG23" s="13">
        <f t="shared" si="12"/>
        <v>2.2727272727272729</v>
      </c>
      <c r="BH23" s="163">
        <f t="shared" si="12"/>
        <v>0.59905261377093555</v>
      </c>
      <c r="BI23" s="46">
        <f t="shared" si="12"/>
        <v>0.16479069021067483</v>
      </c>
      <c r="BJ23" s="13" t="e">
        <f t="shared" si="12"/>
        <v>#DIV/0!</v>
      </c>
      <c r="BK23" s="52">
        <f t="shared" si="12"/>
        <v>0.16479069021067483</v>
      </c>
      <c r="BM23" s="14">
        <f>BM22/BM18</f>
        <v>0.59905261377093555</v>
      </c>
    </row>
    <row r="24" spans="1:65" ht="15.75">
      <c r="A24" s="130"/>
      <c r="B24" s="5" t="s">
        <v>323</v>
      </c>
      <c r="C24" s="128">
        <f t="shared" ref="C24:AI24" si="13">C19/C16</f>
        <v>0.19545885733117513</v>
      </c>
      <c r="D24" s="128">
        <f t="shared" si="13"/>
        <v>0.20281355803248755</v>
      </c>
      <c r="E24" s="128" t="e">
        <f t="shared" si="13"/>
        <v>#DIV/0!</v>
      </c>
      <c r="F24" s="128">
        <f t="shared" si="13"/>
        <v>0.17685851945527326</v>
      </c>
      <c r="G24" s="128">
        <f t="shared" si="13"/>
        <v>0.19831838788919734</v>
      </c>
      <c r="H24" s="128" t="e">
        <f t="shared" si="13"/>
        <v>#DIV/0!</v>
      </c>
      <c r="I24" s="128" t="e">
        <f t="shared" si="13"/>
        <v>#DIV/0!</v>
      </c>
      <c r="J24" s="128" t="e">
        <f t="shared" si="13"/>
        <v>#DIV/0!</v>
      </c>
      <c r="K24" s="128" t="e">
        <f t="shared" si="13"/>
        <v>#DIV/0!</v>
      </c>
      <c r="L24" s="128">
        <f t="shared" si="13"/>
        <v>0.27963269183407802</v>
      </c>
      <c r="M24" s="128">
        <f t="shared" si="13"/>
        <v>0.17180284191829484</v>
      </c>
      <c r="N24" s="128">
        <f t="shared" si="13"/>
        <v>0</v>
      </c>
      <c r="O24" s="128">
        <f t="shared" si="13"/>
        <v>8.8069414316702815E-2</v>
      </c>
      <c r="P24" s="128">
        <f t="shared" si="13"/>
        <v>0.14764948330446209</v>
      </c>
      <c r="Q24" s="128" t="e">
        <f t="shared" si="13"/>
        <v>#DIV/0!</v>
      </c>
      <c r="R24" s="128">
        <f t="shared" si="13"/>
        <v>7.4032529444756023E-2</v>
      </c>
      <c r="S24" s="128" t="e">
        <f t="shared" si="13"/>
        <v>#DIV/0!</v>
      </c>
      <c r="T24" s="128" t="e">
        <f t="shared" si="13"/>
        <v>#DIV/0!</v>
      </c>
      <c r="U24" s="128" t="e">
        <f t="shared" si="13"/>
        <v>#DIV/0!</v>
      </c>
      <c r="V24" s="178" t="e">
        <f t="shared" si="13"/>
        <v>#DIV/0!</v>
      </c>
      <c r="W24" s="128" t="e">
        <f t="shared" si="13"/>
        <v>#DIV/0!</v>
      </c>
      <c r="X24" s="128" t="e">
        <f t="shared" si="13"/>
        <v>#DIV/0!</v>
      </c>
      <c r="Y24" s="128">
        <f t="shared" si="13"/>
        <v>0.25078288100208768</v>
      </c>
      <c r="Z24" s="128">
        <f t="shared" si="13"/>
        <v>0.20649539505574407</v>
      </c>
      <c r="AA24" s="128">
        <f t="shared" si="13"/>
        <v>0.17071478140180429</v>
      </c>
      <c r="AB24" s="128">
        <f>AB19/AB16</f>
        <v>0</v>
      </c>
      <c r="AC24" s="217" t="e">
        <f t="shared" si="13"/>
        <v>#DIV/0!</v>
      </c>
      <c r="AD24" s="128">
        <f t="shared" si="13"/>
        <v>0.19471768528315461</v>
      </c>
      <c r="AE24" s="128">
        <f t="shared" si="13"/>
        <v>9.5</v>
      </c>
      <c r="AF24" s="128" t="e">
        <f t="shared" si="13"/>
        <v>#DIV/0!</v>
      </c>
      <c r="AG24" s="128">
        <f t="shared" si="13"/>
        <v>0.43536620951269334</v>
      </c>
      <c r="AH24" s="128" t="e">
        <f t="shared" si="13"/>
        <v>#DIV/0!</v>
      </c>
      <c r="AI24" s="128" t="e">
        <f t="shared" si="13"/>
        <v>#DIV/0!</v>
      </c>
      <c r="AJ24" s="128">
        <f t="shared" ref="AJ24:BK24" si="14">AJ19/AJ16</f>
        <v>0</v>
      </c>
      <c r="AK24" s="128">
        <f t="shared" si="14"/>
        <v>8.1334261662130512E-3</v>
      </c>
      <c r="AL24" s="128">
        <f t="shared" si="14"/>
        <v>0.26099308610936517</v>
      </c>
      <c r="AM24" s="128" t="e">
        <f t="shared" si="14"/>
        <v>#DIV/0!</v>
      </c>
      <c r="AN24" s="128">
        <f t="shared" si="14"/>
        <v>0.23711784511784512</v>
      </c>
      <c r="AO24" s="178">
        <f t="shared" si="14"/>
        <v>0.27054877089994234</v>
      </c>
      <c r="AP24" s="278">
        <f t="shared" si="14"/>
        <v>0</v>
      </c>
      <c r="AQ24" s="217" t="e">
        <f t="shared" si="14"/>
        <v>#DIV/0!</v>
      </c>
      <c r="AR24" s="128" t="e">
        <f t="shared" si="14"/>
        <v>#DIV/0!</v>
      </c>
      <c r="AS24" s="128" t="e">
        <f t="shared" si="14"/>
        <v>#DIV/0!</v>
      </c>
      <c r="AT24" s="128" t="e">
        <f t="shared" si="14"/>
        <v>#DIV/0!</v>
      </c>
      <c r="AU24" s="128" t="e">
        <f t="shared" si="14"/>
        <v>#DIV/0!</v>
      </c>
      <c r="AV24" s="128" t="e">
        <f t="shared" si="14"/>
        <v>#DIV/0!</v>
      </c>
      <c r="AW24" s="128" t="e">
        <f t="shared" si="14"/>
        <v>#DIV/0!</v>
      </c>
      <c r="AX24" s="128">
        <f t="shared" si="14"/>
        <v>0</v>
      </c>
      <c r="AY24" s="128" t="e">
        <f t="shared" si="14"/>
        <v>#DIV/0!</v>
      </c>
      <c r="AZ24" s="128" t="e">
        <f t="shared" si="14"/>
        <v>#DIV/0!</v>
      </c>
      <c r="BA24" s="128" t="e">
        <f t="shared" si="14"/>
        <v>#DIV/0!</v>
      </c>
      <c r="BB24" s="217" t="e">
        <f t="shared" si="14"/>
        <v>#DIV/0!</v>
      </c>
      <c r="BC24" s="128">
        <f t="shared" si="14"/>
        <v>0.49470271979759645</v>
      </c>
      <c r="BD24" s="128">
        <f t="shared" si="14"/>
        <v>0.48772312728973422</v>
      </c>
      <c r="BE24" s="128" t="e">
        <f t="shared" si="14"/>
        <v>#DIV/0!</v>
      </c>
      <c r="BF24" s="128">
        <f t="shared" si="14"/>
        <v>8.174692049272117E-2</v>
      </c>
      <c r="BG24" s="128">
        <f t="shared" si="14"/>
        <v>1.3975155279503106E-2</v>
      </c>
      <c r="BH24" s="178">
        <f t="shared" si="14"/>
        <v>0.25691514663197851</v>
      </c>
      <c r="BI24" s="128">
        <f t="shared" si="14"/>
        <v>0.20655713349646154</v>
      </c>
      <c r="BJ24" s="128">
        <f t="shared" si="14"/>
        <v>0</v>
      </c>
      <c r="BK24" s="128">
        <f t="shared" si="14"/>
        <v>0.20696121254671246</v>
      </c>
      <c r="BM24" s="128">
        <f>BM19/BM16</f>
        <v>0.25957762337626672</v>
      </c>
    </row>
    <row r="25" spans="1:65" s="181" customFormat="1" ht="15.75">
      <c r="A25" s="130"/>
      <c r="B25" s="5" t="s">
        <v>322</v>
      </c>
      <c r="C25" s="11">
        <f>C17-C20</f>
        <v>202703</v>
      </c>
      <c r="D25" s="11">
        <f t="shared" ref="D25:BK25" si="15">D17-D20</f>
        <v>116440</v>
      </c>
      <c r="E25" s="11">
        <f t="shared" si="15"/>
        <v>-113</v>
      </c>
      <c r="F25" s="11">
        <f t="shared" si="15"/>
        <v>19434</v>
      </c>
      <c r="G25" s="11">
        <f t="shared" si="15"/>
        <v>18198</v>
      </c>
      <c r="H25" s="11">
        <f t="shared" si="15"/>
        <v>0</v>
      </c>
      <c r="I25" s="11">
        <f t="shared" si="15"/>
        <v>0</v>
      </c>
      <c r="J25" s="11">
        <f t="shared" si="15"/>
        <v>0</v>
      </c>
      <c r="K25" s="11">
        <f t="shared" si="15"/>
        <v>-84</v>
      </c>
      <c r="L25" s="11">
        <f t="shared" si="15"/>
        <v>2852</v>
      </c>
      <c r="M25" s="11">
        <f t="shared" si="15"/>
        <v>23447</v>
      </c>
      <c r="N25" s="11">
        <f t="shared" si="15"/>
        <v>24</v>
      </c>
      <c r="O25" s="11">
        <f t="shared" si="15"/>
        <v>675</v>
      </c>
      <c r="P25" s="11">
        <f t="shared" si="15"/>
        <v>19447</v>
      </c>
      <c r="Q25" s="11">
        <f t="shared" si="15"/>
        <v>0</v>
      </c>
      <c r="R25" s="11">
        <f t="shared" si="15"/>
        <v>548</v>
      </c>
      <c r="S25" s="11">
        <f t="shared" si="15"/>
        <v>0</v>
      </c>
      <c r="T25" s="11">
        <f t="shared" si="15"/>
        <v>0</v>
      </c>
      <c r="U25" s="11">
        <f t="shared" si="15"/>
        <v>0</v>
      </c>
      <c r="V25" s="11">
        <f t="shared" si="15"/>
        <v>0</v>
      </c>
      <c r="W25" s="11">
        <f t="shared" si="15"/>
        <v>0</v>
      </c>
      <c r="X25" s="11">
        <f t="shared" si="15"/>
        <v>0</v>
      </c>
      <c r="Y25" s="11">
        <f t="shared" si="15"/>
        <v>495</v>
      </c>
      <c r="Z25" s="11">
        <f t="shared" si="15"/>
        <v>358</v>
      </c>
      <c r="AA25" s="11">
        <f t="shared" si="15"/>
        <v>302</v>
      </c>
      <c r="AB25" s="11">
        <f t="shared" si="15"/>
        <v>1186</v>
      </c>
      <c r="AC25" s="11">
        <f t="shared" si="15"/>
        <v>0</v>
      </c>
      <c r="AD25" s="11">
        <f t="shared" si="15"/>
        <v>405912</v>
      </c>
      <c r="AE25" s="11">
        <f t="shared" si="15"/>
        <v>-288</v>
      </c>
      <c r="AF25" s="11">
        <f t="shared" si="15"/>
        <v>0</v>
      </c>
      <c r="AG25" s="11">
        <f t="shared" si="15"/>
        <v>306</v>
      </c>
      <c r="AH25" s="11">
        <f t="shared" si="15"/>
        <v>0</v>
      </c>
      <c r="AI25" s="11">
        <f t="shared" si="15"/>
        <v>0</v>
      </c>
      <c r="AJ25" s="11">
        <f t="shared" si="15"/>
        <v>24</v>
      </c>
      <c r="AK25" s="11">
        <f t="shared" si="15"/>
        <v>14913</v>
      </c>
      <c r="AL25" s="11">
        <f t="shared" si="15"/>
        <v>17420</v>
      </c>
      <c r="AM25" s="11">
        <f t="shared" si="15"/>
        <v>0</v>
      </c>
      <c r="AN25" s="11">
        <f t="shared" si="15"/>
        <v>18034</v>
      </c>
      <c r="AO25" s="11">
        <f t="shared" si="15"/>
        <v>59943</v>
      </c>
      <c r="AP25" s="276">
        <f t="shared" si="15"/>
        <v>1170</v>
      </c>
      <c r="AQ25" s="11">
        <f t="shared" si="15"/>
        <v>0</v>
      </c>
      <c r="AR25" s="11">
        <f t="shared" si="15"/>
        <v>0</v>
      </c>
      <c r="AS25" s="11">
        <f t="shared" si="15"/>
        <v>0</v>
      </c>
      <c r="AT25" s="11">
        <f t="shared" si="15"/>
        <v>0</v>
      </c>
      <c r="AU25" s="11">
        <f t="shared" si="15"/>
        <v>0</v>
      </c>
      <c r="AV25" s="11">
        <f t="shared" si="15"/>
        <v>0</v>
      </c>
      <c r="AW25" s="11">
        <f t="shared" si="15"/>
        <v>0</v>
      </c>
      <c r="AX25" s="11">
        <f t="shared" si="15"/>
        <v>334</v>
      </c>
      <c r="AY25" s="11">
        <f t="shared" si="15"/>
        <v>0</v>
      </c>
      <c r="AZ25" s="11">
        <f t="shared" si="15"/>
        <v>0</v>
      </c>
      <c r="BA25" s="11">
        <f t="shared" si="15"/>
        <v>0</v>
      </c>
      <c r="BB25" s="11">
        <f t="shared" si="15"/>
        <v>0</v>
      </c>
      <c r="BC25" s="11">
        <f t="shared" si="15"/>
        <v>-183</v>
      </c>
      <c r="BD25" s="11">
        <f t="shared" si="15"/>
        <v>-101</v>
      </c>
      <c r="BE25" s="11">
        <f t="shared" si="15"/>
        <v>0</v>
      </c>
      <c r="BF25" s="11">
        <f t="shared" si="15"/>
        <v>2134</v>
      </c>
      <c r="BG25" s="11">
        <f t="shared" si="15"/>
        <v>1202</v>
      </c>
      <c r="BH25" s="11">
        <f t="shared" si="15"/>
        <v>114908</v>
      </c>
      <c r="BI25" s="11">
        <f t="shared" si="15"/>
        <v>520820</v>
      </c>
      <c r="BJ25" s="11">
        <f t="shared" si="15"/>
        <v>2536</v>
      </c>
      <c r="BK25" s="11">
        <f t="shared" si="15"/>
        <v>518284</v>
      </c>
      <c r="BL25" s="11">
        <f>BL20-BL17</f>
        <v>-650631</v>
      </c>
      <c r="BM25" s="11">
        <f>BM20-BM17</f>
        <v>-112372</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276"/>
      <c r="AQ26" s="10"/>
      <c r="AR26" s="11"/>
      <c r="AS26" s="11"/>
      <c r="AT26" s="11"/>
      <c r="AU26" s="11"/>
      <c r="AV26" s="11"/>
      <c r="AW26" s="11"/>
      <c r="AX26" s="11"/>
      <c r="AY26" s="11"/>
      <c r="AZ26" s="11"/>
      <c r="BA26" s="11"/>
      <c r="BB26" s="10"/>
      <c r="BC26" s="11"/>
      <c r="BD26" s="11"/>
      <c r="BE26" s="11"/>
      <c r="BF26" s="11"/>
      <c r="BG26" s="11"/>
      <c r="BH26" s="11"/>
      <c r="BI26" s="11"/>
      <c r="BJ26" s="11"/>
      <c r="BK26" s="11"/>
      <c r="BL26" s="182"/>
      <c r="BM26" s="182"/>
    </row>
    <row r="27" spans="1:65" s="101" customFormat="1" ht="15.75">
      <c r="A27" s="270" t="s">
        <v>129</v>
      </c>
      <c r="B27" s="9" t="s">
        <v>316</v>
      </c>
      <c r="C27" s="122">
        <v>238032</v>
      </c>
      <c r="D27" s="122">
        <v>141191</v>
      </c>
      <c r="E27" s="122">
        <v>0</v>
      </c>
      <c r="F27" s="122">
        <v>30769</v>
      </c>
      <c r="G27" s="122">
        <v>32013</v>
      </c>
      <c r="H27" s="122"/>
      <c r="I27" s="122"/>
      <c r="J27" s="122"/>
      <c r="K27" s="122">
        <v>1509</v>
      </c>
      <c r="L27" s="122">
        <v>3464</v>
      </c>
      <c r="M27" s="122">
        <v>5421</v>
      </c>
      <c r="N27" s="122">
        <v>22</v>
      </c>
      <c r="O27" s="122">
        <v>909</v>
      </c>
      <c r="P27" s="122">
        <v>3670</v>
      </c>
      <c r="Q27" s="122"/>
      <c r="R27" s="122">
        <v>878</v>
      </c>
      <c r="S27" s="122"/>
      <c r="T27" s="122"/>
      <c r="U27" s="122"/>
      <c r="V27" s="122"/>
      <c r="W27" s="122"/>
      <c r="X27" s="122"/>
      <c r="Y27" s="122">
        <v>724</v>
      </c>
      <c r="Z27" s="122">
        <v>767</v>
      </c>
      <c r="AA27" s="122">
        <v>177</v>
      </c>
      <c r="AB27" s="122"/>
      <c r="AC27" s="122">
        <v>-24479</v>
      </c>
      <c r="AD27" s="232">
        <f>SUM(C27:AC27)</f>
        <v>435067</v>
      </c>
      <c r="AE27" s="122"/>
      <c r="AF27" s="122">
        <v>363</v>
      </c>
      <c r="AG27" s="122"/>
      <c r="AH27" s="122"/>
      <c r="AI27" s="122"/>
      <c r="AJ27" s="122"/>
      <c r="AK27" s="122">
        <v>195470</v>
      </c>
      <c r="AL27" s="122">
        <v>17211</v>
      </c>
      <c r="AM27" s="122"/>
      <c r="AN27" s="122"/>
      <c r="AO27" s="122">
        <v>18860</v>
      </c>
      <c r="AP27" s="280">
        <v>-118867</v>
      </c>
      <c r="AQ27" s="122"/>
      <c r="AR27" s="122"/>
      <c r="AS27" s="122"/>
      <c r="AT27" s="122"/>
      <c r="AU27" s="122"/>
      <c r="AV27" s="122"/>
      <c r="AW27" s="122"/>
      <c r="AX27" s="122"/>
      <c r="AY27" s="122"/>
      <c r="AZ27" s="122"/>
      <c r="BA27" s="122"/>
      <c r="BB27" s="122">
        <v>-45827</v>
      </c>
      <c r="BC27" s="122">
        <v>3428</v>
      </c>
      <c r="BD27" s="122">
        <v>3428</v>
      </c>
      <c r="BE27" s="122"/>
      <c r="BF27" s="122">
        <v>3042</v>
      </c>
      <c r="BG27" s="122">
        <v>254</v>
      </c>
      <c r="BH27" s="232">
        <f>SUM(AE27:BG27)</f>
        <v>77362</v>
      </c>
      <c r="BI27" s="235">
        <f>AD27+BH27</f>
        <v>512429</v>
      </c>
      <c r="BJ27" s="98">
        <v>0</v>
      </c>
      <c r="BK27" s="232">
        <f>BI27-BJ27</f>
        <v>512429</v>
      </c>
      <c r="BM27" s="233">
        <f>BK27-AD27</f>
        <v>77362</v>
      </c>
    </row>
    <row r="28" spans="1:65" s="41" customFormat="1" ht="15.75">
      <c r="A28" s="136"/>
      <c r="B28" s="234" t="s">
        <v>317</v>
      </c>
      <c r="C28" s="10">
        <v>45226</v>
      </c>
      <c r="D28" s="10">
        <v>26827</v>
      </c>
      <c r="E28" s="10">
        <v>0</v>
      </c>
      <c r="F28" s="10">
        <v>5845</v>
      </c>
      <c r="G28" s="10">
        <v>6083</v>
      </c>
      <c r="H28" s="10"/>
      <c r="I28" s="10"/>
      <c r="J28" s="10"/>
      <c r="K28" s="10">
        <v>287</v>
      </c>
      <c r="L28" s="10">
        <v>658</v>
      </c>
      <c r="M28" s="10">
        <v>1030</v>
      </c>
      <c r="N28" s="10">
        <v>5</v>
      </c>
      <c r="O28" s="10">
        <v>173</v>
      </c>
      <c r="P28" s="10">
        <v>698</v>
      </c>
      <c r="Q28" s="10"/>
      <c r="R28" s="10">
        <v>167</v>
      </c>
      <c r="S28" s="10"/>
      <c r="T28" s="10"/>
      <c r="U28" s="10"/>
      <c r="V28" s="10"/>
      <c r="W28" s="10"/>
      <c r="X28" s="10"/>
      <c r="Y28" s="10">
        <v>138</v>
      </c>
      <c r="Z28" s="10">
        <v>146</v>
      </c>
      <c r="AA28" s="10">
        <v>34</v>
      </c>
      <c r="AB28" s="10"/>
      <c r="AC28" s="10">
        <v>-4651</v>
      </c>
      <c r="AD28" s="123">
        <f>SUM(C28:AC28)</f>
        <v>82666</v>
      </c>
      <c r="AE28" s="10"/>
      <c r="AF28" s="10">
        <v>87</v>
      </c>
      <c r="AG28" s="10"/>
      <c r="AH28" s="10"/>
      <c r="AI28" s="10"/>
      <c r="AJ28" s="10"/>
      <c r="AK28" s="10">
        <v>46912</v>
      </c>
      <c r="AL28" s="10">
        <v>4131</v>
      </c>
      <c r="AM28" s="10"/>
      <c r="AN28" s="10"/>
      <c r="AO28" s="10">
        <v>4526</v>
      </c>
      <c r="AP28" s="250">
        <v>-28530</v>
      </c>
      <c r="AQ28" s="10"/>
      <c r="AR28" s="10"/>
      <c r="AS28" s="10"/>
      <c r="AT28" s="10"/>
      <c r="AU28" s="10"/>
      <c r="AV28" s="10"/>
      <c r="AW28" s="10"/>
      <c r="AX28" s="10"/>
      <c r="AY28" s="10"/>
      <c r="AZ28" s="10"/>
      <c r="BA28" s="10"/>
      <c r="BB28" s="10">
        <v>-10998</v>
      </c>
      <c r="BC28" s="10">
        <v>823</v>
      </c>
      <c r="BD28" s="10">
        <v>823</v>
      </c>
      <c r="BE28" s="10"/>
      <c r="BF28" s="10">
        <v>730</v>
      </c>
      <c r="BG28" s="10">
        <v>61</v>
      </c>
      <c r="BH28" s="10">
        <f>SUM(AE28:BG28)</f>
        <v>18565</v>
      </c>
      <c r="BI28" s="219">
        <f>AD28+BH28</f>
        <v>101231</v>
      </c>
      <c r="BJ28" s="10">
        <v>0</v>
      </c>
      <c r="BK28" s="10">
        <f>BI28-BJ28</f>
        <v>101231</v>
      </c>
      <c r="BL28" s="41">
        <f>'[1]Upto Month Current'!$D$61</f>
        <v>187957</v>
      </c>
      <c r="BM28" s="218">
        <f>BK28-AD28</f>
        <v>18565</v>
      </c>
    </row>
    <row r="29" spans="1:65" ht="15.75">
      <c r="A29" s="130"/>
      <c r="B29" s="12" t="s">
        <v>318</v>
      </c>
      <c r="C29" s="9">
        <f>IF('Upto Month COPPY'!$D$4="",0,'Upto Month COPPY'!$D$4)</f>
        <v>36947</v>
      </c>
      <c r="D29" s="9">
        <f>IF('Upto Month COPPY'!$D$5="",0,'Upto Month COPPY'!$D$5)</f>
        <v>20042</v>
      </c>
      <c r="E29" s="9">
        <f>IF('Upto Month COPPY'!$D$6="",0,'Upto Month COPPY'!$D$6)</f>
        <v>3</v>
      </c>
      <c r="F29" s="9">
        <f>IF('Upto Month COPPY'!$D$7="",0,'Upto Month COPPY'!$D$7)</f>
        <v>3923</v>
      </c>
      <c r="G29" s="9">
        <f>IF('Upto Month COPPY'!$D$8="",0,'Upto Month COPPY'!$D$8)</f>
        <v>5062</v>
      </c>
      <c r="H29" s="9">
        <f>IF('Upto Month COPPY'!$D$9="",0,'Upto Month COPPY'!$D$9)</f>
        <v>0</v>
      </c>
      <c r="I29" s="9">
        <f>IF('Upto Month COPPY'!$D$10="",0,'Upto Month COPPY'!$D$10)</f>
        <v>0</v>
      </c>
      <c r="J29" s="9">
        <f>IF('Upto Month COPPY'!$D$11="",0,'Upto Month COPPY'!$D$11)</f>
        <v>0</v>
      </c>
      <c r="K29" s="9">
        <f>IF('Upto Month COPPY'!$D$12="",0,'Upto Month COPPY'!$D$12)</f>
        <v>180</v>
      </c>
      <c r="L29" s="9">
        <f>IF('Upto Month COPPY'!$D$13="",0,'Upto Month COPPY'!$D$13)</f>
        <v>1129</v>
      </c>
      <c r="M29" s="9">
        <f>IF('Upto Month COPPY'!$D$14="",0,'Upto Month COPPY'!$D$14)</f>
        <v>447</v>
      </c>
      <c r="N29" s="9">
        <f>IF('Upto Month COPPY'!$D$15="",0,'Upto Month COPPY'!$D$15)</f>
        <v>7</v>
      </c>
      <c r="O29" s="9">
        <f>IF('Upto Month COPPY'!$D$16="",0,'Upto Month COPPY'!$D$16)</f>
        <v>105</v>
      </c>
      <c r="P29" s="9">
        <f>IF('Upto Month COPPY'!$D$17="",0,'Upto Month COPPY'!$D$17)</f>
        <v>1448</v>
      </c>
      <c r="Q29" s="9">
        <f>IF('Upto Month COPPY'!$D$18="",0,'Upto Month COPPY'!$D$18)</f>
        <v>0</v>
      </c>
      <c r="R29" s="9">
        <f>IF('Upto Month COPPY'!$D$21="",0,'Upto Month COPPY'!$D$21)</f>
        <v>283</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43</v>
      </c>
      <c r="AB29" s="9">
        <f>IF('Upto Month COPPY'!$D$48="",0,'Upto Month COPPY'!$D$48)</f>
        <v>0</v>
      </c>
      <c r="AC29" s="10">
        <f>IF('Upto Month COPPY'!$D$51="",0,'Upto Month COPPY'!$D$51)</f>
        <v>-2394</v>
      </c>
      <c r="AD29" s="123">
        <f>SUM(C29:AC29)</f>
        <v>67225</v>
      </c>
      <c r="AE29" s="9">
        <f>IF('Upto Month COPPY'!$D$19="",0,'Upto Month COPPY'!$D$19)</f>
        <v>0</v>
      </c>
      <c r="AF29" s="9">
        <f>IF('Upto Month COPPY'!$D$20="",0,'Upto Month COPPY'!$D$20)</f>
        <v>108</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48984</v>
      </c>
      <c r="AL29" s="9">
        <f>IF('Upto Month COPPY'!$D$29="",0,'Upto Month COPPY'!$D$29)</f>
        <v>10399</v>
      </c>
      <c r="AM29" s="9">
        <f>IF('Upto Month COPPY'!$D$31="",0,'Upto Month COPPY'!$D$31)</f>
        <v>0</v>
      </c>
      <c r="AN29" s="9">
        <f>IF('Upto Month COPPY'!$D$32="",0,'Upto Month COPPY'!$D$32)</f>
        <v>0</v>
      </c>
      <c r="AO29" s="9">
        <f>IF('Upto Month COPPY'!$D$33="",0,'Upto Month COPPY'!$D$33)</f>
        <v>97</v>
      </c>
      <c r="AP29" s="275">
        <f>IF('Upto Month COPPY'!$D$34="",0,'Upto Month COPPY'!$D$34)</f>
        <v>-762</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-1847</v>
      </c>
      <c r="BC29" s="9">
        <f>IF('Upto Month COPPY'!$D$53="",0,'Upto Month COPPY'!$D$53)</f>
        <v>677</v>
      </c>
      <c r="BD29" s="9">
        <f>IF('Upto Month COPPY'!$D$54="",0,'Upto Month COPPY'!$D$54)</f>
        <v>677</v>
      </c>
      <c r="BE29" s="9">
        <f>IF('Upto Month COPPY'!$D$55="",0,'Upto Month COPPY'!$D$55)</f>
        <v>0</v>
      </c>
      <c r="BF29" s="9">
        <f>IF('Upto Month COPPY'!$D$56="",0,'Upto Month COPPY'!$D$56)</f>
        <v>308</v>
      </c>
      <c r="BG29" s="9">
        <f>IF('Upto Month COPPY'!$D$58="",0,'Upto Month COPPY'!$D$58)</f>
        <v>32</v>
      </c>
      <c r="BH29" s="9">
        <f>SUM(AE29:BG29)</f>
        <v>58673</v>
      </c>
      <c r="BI29" s="127">
        <f>AD29+BH29</f>
        <v>125898</v>
      </c>
      <c r="BJ29" s="9">
        <f>IF('Upto Month COPPY'!$D$60="",0,'Upto Month COPPY'!$D$60)</f>
        <v>0</v>
      </c>
      <c r="BK29" s="51">
        <f>BI29-BJ29</f>
        <v>125898</v>
      </c>
      <c r="BL29">
        <f>'Upto Month COPPY'!$D$61</f>
        <v>125899</v>
      </c>
      <c r="BM29" s="30">
        <f>BK29-AD29</f>
        <v>58673</v>
      </c>
    </row>
    <row r="30" spans="1:65" ht="17.25" customHeight="1">
      <c r="A30" s="130"/>
      <c r="B30" s="183" t="s">
        <v>319</v>
      </c>
      <c r="C30" s="9">
        <f>IF('Upto Month Current'!$D$4="",0,'Upto Month Current'!$D$4)</f>
        <v>37969</v>
      </c>
      <c r="D30" s="9">
        <f>IF('Upto Month Current'!$D$5="",0,'Upto Month Current'!$D$5)</f>
        <v>23511</v>
      </c>
      <c r="E30" s="9">
        <f>IF('Upto Month Current'!$D$6="",0,'Upto Month Current'!$D$6)</f>
        <v>0</v>
      </c>
      <c r="F30" s="9">
        <f>IF('Upto Month Current'!$D$7="",0,'Upto Month Current'!$D$7)</f>
        <v>3928</v>
      </c>
      <c r="G30" s="9">
        <f>IF('Upto Month Current'!$D$8="",0,'Upto Month Current'!$D$8)</f>
        <v>5977</v>
      </c>
      <c r="H30" s="9">
        <f>IF('Upto Month Current'!$D$9="",0,'Upto Month Current'!$D$9)</f>
        <v>0</v>
      </c>
      <c r="I30" s="9">
        <f>IF('Upto Month Current'!$D$10="",0,'Upto Month Current'!$D$10)</f>
        <v>0</v>
      </c>
      <c r="J30" s="9">
        <f>IF('Upto Month Current'!$D$11="",0,'Upto Month Current'!$D$11)</f>
        <v>0</v>
      </c>
      <c r="K30" s="9">
        <f>IF('Upto Month Current'!$D$12="",0,'Upto Month Current'!$D$12)</f>
        <v>221</v>
      </c>
      <c r="L30" s="9">
        <f>IF('Upto Month Current'!$D$13="",0,'Upto Month Current'!$D$13)</f>
        <v>1077</v>
      </c>
      <c r="M30" s="9">
        <f>IF('Upto Month Current'!$D$14="",0,'Upto Month Current'!$D$14)</f>
        <v>343</v>
      </c>
      <c r="N30" s="9">
        <f>IF('Upto Month Current'!$D$15="",0,'Upto Month Current'!$D$15)</f>
        <v>0</v>
      </c>
      <c r="O30" s="9">
        <f>IF('Upto Month Current'!$D$16="",0,'Upto Month Current'!$D$16)</f>
        <v>221</v>
      </c>
      <c r="P30" s="9">
        <f>IF('Upto Month Current'!$D$17="",0,'Upto Month Current'!$D$17)</f>
        <v>854</v>
      </c>
      <c r="Q30" s="9">
        <f>IF('Upto Month Current'!$D$18="",0,'Upto Month Current'!$D$18)</f>
        <v>0</v>
      </c>
      <c r="R30" s="9">
        <f>IF('Upto Month Current'!$D$21="",0,'Upto Month Current'!$D$21)</f>
        <v>232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209</v>
      </c>
      <c r="Z30" s="9">
        <f>IF('Upto Month Current'!$D$43="",0,'Upto Month Current'!$D$43)</f>
        <v>84</v>
      </c>
      <c r="AA30" s="9">
        <f>IF('Upto Month Current'!$D$44="",0,'Upto Month Current'!$D$44)</f>
        <v>27</v>
      </c>
      <c r="AB30" s="9">
        <f>IF('Upto Month Current'!$D$48="",0,'Upto Month Current'!$D$48)</f>
        <v>0</v>
      </c>
      <c r="AC30" s="10">
        <f>IF('Upto Month Current'!$D$51="",0,'Upto Month Current'!$D$51)</f>
        <v>0</v>
      </c>
      <c r="AD30" s="123">
        <f>SUM(C30:AC30)</f>
        <v>74653</v>
      </c>
      <c r="AE30" s="9">
        <f>IF('Upto Month Current'!$D$19="",0,'Upto Month Current'!$D$19)</f>
        <v>0</v>
      </c>
      <c r="AF30" s="9">
        <f>IF('Upto Month Current'!$D$20="",0,'Upto Month Current'!$D$20)</f>
        <v>138</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22314</v>
      </c>
      <c r="AL30" s="9">
        <f>IF('Upto Month Current'!$D$29="",0,'Upto Month Current'!$D$29)</f>
        <v>9990</v>
      </c>
      <c r="AM30" s="9">
        <f>IF('Upto Month Current'!$D$31="",0,'Upto Month Current'!$D$31)</f>
        <v>0</v>
      </c>
      <c r="AN30" s="9">
        <f>IF('Upto Month Current'!$D$32="",0,'Upto Month Current'!$D$32)</f>
        <v>0</v>
      </c>
      <c r="AO30" s="9">
        <f>IF('Upto Month Current'!$D$33="",0,'Upto Month Current'!$D$33)</f>
        <v>1877</v>
      </c>
      <c r="AP30" s="275">
        <f>IF('Upto Month Current'!$D$34="",0,'Upto Month Current'!$D$34)</f>
        <v>-558</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-10232</v>
      </c>
      <c r="BC30" s="9">
        <f>IF('Upto Month Current'!$D$53="",0,'Upto Month Current'!$D$53)</f>
        <v>255</v>
      </c>
      <c r="BD30" s="9">
        <f>IF('Upto Month Current'!$D$54="",0,'Upto Month Current'!$D$54)</f>
        <v>255</v>
      </c>
      <c r="BE30" s="9">
        <f>IF('Upto Month Current'!$D$55="",0,'Upto Month Current'!$D$55)</f>
        <v>0</v>
      </c>
      <c r="BF30" s="9">
        <f>IF('Upto Month Current'!$D$56="",0,'Upto Month Current'!$D$56)</f>
        <v>1078</v>
      </c>
      <c r="BG30" s="9">
        <f>IF('Upto Month Current'!$D$58="",0,'Upto Month Current'!$D$58)</f>
        <v>12</v>
      </c>
      <c r="BH30" s="9">
        <f>SUM(AE30:BG30)</f>
        <v>25129</v>
      </c>
      <c r="BI30" s="127">
        <f>AD30+BH30</f>
        <v>99782</v>
      </c>
      <c r="BJ30" s="9">
        <f>IF('Upto Month Current'!$D$60="",0,'Upto Month Current'!$D$60)</f>
        <v>0</v>
      </c>
      <c r="BK30" s="51">
        <f>BI30-BJ30</f>
        <v>99782</v>
      </c>
      <c r="BL30">
        <f>'Upto Month Current'!$D$61</f>
        <v>99784</v>
      </c>
      <c r="BM30" s="30">
        <f>BK30-AD30</f>
        <v>25129</v>
      </c>
    </row>
    <row r="31" spans="1:65" ht="15.75">
      <c r="A31" s="130"/>
      <c r="B31" s="5" t="s">
        <v>124</v>
      </c>
      <c r="C31" s="11">
        <f t="shared" ref="C31:AH31" si="16">C30-C28</f>
        <v>-7257</v>
      </c>
      <c r="D31" s="11">
        <f t="shared" si="16"/>
        <v>-3316</v>
      </c>
      <c r="E31" s="11">
        <f t="shared" si="16"/>
        <v>0</v>
      </c>
      <c r="F31" s="11">
        <f t="shared" si="16"/>
        <v>-1917</v>
      </c>
      <c r="G31" s="11">
        <f t="shared" si="16"/>
        <v>-106</v>
      </c>
      <c r="H31" s="11">
        <f t="shared" si="16"/>
        <v>0</v>
      </c>
      <c r="I31" s="11">
        <f t="shared" si="16"/>
        <v>0</v>
      </c>
      <c r="J31" s="11">
        <f t="shared" si="16"/>
        <v>0</v>
      </c>
      <c r="K31" s="11">
        <f t="shared" si="16"/>
        <v>-66</v>
      </c>
      <c r="L31" s="11">
        <f t="shared" si="16"/>
        <v>419</v>
      </c>
      <c r="M31" s="11">
        <f t="shared" si="16"/>
        <v>-687</v>
      </c>
      <c r="N31" s="11">
        <f t="shared" si="16"/>
        <v>-5</v>
      </c>
      <c r="O31" s="11">
        <f t="shared" si="16"/>
        <v>48</v>
      </c>
      <c r="P31" s="11">
        <f t="shared" si="16"/>
        <v>156</v>
      </c>
      <c r="Q31" s="11">
        <f t="shared" si="16"/>
        <v>0</v>
      </c>
      <c r="R31" s="11">
        <f t="shared" si="16"/>
        <v>65</v>
      </c>
      <c r="S31" s="11">
        <f t="shared" si="16"/>
        <v>0</v>
      </c>
      <c r="T31" s="11">
        <f t="shared" si="16"/>
        <v>0</v>
      </c>
      <c r="U31" s="11">
        <f t="shared" si="16"/>
        <v>0</v>
      </c>
      <c r="V31" s="9">
        <f t="shared" si="16"/>
        <v>0</v>
      </c>
      <c r="W31" s="11">
        <f t="shared" si="16"/>
        <v>0</v>
      </c>
      <c r="X31" s="11">
        <f t="shared" si="16"/>
        <v>0</v>
      </c>
      <c r="Y31" s="11">
        <f t="shared" si="16"/>
        <v>71</v>
      </c>
      <c r="Z31" s="11">
        <f t="shared" si="16"/>
        <v>-62</v>
      </c>
      <c r="AA31" s="11">
        <f t="shared" si="16"/>
        <v>-7</v>
      </c>
      <c r="AB31" s="11">
        <f t="shared" si="16"/>
        <v>0</v>
      </c>
      <c r="AC31" s="10">
        <f t="shared" si="16"/>
        <v>4651</v>
      </c>
      <c r="AD31" s="11">
        <f t="shared" si="16"/>
        <v>-8013</v>
      </c>
      <c r="AE31" s="11">
        <f t="shared" si="16"/>
        <v>0</v>
      </c>
      <c r="AF31" s="11">
        <f t="shared" si="16"/>
        <v>51</v>
      </c>
      <c r="AG31" s="11">
        <f t="shared" si="16"/>
        <v>0</v>
      </c>
      <c r="AH31" s="11">
        <f t="shared" si="16"/>
        <v>0</v>
      </c>
      <c r="AI31" s="11">
        <f t="shared" ref="AI31:BK31" si="17">AI30-AI28</f>
        <v>0</v>
      </c>
      <c r="AJ31" s="11">
        <f t="shared" si="17"/>
        <v>0</v>
      </c>
      <c r="AK31" s="11">
        <f t="shared" si="17"/>
        <v>-24598</v>
      </c>
      <c r="AL31" s="11">
        <f t="shared" si="17"/>
        <v>5859</v>
      </c>
      <c r="AM31" s="11">
        <f t="shared" si="17"/>
        <v>0</v>
      </c>
      <c r="AN31" s="11">
        <f t="shared" si="17"/>
        <v>0</v>
      </c>
      <c r="AO31" s="9">
        <f t="shared" si="17"/>
        <v>-2649</v>
      </c>
      <c r="AP31" s="276">
        <f t="shared" si="17"/>
        <v>27972</v>
      </c>
      <c r="AQ31" s="10">
        <f t="shared" si="17"/>
        <v>0</v>
      </c>
      <c r="AR31" s="11">
        <f t="shared" si="17"/>
        <v>0</v>
      </c>
      <c r="AS31" s="11">
        <f t="shared" si="17"/>
        <v>0</v>
      </c>
      <c r="AT31" s="11">
        <f t="shared" si="17"/>
        <v>0</v>
      </c>
      <c r="AU31" s="11">
        <f t="shared" si="17"/>
        <v>0</v>
      </c>
      <c r="AV31" s="11">
        <f t="shared" si="17"/>
        <v>0</v>
      </c>
      <c r="AW31" s="11">
        <f t="shared" si="17"/>
        <v>0</v>
      </c>
      <c r="AX31" s="11">
        <f t="shared" si="17"/>
        <v>0</v>
      </c>
      <c r="AY31" s="11">
        <f t="shared" si="17"/>
        <v>0</v>
      </c>
      <c r="AZ31" s="11">
        <f t="shared" si="17"/>
        <v>0</v>
      </c>
      <c r="BA31" s="11">
        <f t="shared" si="17"/>
        <v>0</v>
      </c>
      <c r="BB31" s="10">
        <f t="shared" si="17"/>
        <v>766</v>
      </c>
      <c r="BC31" s="11">
        <f t="shared" si="17"/>
        <v>-568</v>
      </c>
      <c r="BD31" s="11">
        <f t="shared" si="17"/>
        <v>-568</v>
      </c>
      <c r="BE31" s="11">
        <f t="shared" si="17"/>
        <v>0</v>
      </c>
      <c r="BF31" s="11">
        <f t="shared" si="17"/>
        <v>348</v>
      </c>
      <c r="BG31" s="11">
        <f t="shared" si="17"/>
        <v>-49</v>
      </c>
      <c r="BH31" s="9">
        <f t="shared" si="17"/>
        <v>6564</v>
      </c>
      <c r="BI31" s="45">
        <f t="shared" si="17"/>
        <v>-1449</v>
      </c>
      <c r="BJ31" s="11">
        <f t="shared" si="17"/>
        <v>0</v>
      </c>
      <c r="BK31" s="51">
        <f t="shared" si="17"/>
        <v>-1449</v>
      </c>
      <c r="BM31" s="30">
        <f>BK31-AD31</f>
        <v>6564</v>
      </c>
    </row>
    <row r="32" spans="1:65" ht="15.75">
      <c r="A32" s="130"/>
      <c r="B32" s="5" t="s">
        <v>125</v>
      </c>
      <c r="C32" s="13">
        <f t="shared" ref="C32:AH32" si="18">C31/C28</f>
        <v>-0.16046079688674655</v>
      </c>
      <c r="D32" s="13">
        <f t="shared" si="18"/>
        <v>-0.12360681403064078</v>
      </c>
      <c r="E32" s="13" t="e">
        <f t="shared" si="18"/>
        <v>#DIV/0!</v>
      </c>
      <c r="F32" s="13">
        <f t="shared" si="18"/>
        <v>-0.32797262617621897</v>
      </c>
      <c r="G32" s="13">
        <f t="shared" si="18"/>
        <v>-1.7425612362321222E-2</v>
      </c>
      <c r="H32" s="13" t="e">
        <f t="shared" si="18"/>
        <v>#DIV/0!</v>
      </c>
      <c r="I32" s="13" t="e">
        <f t="shared" si="18"/>
        <v>#DIV/0!</v>
      </c>
      <c r="J32" s="13" t="e">
        <f t="shared" si="18"/>
        <v>#DIV/0!</v>
      </c>
      <c r="K32" s="13">
        <f t="shared" si="18"/>
        <v>-0.22996515679442509</v>
      </c>
      <c r="L32" s="13">
        <f t="shared" si="18"/>
        <v>0.63677811550151975</v>
      </c>
      <c r="M32" s="13">
        <f t="shared" si="18"/>
        <v>-0.66699029126213594</v>
      </c>
      <c r="N32" s="13">
        <f t="shared" si="18"/>
        <v>-1</v>
      </c>
      <c r="O32" s="13">
        <f t="shared" si="18"/>
        <v>0.2774566473988439</v>
      </c>
      <c r="P32" s="13">
        <f t="shared" si="18"/>
        <v>0.22349570200573066</v>
      </c>
      <c r="Q32" s="13" t="e">
        <f t="shared" si="18"/>
        <v>#DIV/0!</v>
      </c>
      <c r="R32" s="13">
        <f t="shared" si="18"/>
        <v>0.38922155688622756</v>
      </c>
      <c r="S32" s="13" t="e">
        <f t="shared" si="18"/>
        <v>#DIV/0!</v>
      </c>
      <c r="T32" s="13" t="e">
        <f t="shared" si="18"/>
        <v>#DIV/0!</v>
      </c>
      <c r="U32" s="13" t="e">
        <f t="shared" si="18"/>
        <v>#DIV/0!</v>
      </c>
      <c r="V32" s="163" t="e">
        <f t="shared" si="18"/>
        <v>#DIV/0!</v>
      </c>
      <c r="W32" s="13" t="e">
        <f t="shared" si="18"/>
        <v>#DIV/0!</v>
      </c>
      <c r="X32" s="13" t="e">
        <f t="shared" si="18"/>
        <v>#DIV/0!</v>
      </c>
      <c r="Y32" s="13">
        <f t="shared" si="18"/>
        <v>0.51449275362318836</v>
      </c>
      <c r="Z32" s="13">
        <f t="shared" si="18"/>
        <v>-0.42465753424657532</v>
      </c>
      <c r="AA32" s="13">
        <f t="shared" si="18"/>
        <v>-0.20588235294117646</v>
      </c>
      <c r="AB32" s="13" t="e">
        <f t="shared" si="18"/>
        <v>#DIV/0!</v>
      </c>
      <c r="AC32" s="14">
        <f t="shared" si="18"/>
        <v>-1</v>
      </c>
      <c r="AD32" s="13">
        <f t="shared" si="18"/>
        <v>-9.6932233324462297E-2</v>
      </c>
      <c r="AE32" s="13" t="e">
        <f t="shared" si="18"/>
        <v>#DIV/0!</v>
      </c>
      <c r="AF32" s="13">
        <f t="shared" si="18"/>
        <v>0.58620689655172409</v>
      </c>
      <c r="AG32" s="13" t="e">
        <f t="shared" si="18"/>
        <v>#DIV/0!</v>
      </c>
      <c r="AH32" s="13" t="e">
        <f t="shared" si="18"/>
        <v>#DIV/0!</v>
      </c>
      <c r="AI32" s="13" t="e">
        <f t="shared" ref="AI32:BK32" si="19">AI31/AI28</f>
        <v>#DIV/0!</v>
      </c>
      <c r="AJ32" s="13" t="e">
        <f t="shared" si="19"/>
        <v>#DIV/0!</v>
      </c>
      <c r="AK32" s="13">
        <f t="shared" si="19"/>
        <v>-0.52434345156889495</v>
      </c>
      <c r="AL32" s="13">
        <f t="shared" si="19"/>
        <v>1.4183006535947713</v>
      </c>
      <c r="AM32" s="13" t="e">
        <f t="shared" si="19"/>
        <v>#DIV/0!</v>
      </c>
      <c r="AN32" s="13" t="e">
        <f t="shared" si="19"/>
        <v>#DIV/0!</v>
      </c>
      <c r="AO32" s="163">
        <f t="shared" si="19"/>
        <v>-0.58528501988510828</v>
      </c>
      <c r="AP32" s="277">
        <f t="shared" si="19"/>
        <v>-0.98044164037854886</v>
      </c>
      <c r="AQ32" s="14" t="e">
        <f t="shared" si="19"/>
        <v>#DIV/0!</v>
      </c>
      <c r="AR32" s="13" t="e">
        <f t="shared" si="19"/>
        <v>#DIV/0!</v>
      </c>
      <c r="AS32" s="13" t="e">
        <f t="shared" si="19"/>
        <v>#DIV/0!</v>
      </c>
      <c r="AT32" s="13" t="e">
        <f t="shared" si="19"/>
        <v>#DIV/0!</v>
      </c>
      <c r="AU32" s="13" t="e">
        <f t="shared" si="19"/>
        <v>#DIV/0!</v>
      </c>
      <c r="AV32" s="13" t="e">
        <f t="shared" si="19"/>
        <v>#DIV/0!</v>
      </c>
      <c r="AW32" s="13" t="e">
        <f t="shared" si="19"/>
        <v>#DIV/0!</v>
      </c>
      <c r="AX32" s="13" t="e">
        <f t="shared" si="19"/>
        <v>#DIV/0!</v>
      </c>
      <c r="AY32" s="13" t="e">
        <f t="shared" si="19"/>
        <v>#DIV/0!</v>
      </c>
      <c r="AZ32" s="13" t="e">
        <f t="shared" si="19"/>
        <v>#DIV/0!</v>
      </c>
      <c r="BA32" s="13" t="e">
        <f t="shared" si="19"/>
        <v>#DIV/0!</v>
      </c>
      <c r="BB32" s="14">
        <f t="shared" si="19"/>
        <v>-6.9649027095835606E-2</v>
      </c>
      <c r="BC32" s="13">
        <f t="shared" si="19"/>
        <v>-0.69015795868772778</v>
      </c>
      <c r="BD32" s="13">
        <f t="shared" si="19"/>
        <v>-0.69015795868772778</v>
      </c>
      <c r="BE32" s="13" t="e">
        <f t="shared" si="19"/>
        <v>#DIV/0!</v>
      </c>
      <c r="BF32" s="13">
        <f t="shared" si="19"/>
        <v>0.47671232876712327</v>
      </c>
      <c r="BG32" s="13">
        <f t="shared" si="19"/>
        <v>-0.80327868852459017</v>
      </c>
      <c r="BH32" s="163">
        <f t="shared" si="19"/>
        <v>0.35356854295717749</v>
      </c>
      <c r="BI32" s="46">
        <f t="shared" si="19"/>
        <v>-1.4313797156997363E-2</v>
      </c>
      <c r="BJ32" s="13" t="e">
        <f t="shared" si="19"/>
        <v>#DIV/0!</v>
      </c>
      <c r="BK32" s="52">
        <f t="shared" si="19"/>
        <v>-1.4313797156997363E-2</v>
      </c>
      <c r="BM32" s="163">
        <f>BM31/BM28</f>
        <v>0.35356854295717749</v>
      </c>
    </row>
    <row r="33" spans="1:65" ht="15.75">
      <c r="A33" s="130"/>
      <c r="B33" s="5" t="s">
        <v>126</v>
      </c>
      <c r="C33" s="11">
        <f>C30-C29</f>
        <v>1022</v>
      </c>
      <c r="D33" s="11">
        <f t="shared" ref="D33:BK33" si="20">D30-D29</f>
        <v>3469</v>
      </c>
      <c r="E33" s="11">
        <f t="shared" si="20"/>
        <v>-3</v>
      </c>
      <c r="F33" s="11">
        <f t="shared" si="20"/>
        <v>5</v>
      </c>
      <c r="G33" s="11">
        <f t="shared" si="20"/>
        <v>915</v>
      </c>
      <c r="H33" s="11">
        <f t="shared" si="20"/>
        <v>0</v>
      </c>
      <c r="I33" s="11">
        <f t="shared" si="20"/>
        <v>0</v>
      </c>
      <c r="J33" s="11">
        <f t="shared" si="20"/>
        <v>0</v>
      </c>
      <c r="K33" s="11">
        <f t="shared" si="20"/>
        <v>41</v>
      </c>
      <c r="L33" s="11">
        <f t="shared" si="20"/>
        <v>-52</v>
      </c>
      <c r="M33" s="11">
        <f t="shared" si="20"/>
        <v>-104</v>
      </c>
      <c r="N33" s="11">
        <f t="shared" si="20"/>
        <v>-7</v>
      </c>
      <c r="O33" s="11">
        <f t="shared" si="20"/>
        <v>116</v>
      </c>
      <c r="P33" s="11">
        <f t="shared" si="20"/>
        <v>-594</v>
      </c>
      <c r="Q33" s="11">
        <f t="shared" si="20"/>
        <v>0</v>
      </c>
      <c r="R33" s="11">
        <f t="shared" si="20"/>
        <v>-51</v>
      </c>
      <c r="S33" s="11">
        <f t="shared" si="20"/>
        <v>0</v>
      </c>
      <c r="T33" s="11">
        <f t="shared" si="20"/>
        <v>0</v>
      </c>
      <c r="U33" s="11">
        <f>U30-U29</f>
        <v>0</v>
      </c>
      <c r="V33" s="9">
        <f t="shared" si="20"/>
        <v>0</v>
      </c>
      <c r="W33" s="11">
        <f t="shared" si="20"/>
        <v>0</v>
      </c>
      <c r="X33" s="11">
        <f t="shared" si="20"/>
        <v>0</v>
      </c>
      <c r="Y33" s="11">
        <f t="shared" si="20"/>
        <v>209</v>
      </c>
      <c r="Z33" s="11">
        <f t="shared" si="20"/>
        <v>84</v>
      </c>
      <c r="AA33" s="11">
        <f t="shared" si="20"/>
        <v>-16</v>
      </c>
      <c r="AB33" s="11">
        <f>AB30-AB29</f>
        <v>0</v>
      </c>
      <c r="AC33" s="10">
        <f>AC30-AC29</f>
        <v>2394</v>
      </c>
      <c r="AD33" s="11">
        <f>AD30-AD29</f>
        <v>7428</v>
      </c>
      <c r="AE33" s="11">
        <f t="shared" si="20"/>
        <v>0</v>
      </c>
      <c r="AF33" s="11">
        <f t="shared" si="20"/>
        <v>30</v>
      </c>
      <c r="AG33" s="11">
        <f t="shared" si="20"/>
        <v>0</v>
      </c>
      <c r="AH33" s="11">
        <f t="shared" si="20"/>
        <v>0</v>
      </c>
      <c r="AI33" s="11">
        <f t="shared" si="20"/>
        <v>0</v>
      </c>
      <c r="AJ33" s="11">
        <f t="shared" si="20"/>
        <v>0</v>
      </c>
      <c r="AK33" s="11">
        <f t="shared" si="20"/>
        <v>-26670</v>
      </c>
      <c r="AL33" s="11">
        <f t="shared" si="20"/>
        <v>-409</v>
      </c>
      <c r="AM33" s="11">
        <f t="shared" si="20"/>
        <v>0</v>
      </c>
      <c r="AN33" s="11">
        <f t="shared" si="20"/>
        <v>0</v>
      </c>
      <c r="AO33" s="9">
        <f t="shared" si="20"/>
        <v>1780</v>
      </c>
      <c r="AP33" s="276">
        <f t="shared" si="20"/>
        <v>204</v>
      </c>
      <c r="AQ33" s="10">
        <f t="shared" si="20"/>
        <v>0</v>
      </c>
      <c r="AR33" s="11">
        <f t="shared" si="20"/>
        <v>0</v>
      </c>
      <c r="AS33" s="11">
        <f t="shared" si="20"/>
        <v>0</v>
      </c>
      <c r="AT33" s="11">
        <f t="shared" si="20"/>
        <v>0</v>
      </c>
      <c r="AU33" s="11">
        <f t="shared" si="20"/>
        <v>0</v>
      </c>
      <c r="AV33" s="11">
        <f t="shared" si="20"/>
        <v>0</v>
      </c>
      <c r="AW33" s="11">
        <f t="shared" si="20"/>
        <v>0</v>
      </c>
      <c r="AX33" s="11">
        <f t="shared" si="20"/>
        <v>0</v>
      </c>
      <c r="AY33" s="11">
        <f t="shared" si="20"/>
        <v>0</v>
      </c>
      <c r="AZ33" s="11">
        <f t="shared" si="20"/>
        <v>0</v>
      </c>
      <c r="BA33" s="11">
        <f t="shared" si="20"/>
        <v>0</v>
      </c>
      <c r="BB33" s="10">
        <f t="shared" si="20"/>
        <v>-8385</v>
      </c>
      <c r="BC33" s="11">
        <f t="shared" si="20"/>
        <v>-422</v>
      </c>
      <c r="BD33" s="11">
        <f t="shared" si="20"/>
        <v>-422</v>
      </c>
      <c r="BE33" s="11">
        <f t="shared" si="20"/>
        <v>0</v>
      </c>
      <c r="BF33" s="11">
        <f t="shared" si="20"/>
        <v>770</v>
      </c>
      <c r="BG33" s="11">
        <f t="shared" si="20"/>
        <v>-20</v>
      </c>
      <c r="BH33" s="9">
        <f t="shared" si="20"/>
        <v>-33544</v>
      </c>
      <c r="BI33" s="45">
        <f t="shared" si="20"/>
        <v>-26116</v>
      </c>
      <c r="BJ33" s="11">
        <f t="shared" si="20"/>
        <v>0</v>
      </c>
      <c r="BK33" s="51">
        <f t="shared" si="20"/>
        <v>-26116</v>
      </c>
      <c r="BM33" s="30">
        <f>BK33-AD33</f>
        <v>-33544</v>
      </c>
    </row>
    <row r="34" spans="1:65" ht="15.75">
      <c r="A34" s="130"/>
      <c r="B34" s="5" t="s">
        <v>127</v>
      </c>
      <c r="C34" s="13">
        <f t="shared" ref="C34:AH34" si="21">C33/C29</f>
        <v>2.7661244485343871E-2</v>
      </c>
      <c r="D34" s="13">
        <f t="shared" si="21"/>
        <v>0.17308651831154576</v>
      </c>
      <c r="E34" s="13">
        <f t="shared" si="21"/>
        <v>-1</v>
      </c>
      <c r="F34" s="13">
        <f t="shared" si="21"/>
        <v>1.2745347947998981E-3</v>
      </c>
      <c r="G34" s="13">
        <f t="shared" si="21"/>
        <v>0.18075859344132753</v>
      </c>
      <c r="H34" s="13" t="e">
        <f t="shared" si="21"/>
        <v>#DIV/0!</v>
      </c>
      <c r="I34" s="13" t="e">
        <f t="shared" si="21"/>
        <v>#DIV/0!</v>
      </c>
      <c r="J34" s="13" t="e">
        <f t="shared" si="21"/>
        <v>#DIV/0!</v>
      </c>
      <c r="K34" s="13">
        <f t="shared" si="21"/>
        <v>0.22777777777777777</v>
      </c>
      <c r="L34" s="13">
        <f t="shared" si="21"/>
        <v>-4.6058458813108945E-2</v>
      </c>
      <c r="M34" s="13">
        <f t="shared" si="21"/>
        <v>-0.23266219239373601</v>
      </c>
      <c r="N34" s="13">
        <f t="shared" si="21"/>
        <v>-1</v>
      </c>
      <c r="O34" s="13">
        <f t="shared" si="21"/>
        <v>1.1047619047619048</v>
      </c>
      <c r="P34" s="13">
        <f t="shared" si="21"/>
        <v>-0.4102209944751381</v>
      </c>
      <c r="Q34" s="13" t="e">
        <f t="shared" si="21"/>
        <v>#DIV/0!</v>
      </c>
      <c r="R34" s="13">
        <f t="shared" si="21"/>
        <v>-0.18021201413427562</v>
      </c>
      <c r="S34" s="13" t="e">
        <f t="shared" si="21"/>
        <v>#DIV/0!</v>
      </c>
      <c r="T34" s="13" t="e">
        <f t="shared" si="21"/>
        <v>#DIV/0!</v>
      </c>
      <c r="U34" s="13" t="e">
        <f t="shared" si="21"/>
        <v>#DIV/0!</v>
      </c>
      <c r="V34" s="163" t="e">
        <f t="shared" si="21"/>
        <v>#DIV/0!</v>
      </c>
      <c r="W34" s="13" t="e">
        <f t="shared" si="21"/>
        <v>#DIV/0!</v>
      </c>
      <c r="X34" s="13" t="e">
        <f t="shared" si="21"/>
        <v>#DIV/0!</v>
      </c>
      <c r="Y34" s="13" t="e">
        <f t="shared" si="21"/>
        <v>#DIV/0!</v>
      </c>
      <c r="Z34" s="13" t="e">
        <f t="shared" si="21"/>
        <v>#DIV/0!</v>
      </c>
      <c r="AA34" s="13">
        <f t="shared" si="21"/>
        <v>-0.37209302325581395</v>
      </c>
      <c r="AB34" s="13" t="e">
        <f t="shared" si="21"/>
        <v>#DIV/0!</v>
      </c>
      <c r="AC34" s="14">
        <f t="shared" si="21"/>
        <v>-1</v>
      </c>
      <c r="AD34" s="13">
        <f t="shared" si="21"/>
        <v>0.11049460766084046</v>
      </c>
      <c r="AE34" s="13" t="e">
        <f t="shared" si="21"/>
        <v>#DIV/0!</v>
      </c>
      <c r="AF34" s="13">
        <f t="shared" si="21"/>
        <v>0.27777777777777779</v>
      </c>
      <c r="AG34" s="13" t="e">
        <f t="shared" si="21"/>
        <v>#DIV/0!</v>
      </c>
      <c r="AH34" s="13" t="e">
        <f t="shared" si="21"/>
        <v>#DIV/0!</v>
      </c>
      <c r="AI34" s="13" t="e">
        <f t="shared" ref="AI34:BK34" si="22">AI33/AI29</f>
        <v>#DIV/0!</v>
      </c>
      <c r="AJ34" s="13" t="e">
        <f t="shared" si="22"/>
        <v>#DIV/0!</v>
      </c>
      <c r="AK34" s="13">
        <f t="shared" si="22"/>
        <v>-0.54446349828515439</v>
      </c>
      <c r="AL34" s="13">
        <f t="shared" si="22"/>
        <v>-3.9330704875468796E-2</v>
      </c>
      <c r="AM34" s="13" t="e">
        <f t="shared" si="22"/>
        <v>#DIV/0!</v>
      </c>
      <c r="AN34" s="13" t="e">
        <f t="shared" si="22"/>
        <v>#DIV/0!</v>
      </c>
      <c r="AO34" s="163">
        <f t="shared" si="22"/>
        <v>18.350515463917525</v>
      </c>
      <c r="AP34" s="277">
        <f t="shared" si="22"/>
        <v>-0.26771653543307089</v>
      </c>
      <c r="AQ34" s="14" t="e">
        <f t="shared" si="22"/>
        <v>#DIV/0!</v>
      </c>
      <c r="AR34" s="13" t="e">
        <f t="shared" si="22"/>
        <v>#DIV/0!</v>
      </c>
      <c r="AS34" s="13" t="e">
        <f t="shared" si="22"/>
        <v>#DIV/0!</v>
      </c>
      <c r="AT34" s="13" t="e">
        <f t="shared" si="22"/>
        <v>#DIV/0!</v>
      </c>
      <c r="AU34" s="13" t="e">
        <f t="shared" si="22"/>
        <v>#DIV/0!</v>
      </c>
      <c r="AV34" s="13" t="e">
        <f t="shared" si="22"/>
        <v>#DIV/0!</v>
      </c>
      <c r="AW34" s="13" t="e">
        <f t="shared" si="22"/>
        <v>#DIV/0!</v>
      </c>
      <c r="AX34" s="13" t="e">
        <f t="shared" si="22"/>
        <v>#DIV/0!</v>
      </c>
      <c r="AY34" s="13" t="e">
        <f t="shared" si="22"/>
        <v>#DIV/0!</v>
      </c>
      <c r="AZ34" s="13" t="e">
        <f t="shared" si="22"/>
        <v>#DIV/0!</v>
      </c>
      <c r="BA34" s="13" t="e">
        <f t="shared" si="22"/>
        <v>#DIV/0!</v>
      </c>
      <c r="BB34" s="14">
        <f t="shared" si="22"/>
        <v>4.539794260963725</v>
      </c>
      <c r="BC34" s="13">
        <f t="shared" si="22"/>
        <v>-0.62333825701624812</v>
      </c>
      <c r="BD34" s="13">
        <f t="shared" si="22"/>
        <v>-0.62333825701624812</v>
      </c>
      <c r="BE34" s="13" t="e">
        <f t="shared" si="22"/>
        <v>#DIV/0!</v>
      </c>
      <c r="BF34" s="13">
        <f t="shared" si="22"/>
        <v>2.5</v>
      </c>
      <c r="BG34" s="13">
        <f t="shared" si="22"/>
        <v>-0.625</v>
      </c>
      <c r="BH34" s="163">
        <f t="shared" si="22"/>
        <v>-0.57171100847067646</v>
      </c>
      <c r="BI34" s="46">
        <f t="shared" si="22"/>
        <v>-0.20743776708128803</v>
      </c>
      <c r="BJ34" s="13" t="e">
        <f t="shared" si="22"/>
        <v>#DIV/0!</v>
      </c>
      <c r="BK34" s="52">
        <f t="shared" si="22"/>
        <v>-0.20743776708128803</v>
      </c>
      <c r="BM34" s="14">
        <f>BM33/BM29</f>
        <v>-0.57171100847067646</v>
      </c>
    </row>
    <row r="35" spans="1:65" ht="15.75">
      <c r="A35" s="130"/>
      <c r="B35" s="5" t="s">
        <v>323</v>
      </c>
      <c r="C35" s="128">
        <f>C30/C27</f>
        <v>0.15951216643140417</v>
      </c>
      <c r="D35" s="128">
        <f t="shared" ref="D35:BK35" si="23">D30/D27</f>
        <v>0.16651911240801467</v>
      </c>
      <c r="E35" s="128" t="e">
        <f t="shared" si="23"/>
        <v>#DIV/0!</v>
      </c>
      <c r="F35" s="128">
        <f t="shared" si="23"/>
        <v>0.12766095745718092</v>
      </c>
      <c r="G35" s="128">
        <f t="shared" si="23"/>
        <v>0.18670540093087185</v>
      </c>
      <c r="H35" s="128" t="e">
        <f t="shared" si="23"/>
        <v>#DIV/0!</v>
      </c>
      <c r="I35" s="128" t="e">
        <f t="shared" si="23"/>
        <v>#DIV/0!</v>
      </c>
      <c r="J35" s="128" t="e">
        <f t="shared" si="23"/>
        <v>#DIV/0!</v>
      </c>
      <c r="K35" s="128">
        <f t="shared" si="23"/>
        <v>0.14645460569913851</v>
      </c>
      <c r="L35" s="128">
        <f t="shared" si="23"/>
        <v>0.31091224018475749</v>
      </c>
      <c r="M35" s="128">
        <f t="shared" si="23"/>
        <v>6.3272458955912186E-2</v>
      </c>
      <c r="N35" s="128">
        <f t="shared" si="23"/>
        <v>0</v>
      </c>
      <c r="O35" s="128">
        <f t="shared" si="23"/>
        <v>0.24312431243124313</v>
      </c>
      <c r="P35" s="128">
        <f t="shared" si="23"/>
        <v>0.2326975476839237</v>
      </c>
      <c r="Q35" s="128" t="e">
        <f t="shared" si="23"/>
        <v>#DIV/0!</v>
      </c>
      <c r="R35" s="128">
        <f t="shared" si="23"/>
        <v>0.26423690205011391</v>
      </c>
      <c r="S35" s="128" t="e">
        <f t="shared" si="23"/>
        <v>#DIV/0!</v>
      </c>
      <c r="T35" s="128" t="e">
        <f t="shared" si="23"/>
        <v>#DIV/0!</v>
      </c>
      <c r="U35" s="128" t="e">
        <f t="shared" si="23"/>
        <v>#DIV/0!</v>
      </c>
      <c r="V35" s="178" t="e">
        <f t="shared" si="23"/>
        <v>#DIV/0!</v>
      </c>
      <c r="W35" s="128" t="e">
        <f t="shared" si="23"/>
        <v>#DIV/0!</v>
      </c>
      <c r="X35" s="128" t="e">
        <f t="shared" si="23"/>
        <v>#DIV/0!</v>
      </c>
      <c r="Y35" s="128">
        <f t="shared" si="23"/>
        <v>0.28867403314917128</v>
      </c>
      <c r="Z35" s="128">
        <f t="shared" si="23"/>
        <v>0.10951760104302477</v>
      </c>
      <c r="AA35" s="128">
        <f t="shared" si="23"/>
        <v>0.15254237288135594</v>
      </c>
      <c r="AB35" s="128" t="e">
        <f>AB30/AB27</f>
        <v>#DIV/0!</v>
      </c>
      <c r="AC35" s="217">
        <f t="shared" si="23"/>
        <v>0</v>
      </c>
      <c r="AD35" s="128">
        <f t="shared" si="23"/>
        <v>0.17158966320130004</v>
      </c>
      <c r="AE35" s="128" t="e">
        <f t="shared" si="23"/>
        <v>#DIV/0!</v>
      </c>
      <c r="AF35" s="128">
        <f t="shared" si="23"/>
        <v>0.38016528925619836</v>
      </c>
      <c r="AG35" s="128" t="e">
        <f t="shared" si="23"/>
        <v>#DIV/0!</v>
      </c>
      <c r="AH35" s="128" t="e">
        <f t="shared" si="23"/>
        <v>#DIV/0!</v>
      </c>
      <c r="AI35" s="128" t="e">
        <f t="shared" si="23"/>
        <v>#DIV/0!</v>
      </c>
      <c r="AJ35" s="128" t="e">
        <f t="shared" si="23"/>
        <v>#DIV/0!</v>
      </c>
      <c r="AK35" s="128">
        <f t="shared" si="23"/>
        <v>0.11415562490407735</v>
      </c>
      <c r="AL35" s="128">
        <f t="shared" si="23"/>
        <v>0.5804427401080704</v>
      </c>
      <c r="AM35" s="128" t="e">
        <f t="shared" si="23"/>
        <v>#DIV/0!</v>
      </c>
      <c r="AN35" s="128" t="e">
        <f t="shared" si="23"/>
        <v>#DIV/0!</v>
      </c>
      <c r="AO35" s="178">
        <f t="shared" si="23"/>
        <v>9.9522799575821844E-2</v>
      </c>
      <c r="AP35" s="278">
        <f t="shared" si="23"/>
        <v>4.6943222256808029E-3</v>
      </c>
      <c r="AQ35" s="217" t="e">
        <f t="shared" si="23"/>
        <v>#DIV/0!</v>
      </c>
      <c r="AR35" s="128" t="e">
        <f t="shared" si="23"/>
        <v>#DIV/0!</v>
      </c>
      <c r="AS35" s="128" t="e">
        <f t="shared" si="23"/>
        <v>#DIV/0!</v>
      </c>
      <c r="AT35" s="128" t="e">
        <f t="shared" si="23"/>
        <v>#DIV/0!</v>
      </c>
      <c r="AU35" s="128" t="e">
        <f t="shared" si="23"/>
        <v>#DIV/0!</v>
      </c>
      <c r="AV35" s="128" t="e">
        <f t="shared" si="23"/>
        <v>#DIV/0!</v>
      </c>
      <c r="AW35" s="128" t="e">
        <f t="shared" si="23"/>
        <v>#DIV/0!</v>
      </c>
      <c r="AX35" s="128" t="e">
        <f t="shared" si="23"/>
        <v>#DIV/0!</v>
      </c>
      <c r="AY35" s="128" t="e">
        <f t="shared" si="23"/>
        <v>#DIV/0!</v>
      </c>
      <c r="AZ35" s="128" t="e">
        <f t="shared" si="23"/>
        <v>#DIV/0!</v>
      </c>
      <c r="BA35" s="128" t="e">
        <f t="shared" si="23"/>
        <v>#DIV/0!</v>
      </c>
      <c r="BB35" s="217">
        <f t="shared" si="23"/>
        <v>0.22327448883845769</v>
      </c>
      <c r="BC35" s="128">
        <f t="shared" si="23"/>
        <v>7.4387397899649946E-2</v>
      </c>
      <c r="BD35" s="128">
        <f t="shared" si="23"/>
        <v>7.4387397899649946E-2</v>
      </c>
      <c r="BE35" s="128" t="e">
        <f t="shared" si="23"/>
        <v>#DIV/0!</v>
      </c>
      <c r="BF35" s="128">
        <f t="shared" si="23"/>
        <v>0.35437212360289283</v>
      </c>
      <c r="BG35" s="128">
        <f t="shared" si="23"/>
        <v>4.7244094488188976E-2</v>
      </c>
      <c r="BH35" s="178">
        <f t="shared" si="23"/>
        <v>0.32482355678498487</v>
      </c>
      <c r="BI35" s="128">
        <f t="shared" si="23"/>
        <v>0.19472356170318231</v>
      </c>
      <c r="BJ35" s="128" t="e">
        <f t="shared" si="23"/>
        <v>#DIV/0!</v>
      </c>
      <c r="BK35" s="128">
        <f t="shared" si="23"/>
        <v>0.19472356170318231</v>
      </c>
      <c r="BM35" s="128">
        <f>BM30/BM27</f>
        <v>0.32482355678498487</v>
      </c>
    </row>
    <row r="36" spans="1:65" s="181" customFormat="1" ht="15.75">
      <c r="A36" s="130"/>
      <c r="B36" s="5" t="s">
        <v>322</v>
      </c>
      <c r="C36" s="11">
        <f>C27-C30</f>
        <v>200063</v>
      </c>
      <c r="D36" s="11">
        <f t="shared" ref="D36:BK36" si="24">D27-D30</f>
        <v>117680</v>
      </c>
      <c r="E36" s="11">
        <f t="shared" si="24"/>
        <v>0</v>
      </c>
      <c r="F36" s="11">
        <f t="shared" si="24"/>
        <v>26841</v>
      </c>
      <c r="G36" s="11">
        <f t="shared" si="24"/>
        <v>26036</v>
      </c>
      <c r="H36" s="11">
        <f t="shared" si="24"/>
        <v>0</v>
      </c>
      <c r="I36" s="11">
        <f t="shared" si="24"/>
        <v>0</v>
      </c>
      <c r="J36" s="11">
        <f t="shared" si="24"/>
        <v>0</v>
      </c>
      <c r="K36" s="11">
        <f t="shared" si="24"/>
        <v>1288</v>
      </c>
      <c r="L36" s="11">
        <f t="shared" si="24"/>
        <v>2387</v>
      </c>
      <c r="M36" s="11">
        <f t="shared" si="24"/>
        <v>5078</v>
      </c>
      <c r="N36" s="11">
        <f t="shared" si="24"/>
        <v>22</v>
      </c>
      <c r="O36" s="11">
        <f t="shared" si="24"/>
        <v>688</v>
      </c>
      <c r="P36" s="11">
        <f t="shared" si="24"/>
        <v>2816</v>
      </c>
      <c r="Q36" s="11">
        <f t="shared" si="24"/>
        <v>0</v>
      </c>
      <c r="R36" s="11">
        <f t="shared" si="24"/>
        <v>646</v>
      </c>
      <c r="S36" s="11">
        <f t="shared" si="24"/>
        <v>0</v>
      </c>
      <c r="T36" s="11">
        <f t="shared" si="24"/>
        <v>0</v>
      </c>
      <c r="U36" s="11">
        <f t="shared" si="24"/>
        <v>0</v>
      </c>
      <c r="V36" s="11">
        <f t="shared" si="24"/>
        <v>0</v>
      </c>
      <c r="W36" s="11">
        <f t="shared" si="24"/>
        <v>0</v>
      </c>
      <c r="X36" s="11">
        <f t="shared" si="24"/>
        <v>0</v>
      </c>
      <c r="Y36" s="11">
        <f t="shared" si="24"/>
        <v>515</v>
      </c>
      <c r="Z36" s="11">
        <f t="shared" si="24"/>
        <v>683</v>
      </c>
      <c r="AA36" s="11">
        <f t="shared" si="24"/>
        <v>150</v>
      </c>
      <c r="AB36" s="11">
        <f t="shared" si="24"/>
        <v>0</v>
      </c>
      <c r="AC36" s="11">
        <f t="shared" si="24"/>
        <v>-24479</v>
      </c>
      <c r="AD36" s="11">
        <f t="shared" si="24"/>
        <v>360414</v>
      </c>
      <c r="AE36" s="11">
        <f t="shared" si="24"/>
        <v>0</v>
      </c>
      <c r="AF36" s="11">
        <f t="shared" si="24"/>
        <v>225</v>
      </c>
      <c r="AG36" s="11">
        <f t="shared" si="24"/>
        <v>0</v>
      </c>
      <c r="AH36" s="11">
        <f t="shared" si="24"/>
        <v>0</v>
      </c>
      <c r="AI36" s="11">
        <f t="shared" si="24"/>
        <v>0</v>
      </c>
      <c r="AJ36" s="11">
        <f t="shared" si="24"/>
        <v>0</v>
      </c>
      <c r="AK36" s="11">
        <f t="shared" si="24"/>
        <v>173156</v>
      </c>
      <c r="AL36" s="11">
        <f t="shared" si="24"/>
        <v>7221</v>
      </c>
      <c r="AM36" s="11">
        <f t="shared" si="24"/>
        <v>0</v>
      </c>
      <c r="AN36" s="11">
        <f t="shared" si="24"/>
        <v>0</v>
      </c>
      <c r="AO36" s="11">
        <f t="shared" si="24"/>
        <v>16983</v>
      </c>
      <c r="AP36" s="276">
        <f t="shared" si="24"/>
        <v>-118309</v>
      </c>
      <c r="AQ36" s="11">
        <f t="shared" si="24"/>
        <v>0</v>
      </c>
      <c r="AR36" s="11">
        <f t="shared" si="24"/>
        <v>0</v>
      </c>
      <c r="AS36" s="11">
        <f t="shared" si="24"/>
        <v>0</v>
      </c>
      <c r="AT36" s="11">
        <f t="shared" si="24"/>
        <v>0</v>
      </c>
      <c r="AU36" s="11">
        <f t="shared" si="24"/>
        <v>0</v>
      </c>
      <c r="AV36" s="11">
        <f t="shared" si="24"/>
        <v>0</v>
      </c>
      <c r="AW36" s="11">
        <f t="shared" si="24"/>
        <v>0</v>
      </c>
      <c r="AX36" s="11">
        <f t="shared" si="24"/>
        <v>0</v>
      </c>
      <c r="AY36" s="11">
        <f t="shared" si="24"/>
        <v>0</v>
      </c>
      <c r="AZ36" s="11">
        <f t="shared" si="24"/>
        <v>0</v>
      </c>
      <c r="BA36" s="11">
        <f t="shared" si="24"/>
        <v>0</v>
      </c>
      <c r="BB36" s="11">
        <f t="shared" si="24"/>
        <v>-35595</v>
      </c>
      <c r="BC36" s="11">
        <f t="shared" si="24"/>
        <v>3173</v>
      </c>
      <c r="BD36" s="11">
        <f t="shared" si="24"/>
        <v>3173</v>
      </c>
      <c r="BE36" s="11">
        <f t="shared" si="24"/>
        <v>0</v>
      </c>
      <c r="BF36" s="11">
        <f t="shared" si="24"/>
        <v>1964</v>
      </c>
      <c r="BG36" s="11">
        <f t="shared" si="24"/>
        <v>242</v>
      </c>
      <c r="BH36" s="11">
        <f t="shared" si="24"/>
        <v>52233</v>
      </c>
      <c r="BI36" s="11">
        <f t="shared" si="24"/>
        <v>412647</v>
      </c>
      <c r="BJ36" s="11">
        <f t="shared" si="24"/>
        <v>0</v>
      </c>
      <c r="BK36" s="11">
        <f t="shared" si="24"/>
        <v>412647</v>
      </c>
      <c r="BL36" s="11">
        <f>BL30-BL27</f>
        <v>99784</v>
      </c>
      <c r="BM36" s="11">
        <f>BM30-BM27</f>
        <v>-52233</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279"/>
      <c r="AQ37" s="6"/>
      <c r="AR37" s="5"/>
      <c r="AS37" s="5"/>
      <c r="AT37" s="5"/>
      <c r="AU37" s="5"/>
      <c r="AV37" s="5"/>
      <c r="AW37" s="6"/>
      <c r="AX37" s="5"/>
      <c r="AY37" s="5"/>
      <c r="AZ37" s="5"/>
      <c r="BA37" s="5"/>
      <c r="BB37" s="6"/>
      <c r="BC37" s="5"/>
      <c r="BD37" s="5"/>
      <c r="BE37" s="5"/>
      <c r="BF37" s="5"/>
      <c r="BG37" s="5"/>
      <c r="BH37" s="16"/>
      <c r="BI37" s="44"/>
      <c r="BJ37" s="11">
        <f>1086725-BK38</f>
        <v>-27419</v>
      </c>
      <c r="BK37" s="50"/>
    </row>
    <row r="38" spans="1:65" s="179" customFormat="1" ht="15.75">
      <c r="A38" s="269" t="s">
        <v>130</v>
      </c>
      <c r="B38" s="9" t="s">
        <v>316</v>
      </c>
      <c r="C38" s="225">
        <v>510353</v>
      </c>
      <c r="D38" s="225">
        <v>287029</v>
      </c>
      <c r="E38" s="225">
        <v>0</v>
      </c>
      <c r="F38" s="225">
        <v>73166</v>
      </c>
      <c r="G38" s="225">
        <v>48254</v>
      </c>
      <c r="H38" s="225"/>
      <c r="I38" s="225"/>
      <c r="J38" s="225"/>
      <c r="K38" s="225">
        <v>1130</v>
      </c>
      <c r="L38" s="225">
        <v>19810</v>
      </c>
      <c r="M38" s="225">
        <v>10608</v>
      </c>
      <c r="N38" s="225">
        <v>55</v>
      </c>
      <c r="O38" s="225">
        <v>1131</v>
      </c>
      <c r="P38" s="225">
        <v>13918</v>
      </c>
      <c r="Q38" s="225"/>
      <c r="R38" s="225">
        <v>1363</v>
      </c>
      <c r="S38" s="225"/>
      <c r="T38" s="225"/>
      <c r="U38" s="225"/>
      <c r="V38" s="225">
        <v>38291</v>
      </c>
      <c r="W38" s="225"/>
      <c r="X38" s="225"/>
      <c r="Y38" s="225">
        <v>1666</v>
      </c>
      <c r="Z38" s="225">
        <v>515</v>
      </c>
      <c r="AA38" s="225">
        <v>305</v>
      </c>
      <c r="AB38" s="225">
        <v>1607</v>
      </c>
      <c r="AC38" s="225">
        <v>128177</v>
      </c>
      <c r="AD38" s="226">
        <f>SUM(C38:AC38)</f>
        <v>1137378</v>
      </c>
      <c r="AE38" s="225">
        <v>6</v>
      </c>
      <c r="AF38" s="225">
        <v>93</v>
      </c>
      <c r="AG38" s="225">
        <v>7</v>
      </c>
      <c r="AH38" s="225"/>
      <c r="AI38" s="225"/>
      <c r="AJ38" s="225"/>
      <c r="AK38" s="225">
        <v>100453</v>
      </c>
      <c r="AL38" s="225">
        <v>17147</v>
      </c>
      <c r="AM38" s="225"/>
      <c r="AN38" s="225"/>
      <c r="AO38" s="225">
        <v>26615</v>
      </c>
      <c r="AP38" s="274">
        <v>-324127</v>
      </c>
      <c r="AQ38" s="225">
        <v>74011</v>
      </c>
      <c r="AR38" s="225"/>
      <c r="AS38" s="225"/>
      <c r="AT38" s="225"/>
      <c r="AU38" s="225"/>
      <c r="AV38" s="225"/>
      <c r="AW38" s="225"/>
      <c r="AX38" s="225"/>
      <c r="AY38" s="225"/>
      <c r="AZ38" s="225"/>
      <c r="BA38" s="225"/>
      <c r="BB38" s="225">
        <v>114683</v>
      </c>
      <c r="BC38" s="225">
        <v>504</v>
      </c>
      <c r="BD38" s="225">
        <v>511</v>
      </c>
      <c r="BE38" s="225"/>
      <c r="BF38" s="225">
        <v>7517</v>
      </c>
      <c r="BG38" s="225">
        <v>2</v>
      </c>
      <c r="BH38" s="229">
        <f>SUM(AE38:BG38)</f>
        <v>17422</v>
      </c>
      <c r="BI38" s="125">
        <f>AD38+BH38</f>
        <v>1154800</v>
      </c>
      <c r="BJ38" s="283">
        <v>40656</v>
      </c>
      <c r="BK38" s="226">
        <f>BI38-BJ38</f>
        <v>1114144</v>
      </c>
      <c r="BM38" s="228">
        <f>BK38-AD38</f>
        <v>-23234</v>
      </c>
    </row>
    <row r="39" spans="1:65" s="41" customFormat="1" ht="15.75">
      <c r="A39" s="136"/>
      <c r="B39" s="234" t="s">
        <v>317</v>
      </c>
      <c r="C39" s="10">
        <v>96966</v>
      </c>
      <c r="D39" s="10">
        <v>54536</v>
      </c>
      <c r="E39" s="10">
        <v>0</v>
      </c>
      <c r="F39" s="10">
        <v>13901</v>
      </c>
      <c r="G39" s="10">
        <v>9167</v>
      </c>
      <c r="H39" s="10"/>
      <c r="I39" s="10"/>
      <c r="J39" s="10"/>
      <c r="K39" s="10">
        <v>214</v>
      </c>
      <c r="L39" s="10">
        <v>3763</v>
      </c>
      <c r="M39" s="10">
        <v>2016</v>
      </c>
      <c r="N39" s="10">
        <v>10</v>
      </c>
      <c r="O39" s="10">
        <v>216</v>
      </c>
      <c r="P39" s="10">
        <v>2644</v>
      </c>
      <c r="Q39" s="10"/>
      <c r="R39" s="10">
        <v>260</v>
      </c>
      <c r="S39" s="10"/>
      <c r="T39" s="10"/>
      <c r="U39" s="10"/>
      <c r="V39" s="10">
        <v>7275</v>
      </c>
      <c r="W39" s="10"/>
      <c r="X39" s="10"/>
      <c r="Y39" s="10">
        <v>317</v>
      </c>
      <c r="Z39" s="10">
        <v>98</v>
      </c>
      <c r="AA39" s="10">
        <v>58</v>
      </c>
      <c r="AB39" s="10">
        <v>305</v>
      </c>
      <c r="AC39" s="10">
        <v>24354</v>
      </c>
      <c r="AD39" s="123">
        <f>SUM(C39:AC39)</f>
        <v>216100</v>
      </c>
      <c r="AE39" s="10">
        <v>1</v>
      </c>
      <c r="AF39" s="10">
        <v>22</v>
      </c>
      <c r="AG39" s="10">
        <v>2</v>
      </c>
      <c r="AH39" s="10"/>
      <c r="AI39" s="10"/>
      <c r="AJ39" s="10"/>
      <c r="AK39" s="10">
        <v>24108</v>
      </c>
      <c r="AL39" s="10">
        <v>4115</v>
      </c>
      <c r="AM39" s="10"/>
      <c r="AN39" s="10"/>
      <c r="AO39" s="10">
        <v>6388</v>
      </c>
      <c r="AP39" s="250">
        <v>-77789</v>
      </c>
      <c r="AQ39" s="10">
        <v>17762</v>
      </c>
      <c r="AR39" s="10"/>
      <c r="AS39" s="10"/>
      <c r="AT39" s="10"/>
      <c r="AU39" s="10"/>
      <c r="AV39" s="10"/>
      <c r="AW39" s="10"/>
      <c r="AX39" s="10"/>
      <c r="AY39" s="10"/>
      <c r="AZ39" s="10"/>
      <c r="BA39" s="10"/>
      <c r="BB39" s="10">
        <v>27524</v>
      </c>
      <c r="BC39" s="10">
        <v>121</v>
      </c>
      <c r="BD39" s="10">
        <v>123</v>
      </c>
      <c r="BE39" s="10"/>
      <c r="BF39" s="10">
        <v>1803</v>
      </c>
      <c r="BG39" s="10">
        <v>0</v>
      </c>
      <c r="BH39" s="10">
        <f>SUM(AE39:BG39)</f>
        <v>4180</v>
      </c>
      <c r="BI39" s="219">
        <f>AD39+BH39</f>
        <v>220280</v>
      </c>
      <c r="BJ39" s="284">
        <v>9757</v>
      </c>
      <c r="BK39" s="10">
        <f>BI39-BJ39</f>
        <v>210523</v>
      </c>
      <c r="BL39" s="41">
        <f>'[1]Upto Month Current'!$E$61</f>
        <v>435800</v>
      </c>
      <c r="BM39" s="218">
        <f>BK39-AD39</f>
        <v>-5577</v>
      </c>
    </row>
    <row r="40" spans="1:65" ht="15.75">
      <c r="A40" s="130"/>
      <c r="B40" s="12" t="s">
        <v>318</v>
      </c>
      <c r="C40" s="9">
        <f>IF('Upto Month COPPY'!$E$4="",0,'Upto Month COPPY'!$E$4)</f>
        <v>86088</v>
      </c>
      <c r="D40" s="9">
        <f>IF('Upto Month COPPY'!$E$5="",0,'Upto Month COPPY'!$E$5)</f>
        <v>46896</v>
      </c>
      <c r="E40" s="9">
        <f>IF('Upto Month COPPY'!$E$6="",0,'Upto Month COPPY'!$E$6)</f>
        <v>0</v>
      </c>
      <c r="F40" s="9">
        <f>IF('Upto Month COPPY'!$E$7="",0,'Upto Month COPPY'!$E$7)</f>
        <v>10455</v>
      </c>
      <c r="G40" s="9">
        <f>IF('Upto Month COPPY'!$E$8="",0,'Upto Month COPPY'!$E$8)</f>
        <v>8349</v>
      </c>
      <c r="H40" s="9">
        <f>IF('Upto Month COPPY'!$E$9="",0,'Upto Month COPPY'!$E$9)</f>
        <v>0</v>
      </c>
      <c r="I40" s="9">
        <f>IF('Upto Month COPPY'!$E$10="",0,'Upto Month COPPY'!$E$10)</f>
        <v>0</v>
      </c>
      <c r="J40" s="9">
        <f>IF('Upto Month COPPY'!$E$11="",0,'Upto Month COPPY'!$E$11)</f>
        <v>0</v>
      </c>
      <c r="K40" s="9">
        <f>IF('Upto Month COPPY'!$E$12="",0,'Upto Month COPPY'!$E$12)</f>
        <v>58</v>
      </c>
      <c r="L40" s="9">
        <f>IF('Upto Month COPPY'!$E$13="",0,'Upto Month COPPY'!$E$13)</f>
        <v>7664</v>
      </c>
      <c r="M40" s="9">
        <f>IF('Upto Month COPPY'!$E$14="",0,'Upto Month COPPY'!$E$14)</f>
        <v>2020</v>
      </c>
      <c r="N40" s="9">
        <f>IF('Upto Month COPPY'!$E$15="",0,'Upto Month COPPY'!$E$15)</f>
        <v>0</v>
      </c>
      <c r="O40" s="9">
        <f>IF('Upto Month COPPY'!$E$16="",0,'Upto Month COPPY'!$E$16)</f>
        <v>357</v>
      </c>
      <c r="P40" s="9">
        <f>IF('Upto Month COPPY'!$E$17="",0,'Upto Month COPPY'!$E$17)</f>
        <v>6786</v>
      </c>
      <c r="Q40" s="9">
        <f>IF('Upto Month COPPY'!$E$18="",0,'Upto Month COPPY'!$E$18)</f>
        <v>0</v>
      </c>
      <c r="R40" s="9">
        <f>IF('Upto Month COPPY'!$E$21="",0,'Upto Month COPPY'!$E$21)</f>
        <v>228</v>
      </c>
      <c r="S40" s="9">
        <f>IF('Upto Month COPPY'!$E$26="",0,'Upto Month COPPY'!$E$26)</f>
        <v>0</v>
      </c>
      <c r="T40" s="9">
        <f>IF('Upto Month COPPY'!$E$27="",0,'Upto Month COPPY'!$E$27)</f>
        <v>0</v>
      </c>
      <c r="U40" s="9">
        <f>IF('Upto Month COPPY'!$E$30="",0,'Upto Month COPPY'!$E$30)</f>
        <v>0</v>
      </c>
      <c r="V40" s="9">
        <f>IF('Upto Month COPPY'!$E$35="",0,'Upto Month COPPY'!$E$35)</f>
        <v>4295</v>
      </c>
      <c r="W40" s="9">
        <f>IF('Upto Month COPPY'!$E$39="",0,'Upto Month COPPY'!$E$39)</f>
        <v>0</v>
      </c>
      <c r="X40" s="9">
        <f>IF('Upto Month COPPY'!$E$40="",0,'Upto Month COPPY'!$E$40)</f>
        <v>0</v>
      </c>
      <c r="Y40" s="9">
        <f>IF('Upto Month COPPY'!$E$42="",0,'Upto Month COPPY'!$E$42)</f>
        <v>405</v>
      </c>
      <c r="Z40" s="9">
        <f>IF('Upto Month COPPY'!$E$43="",0,'Upto Month COPPY'!$E$43)</f>
        <v>116</v>
      </c>
      <c r="AA40" s="9">
        <f>IF('Upto Month COPPY'!$E$44="",0,'Upto Month COPPY'!$E$44)</f>
        <v>84</v>
      </c>
      <c r="AB40" s="9">
        <f>IF('Upto Month COPPY'!$E$48="",0,'Upto Month COPPY'!$E$48)</f>
        <v>0</v>
      </c>
      <c r="AC40" s="10">
        <f>IF('Upto Month COPPY'!$E$51="",0,'Upto Month COPPY'!$E$51)</f>
        <v>13381</v>
      </c>
      <c r="AD40" s="123">
        <f>SUM(C40:AC40)</f>
        <v>187182</v>
      </c>
      <c r="AE40" s="9">
        <f>IF('Upto Month COPPY'!$E$19="",0,'Upto Month COPPY'!$E$19)</f>
        <v>0</v>
      </c>
      <c r="AF40" s="9">
        <f>IF('Upto Month COPPY'!$E$20="",0,'Upto Month COPPY'!$E$20)</f>
        <v>21</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1026</v>
      </c>
      <c r="AL40" s="9">
        <f>IF('Upto Month COPPY'!$E$29="",0,'Upto Month COPPY'!$E$29)</f>
        <v>2893</v>
      </c>
      <c r="AM40" s="9">
        <f>IF('Upto Month COPPY'!$E$31="",0,'Upto Month COPPY'!$E$31)</f>
        <v>0</v>
      </c>
      <c r="AN40" s="9">
        <f>IF('Upto Month COPPY'!$E$32="",0,'Upto Month COPPY'!$E$32)</f>
        <v>0</v>
      </c>
      <c r="AO40" s="9">
        <f>IF('Upto Month COPPY'!$E$33="",0,'Upto Month COPPY'!$E$33)</f>
        <v>10683</v>
      </c>
      <c r="AP40" s="275">
        <f>IF('Upto Month COPPY'!$E$34="",0,'Upto Month COPPY'!$E$34)</f>
        <v>213</v>
      </c>
      <c r="AQ40" s="10">
        <f>IF('Upto Month COPPY'!$E$36="",0,'Upto Month COPPY'!$E$36)</f>
        <v>10406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10">
        <f>IF('Upto Month COPPY'!$E$52="",0,'Upto Month COPPY'!$E$52)</f>
        <v>16971</v>
      </c>
      <c r="BC40" s="9">
        <f>IF('Upto Month COPPY'!$E$53="",0,'Upto Month COPPY'!$E$53)</f>
        <v>76</v>
      </c>
      <c r="BD40" s="9">
        <f>IF('Upto Month COPPY'!$E$54="",0,'Upto Month COPPY'!$E$54)</f>
        <v>76</v>
      </c>
      <c r="BE40" s="9">
        <f>IF('Upto Month COPPY'!$E$55="",0,'Upto Month COPPY'!$E$55)</f>
        <v>0</v>
      </c>
      <c r="BF40" s="9">
        <f>IF('Upto Month COPPY'!$E$56="",0,'Upto Month COPPY'!$E$56)</f>
        <v>2159</v>
      </c>
      <c r="BG40" s="9">
        <f>IF('Upto Month COPPY'!$E$58="",0,'Upto Month COPPY'!$E$58)</f>
        <v>0</v>
      </c>
      <c r="BH40" s="9">
        <f>SUM(AE40:BG40)</f>
        <v>44524</v>
      </c>
      <c r="BI40" s="127">
        <f>AD40+BH40</f>
        <v>231706</v>
      </c>
      <c r="BJ40" s="9">
        <f>IF('Upto Month COPPY'!$E$60="",0,'Upto Month COPPY'!$E$60)</f>
        <v>84</v>
      </c>
      <c r="BK40" s="9">
        <f>BI40-BJ40</f>
        <v>231622</v>
      </c>
      <c r="BL40">
        <f>'Upto Month COPPY'!$E$61</f>
        <v>231620</v>
      </c>
      <c r="BM40" s="30">
        <f>BK40-AD40</f>
        <v>44440</v>
      </c>
    </row>
    <row r="41" spans="1:65" ht="16.5" customHeight="1">
      <c r="A41" s="130"/>
      <c r="B41" s="183" t="s">
        <v>319</v>
      </c>
      <c r="C41" s="9">
        <f>IF('Upto Month Current'!$E$4="",0,'Upto Month Current'!$E$4)</f>
        <v>87968</v>
      </c>
      <c r="D41" s="9">
        <f>IF('Upto Month Current'!$E$5="",0,'Upto Month Current'!$E$5)</f>
        <v>54946</v>
      </c>
      <c r="E41" s="9">
        <f>IF('Upto Month Current'!$E$6="",0,'Upto Month Current'!$E$6)</f>
        <v>58</v>
      </c>
      <c r="F41" s="9">
        <f>IF('Upto Month Current'!$E$7="",0,'Upto Month Current'!$E$7)</f>
        <v>10893</v>
      </c>
      <c r="G41" s="9">
        <f>IF('Upto Month Current'!$E$8="",0,'Upto Month Current'!$E$8)</f>
        <v>8956</v>
      </c>
      <c r="H41" s="9">
        <f>IF('Upto Month Current'!$E$9="",0,'Upto Month Current'!$E$9)</f>
        <v>0</v>
      </c>
      <c r="I41" s="9">
        <f>IF('Upto Month Current'!$E$10="",0,'Upto Month Current'!$E$10)</f>
        <v>0</v>
      </c>
      <c r="J41" s="9">
        <f>IF('Upto Month Current'!$E$11="",0,'Upto Month Current'!$E$11)</f>
        <v>0</v>
      </c>
      <c r="K41" s="9">
        <f>IF('Upto Month Current'!$E$12="",0,'Upto Month Current'!$E$12)</f>
        <v>464</v>
      </c>
      <c r="L41" s="9">
        <f>IF('Upto Month Current'!$E$13="",0,'Upto Month Current'!$E$13)</f>
        <v>4397</v>
      </c>
      <c r="M41" s="9">
        <f>IF('Upto Month Current'!$E$14="",0,'Upto Month Current'!$E$14)</f>
        <v>1749</v>
      </c>
      <c r="N41" s="9">
        <f>IF('Upto Month Current'!$E$15="",0,'Upto Month Current'!$E$15)</f>
        <v>0</v>
      </c>
      <c r="O41" s="9">
        <f>IF('Upto Month Current'!$E$16="",0,'Upto Month Current'!$E$16)</f>
        <v>174</v>
      </c>
      <c r="P41" s="9">
        <f>IF('Upto Month Current'!$E$17="",0,'Upto Month Current'!$E$17)</f>
        <v>3020</v>
      </c>
      <c r="Q41" s="9">
        <f>IF('Upto Month Current'!$E$18="",0,'Upto Month Current'!$E$18)</f>
        <v>0</v>
      </c>
      <c r="R41" s="9">
        <f>IF('Upto Month Current'!$E$21="",0,'Upto Month Current'!$E$21)</f>
        <v>349</v>
      </c>
      <c r="S41" s="9">
        <f>IF('Upto Month Current'!$E$26="",0,'Upto Month Current'!$E$26)</f>
        <v>0</v>
      </c>
      <c r="T41" s="9">
        <f>IF('Upto Month Current'!$E$27="",0,'Upto Month Current'!$E$27)</f>
        <v>0</v>
      </c>
      <c r="U41" s="9">
        <f>IF('Upto Month Current'!$E$30="",0,'Upto Month Current'!$E$30)</f>
        <v>0</v>
      </c>
      <c r="V41" s="9">
        <f>IF('Upto Month Current'!$E$35="",0,'Upto Month Current'!$E$35)</f>
        <v>10023</v>
      </c>
      <c r="W41" s="9">
        <f>IF('Upto Month Current'!$E$39="",0,'Upto Month Current'!$E$39)</f>
        <v>0</v>
      </c>
      <c r="X41" s="9">
        <f>IF('Upto Month Current'!$E$40="",0,'Upto Month Current'!$E$40)</f>
        <v>0</v>
      </c>
      <c r="Y41" s="9">
        <f>IF('Upto Month Current'!$E$42="",0,'Upto Month Current'!$E$42)</f>
        <v>1178</v>
      </c>
      <c r="Z41" s="9">
        <f>IF('Upto Month Current'!$E$43="",0,'Upto Month Current'!$E$43)</f>
        <v>519</v>
      </c>
      <c r="AA41" s="9">
        <f>IF('Upto Month Current'!$E$44="",0,'Upto Month Current'!$E$44)</f>
        <v>125</v>
      </c>
      <c r="AB41" s="9">
        <f>IF('Upto Month Current'!$E$48="",0,'Upto Month Current'!$E$48)</f>
        <v>0</v>
      </c>
      <c r="AC41" s="10">
        <f>IF('Upto Month Current'!$E$51="",0,'Upto Month Current'!$E$51)</f>
        <v>40931</v>
      </c>
      <c r="AD41" s="123">
        <f>SUM(C41:AC41)</f>
        <v>225750</v>
      </c>
      <c r="AE41" s="9">
        <f>IF('Upto Month Current'!$E$19="",0,'Upto Month Current'!$E$19)</f>
        <v>0</v>
      </c>
      <c r="AF41" s="9">
        <f>IF('Upto Month Current'!$E$20="",0,'Upto Month Current'!$E$20)</f>
        <v>10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28638</v>
      </c>
      <c r="AL41" s="9">
        <f>IF('Upto Month Current'!$E$29="",0,'Upto Month Current'!$E$29)</f>
        <v>11685</v>
      </c>
      <c r="AM41" s="9">
        <f>IF('Upto Month Current'!$E$31="",0,'Upto Month Current'!$E$31)</f>
        <v>0</v>
      </c>
      <c r="AN41" s="9">
        <f>IF('Upto Month Current'!$E$32="",0,'Upto Month Current'!$E$32)</f>
        <v>0</v>
      </c>
      <c r="AO41" s="9">
        <f>IF('Upto Month Current'!$E$33="",0,'Upto Month Current'!$E$33)</f>
        <v>6821</v>
      </c>
      <c r="AP41" s="275">
        <f>IF('Upto Month Current'!$E$34="",0,'Upto Month Current'!$E$34)</f>
        <v>-132963</v>
      </c>
      <c r="AQ41" s="10">
        <f>IF('Upto Month Current'!$E$36="",0,'Upto Month Current'!$E$36)</f>
        <v>17400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10">
        <f>IF('Upto Month Current'!$E$52="",0,'Upto Month Current'!$E$52)</f>
        <v>44646</v>
      </c>
      <c r="BC41" s="9">
        <f>IF('Upto Month Current'!$E$53="",0,'Upto Month Current'!$E$53)</f>
        <v>353</v>
      </c>
      <c r="BD41" s="9">
        <f>IF('Upto Month Current'!$E$54="",0,'Upto Month Current'!$E$54)</f>
        <v>353</v>
      </c>
      <c r="BE41" s="9">
        <f>IF('Upto Month Current'!$E$55="",0,'Upto Month Current'!$E$55)</f>
        <v>0</v>
      </c>
      <c r="BF41" s="9">
        <f>IF('Upto Month Current'!$E$56="",0,'Upto Month Current'!$E$56)</f>
        <v>2314</v>
      </c>
      <c r="BG41" s="9">
        <f>IF('Upto Month Current'!$E$58="",0,'Upto Month Current'!$E$58)</f>
        <v>0</v>
      </c>
      <c r="BH41" s="9">
        <f>SUM(AE41:BG41)</f>
        <v>-20743</v>
      </c>
      <c r="BI41" s="127">
        <f>AD41+BH41</f>
        <v>205007</v>
      </c>
      <c r="BJ41" s="9">
        <f>IF('Upto Month Current'!$E$60="",0,'Upto Month Current'!$E$60)</f>
        <v>60</v>
      </c>
      <c r="BK41" s="51">
        <f>BI41-BJ41</f>
        <v>204947</v>
      </c>
      <c r="BL41">
        <f>'Upto Month Current'!$E$61</f>
        <v>204947</v>
      </c>
      <c r="BM41" s="30">
        <f>BK41-AD41</f>
        <v>-20803</v>
      </c>
    </row>
    <row r="42" spans="1:65" ht="15.75">
      <c r="A42" s="130"/>
      <c r="B42" s="5" t="s">
        <v>124</v>
      </c>
      <c r="C42" s="11">
        <f t="shared" ref="C42:AH42" si="25">C41-C39</f>
        <v>-8998</v>
      </c>
      <c r="D42" s="11">
        <f t="shared" si="25"/>
        <v>410</v>
      </c>
      <c r="E42" s="11">
        <f t="shared" si="25"/>
        <v>58</v>
      </c>
      <c r="F42" s="11">
        <f t="shared" si="25"/>
        <v>-3008</v>
      </c>
      <c r="G42" s="11">
        <f t="shared" si="25"/>
        <v>-211</v>
      </c>
      <c r="H42" s="11">
        <f t="shared" si="25"/>
        <v>0</v>
      </c>
      <c r="I42" s="11">
        <f t="shared" si="25"/>
        <v>0</v>
      </c>
      <c r="J42" s="11">
        <f t="shared" si="25"/>
        <v>0</v>
      </c>
      <c r="K42" s="11">
        <f t="shared" si="25"/>
        <v>250</v>
      </c>
      <c r="L42" s="11">
        <f t="shared" si="25"/>
        <v>634</v>
      </c>
      <c r="M42" s="11">
        <f t="shared" si="25"/>
        <v>-267</v>
      </c>
      <c r="N42" s="11">
        <f t="shared" si="25"/>
        <v>-10</v>
      </c>
      <c r="O42" s="11">
        <f t="shared" si="25"/>
        <v>-42</v>
      </c>
      <c r="P42" s="11">
        <f t="shared" si="25"/>
        <v>376</v>
      </c>
      <c r="Q42" s="11">
        <f t="shared" si="25"/>
        <v>0</v>
      </c>
      <c r="R42" s="11">
        <f t="shared" si="25"/>
        <v>89</v>
      </c>
      <c r="S42" s="11">
        <f t="shared" si="25"/>
        <v>0</v>
      </c>
      <c r="T42" s="11">
        <f t="shared" si="25"/>
        <v>0</v>
      </c>
      <c r="U42" s="11">
        <f t="shared" si="25"/>
        <v>0</v>
      </c>
      <c r="V42" s="9">
        <f t="shared" si="25"/>
        <v>2748</v>
      </c>
      <c r="W42" s="11">
        <f t="shared" si="25"/>
        <v>0</v>
      </c>
      <c r="X42" s="11">
        <f t="shared" si="25"/>
        <v>0</v>
      </c>
      <c r="Y42" s="11">
        <f t="shared" si="25"/>
        <v>861</v>
      </c>
      <c r="Z42" s="11">
        <f t="shared" si="25"/>
        <v>421</v>
      </c>
      <c r="AA42" s="11">
        <f t="shared" si="25"/>
        <v>67</v>
      </c>
      <c r="AB42" s="11">
        <f t="shared" si="25"/>
        <v>-305</v>
      </c>
      <c r="AC42" s="10">
        <f t="shared" si="25"/>
        <v>16577</v>
      </c>
      <c r="AD42" s="11">
        <f t="shared" si="25"/>
        <v>9650</v>
      </c>
      <c r="AE42" s="11">
        <f t="shared" si="25"/>
        <v>-1</v>
      </c>
      <c r="AF42" s="11">
        <f t="shared" si="25"/>
        <v>-12</v>
      </c>
      <c r="AG42" s="11">
        <f t="shared" si="25"/>
        <v>-2</v>
      </c>
      <c r="AH42" s="11">
        <f t="shared" si="25"/>
        <v>0</v>
      </c>
      <c r="AI42" s="11">
        <f t="shared" ref="AI42:BK42" si="26">AI41-AI39</f>
        <v>0</v>
      </c>
      <c r="AJ42" s="11">
        <f t="shared" si="26"/>
        <v>0</v>
      </c>
      <c r="AK42" s="11">
        <f t="shared" si="26"/>
        <v>4530</v>
      </c>
      <c r="AL42" s="11">
        <f t="shared" si="26"/>
        <v>7570</v>
      </c>
      <c r="AM42" s="11">
        <f t="shared" si="26"/>
        <v>0</v>
      </c>
      <c r="AN42" s="11">
        <f t="shared" si="26"/>
        <v>0</v>
      </c>
      <c r="AO42" s="9">
        <f t="shared" si="26"/>
        <v>433</v>
      </c>
      <c r="AP42" s="276">
        <f t="shared" si="26"/>
        <v>-55174</v>
      </c>
      <c r="AQ42" s="10">
        <f t="shared" si="26"/>
        <v>-362</v>
      </c>
      <c r="AR42" s="11">
        <f t="shared" si="26"/>
        <v>0</v>
      </c>
      <c r="AS42" s="11">
        <f t="shared" si="26"/>
        <v>0</v>
      </c>
      <c r="AT42" s="11">
        <f t="shared" si="26"/>
        <v>0</v>
      </c>
      <c r="AU42" s="11">
        <f t="shared" si="26"/>
        <v>0</v>
      </c>
      <c r="AV42" s="11">
        <f t="shared" si="26"/>
        <v>0</v>
      </c>
      <c r="AW42" s="11">
        <f t="shared" si="26"/>
        <v>0</v>
      </c>
      <c r="AX42" s="11">
        <f t="shared" si="26"/>
        <v>0</v>
      </c>
      <c r="AY42" s="11">
        <f t="shared" si="26"/>
        <v>0</v>
      </c>
      <c r="AZ42" s="11">
        <f t="shared" si="26"/>
        <v>0</v>
      </c>
      <c r="BA42" s="11">
        <f t="shared" si="26"/>
        <v>0</v>
      </c>
      <c r="BB42" s="10">
        <f t="shared" si="26"/>
        <v>17122</v>
      </c>
      <c r="BC42" s="11">
        <f t="shared" si="26"/>
        <v>232</v>
      </c>
      <c r="BD42" s="11">
        <f t="shared" si="26"/>
        <v>230</v>
      </c>
      <c r="BE42" s="11">
        <f t="shared" si="26"/>
        <v>0</v>
      </c>
      <c r="BF42" s="11">
        <f t="shared" si="26"/>
        <v>511</v>
      </c>
      <c r="BG42" s="11">
        <f t="shared" si="26"/>
        <v>0</v>
      </c>
      <c r="BH42" s="9">
        <f t="shared" si="26"/>
        <v>-24923</v>
      </c>
      <c r="BI42" s="45">
        <f t="shared" si="26"/>
        <v>-15273</v>
      </c>
      <c r="BJ42" s="11">
        <f t="shared" si="26"/>
        <v>-9697</v>
      </c>
      <c r="BK42" s="51">
        <f t="shared" si="26"/>
        <v>-5576</v>
      </c>
      <c r="BM42" s="30">
        <f>BK42-AD42</f>
        <v>-15226</v>
      </c>
    </row>
    <row r="43" spans="1:65" ht="15.75">
      <c r="A43" s="130"/>
      <c r="B43" s="5" t="s">
        <v>125</v>
      </c>
      <c r="C43" s="13">
        <f t="shared" ref="C43:AH43" si="27">C42/C39</f>
        <v>-9.2795412825113957E-2</v>
      </c>
      <c r="D43" s="13">
        <f t="shared" si="27"/>
        <v>7.5179697814287813E-3</v>
      </c>
      <c r="E43" s="13" t="e">
        <f t="shared" si="27"/>
        <v>#DIV/0!</v>
      </c>
      <c r="F43" s="13">
        <f t="shared" si="27"/>
        <v>-0.21638731026544852</v>
      </c>
      <c r="G43" s="13">
        <f t="shared" si="27"/>
        <v>-2.3017344823824587E-2</v>
      </c>
      <c r="H43" s="13" t="e">
        <f t="shared" si="27"/>
        <v>#DIV/0!</v>
      </c>
      <c r="I43" s="13" t="e">
        <f t="shared" si="27"/>
        <v>#DIV/0!</v>
      </c>
      <c r="J43" s="13" t="e">
        <f t="shared" si="27"/>
        <v>#DIV/0!</v>
      </c>
      <c r="K43" s="13">
        <f t="shared" si="27"/>
        <v>1.1682242990654206</v>
      </c>
      <c r="L43" s="13">
        <f t="shared" si="27"/>
        <v>0.16848259367525911</v>
      </c>
      <c r="M43" s="13">
        <f t="shared" si="27"/>
        <v>-0.13244047619047619</v>
      </c>
      <c r="N43" s="13">
        <f t="shared" si="27"/>
        <v>-1</v>
      </c>
      <c r="O43" s="13">
        <f t="shared" si="27"/>
        <v>-0.19444444444444445</v>
      </c>
      <c r="P43" s="13">
        <f t="shared" si="27"/>
        <v>0.14220877458396369</v>
      </c>
      <c r="Q43" s="13" t="e">
        <f t="shared" si="27"/>
        <v>#DIV/0!</v>
      </c>
      <c r="R43" s="13">
        <f t="shared" si="27"/>
        <v>0.34230769230769231</v>
      </c>
      <c r="S43" s="13" t="e">
        <f t="shared" si="27"/>
        <v>#DIV/0!</v>
      </c>
      <c r="T43" s="13" t="e">
        <f t="shared" si="27"/>
        <v>#DIV/0!</v>
      </c>
      <c r="U43" s="13" t="e">
        <f t="shared" si="27"/>
        <v>#DIV/0!</v>
      </c>
      <c r="V43" s="163">
        <f t="shared" si="27"/>
        <v>0.37773195876288662</v>
      </c>
      <c r="W43" s="13" t="e">
        <f t="shared" si="27"/>
        <v>#DIV/0!</v>
      </c>
      <c r="X43" s="13" t="e">
        <f t="shared" si="27"/>
        <v>#DIV/0!</v>
      </c>
      <c r="Y43" s="13">
        <f t="shared" si="27"/>
        <v>2.7160883280757098</v>
      </c>
      <c r="Z43" s="13">
        <f t="shared" si="27"/>
        <v>4.295918367346939</v>
      </c>
      <c r="AA43" s="13">
        <f t="shared" si="27"/>
        <v>1.1551724137931034</v>
      </c>
      <c r="AB43" s="13">
        <f t="shared" si="27"/>
        <v>-1</v>
      </c>
      <c r="AC43" s="14">
        <f t="shared" si="27"/>
        <v>0.68066847335140013</v>
      </c>
      <c r="AD43" s="13">
        <f t="shared" si="27"/>
        <v>4.4655252198056453E-2</v>
      </c>
      <c r="AE43" s="13">
        <f t="shared" si="27"/>
        <v>-1</v>
      </c>
      <c r="AF43" s="13">
        <f t="shared" si="27"/>
        <v>-0.54545454545454541</v>
      </c>
      <c r="AG43" s="13">
        <f t="shared" si="27"/>
        <v>-1</v>
      </c>
      <c r="AH43" s="13" t="e">
        <f t="shared" si="27"/>
        <v>#DIV/0!</v>
      </c>
      <c r="AI43" s="13" t="e">
        <f t="shared" ref="AI43:BK43" si="28">AI42/AI39</f>
        <v>#DIV/0!</v>
      </c>
      <c r="AJ43" s="13" t="e">
        <f t="shared" si="28"/>
        <v>#DIV/0!</v>
      </c>
      <c r="AK43" s="13">
        <f t="shared" si="28"/>
        <v>0.18790443006470881</v>
      </c>
      <c r="AL43" s="13">
        <f t="shared" si="28"/>
        <v>1.8396111786148237</v>
      </c>
      <c r="AM43" s="13" t="e">
        <f t="shared" si="28"/>
        <v>#DIV/0!</v>
      </c>
      <c r="AN43" s="13" t="e">
        <f t="shared" si="28"/>
        <v>#DIV/0!</v>
      </c>
      <c r="AO43" s="163">
        <f t="shared" si="28"/>
        <v>6.7783343769567933E-2</v>
      </c>
      <c r="AP43" s="277">
        <f t="shared" si="28"/>
        <v>0.7092776613660029</v>
      </c>
      <c r="AQ43" s="14">
        <f t="shared" si="28"/>
        <v>-2.0380587771647338E-2</v>
      </c>
      <c r="AR43" s="13" t="e">
        <f t="shared" si="28"/>
        <v>#DIV/0!</v>
      </c>
      <c r="AS43" s="13" t="e">
        <f t="shared" si="28"/>
        <v>#DIV/0!</v>
      </c>
      <c r="AT43" s="13" t="e">
        <f t="shared" si="28"/>
        <v>#DIV/0!</v>
      </c>
      <c r="AU43" s="13" t="e">
        <f t="shared" si="28"/>
        <v>#DIV/0!</v>
      </c>
      <c r="AV43" s="13" t="e">
        <f t="shared" si="28"/>
        <v>#DIV/0!</v>
      </c>
      <c r="AW43" s="13" t="e">
        <f t="shared" si="28"/>
        <v>#DIV/0!</v>
      </c>
      <c r="AX43" s="13" t="e">
        <f t="shared" si="28"/>
        <v>#DIV/0!</v>
      </c>
      <c r="AY43" s="13" t="e">
        <f t="shared" si="28"/>
        <v>#DIV/0!</v>
      </c>
      <c r="AZ43" s="13" t="e">
        <f t="shared" si="28"/>
        <v>#DIV/0!</v>
      </c>
      <c r="BA43" s="13" t="e">
        <f t="shared" si="28"/>
        <v>#DIV/0!</v>
      </c>
      <c r="BB43" s="14">
        <f t="shared" si="28"/>
        <v>0.62207527975584942</v>
      </c>
      <c r="BC43" s="13">
        <f t="shared" si="28"/>
        <v>1.9173553719008265</v>
      </c>
      <c r="BD43" s="13">
        <f t="shared" si="28"/>
        <v>1.8699186991869918</v>
      </c>
      <c r="BE43" s="13" t="e">
        <f t="shared" si="28"/>
        <v>#DIV/0!</v>
      </c>
      <c r="BF43" s="13">
        <f t="shared" si="28"/>
        <v>0.28341652800887412</v>
      </c>
      <c r="BG43" s="13" t="e">
        <f t="shared" si="28"/>
        <v>#DIV/0!</v>
      </c>
      <c r="BH43" s="163">
        <f t="shared" si="28"/>
        <v>-5.96244019138756</v>
      </c>
      <c r="BI43" s="46">
        <f t="shared" si="28"/>
        <v>-6.9334483384782999E-2</v>
      </c>
      <c r="BJ43" s="13">
        <f t="shared" si="28"/>
        <v>-0.99385056882238398</v>
      </c>
      <c r="BK43" s="52">
        <f t="shared" si="28"/>
        <v>-2.6486417161070287E-2</v>
      </c>
      <c r="BM43" s="163">
        <f>BM42/BM39</f>
        <v>2.7301416532185763</v>
      </c>
    </row>
    <row r="44" spans="1:65" ht="15.75">
      <c r="A44" s="130"/>
      <c r="B44" s="5" t="s">
        <v>126</v>
      </c>
      <c r="C44" s="11">
        <f>C41-C40</f>
        <v>1880</v>
      </c>
      <c r="D44" s="11">
        <f t="shared" ref="D44:BK44" si="29">D41-D40</f>
        <v>8050</v>
      </c>
      <c r="E44" s="11">
        <f t="shared" si="29"/>
        <v>58</v>
      </c>
      <c r="F44" s="11">
        <f t="shared" si="29"/>
        <v>438</v>
      </c>
      <c r="G44" s="11">
        <f t="shared" si="29"/>
        <v>607</v>
      </c>
      <c r="H44" s="11">
        <f t="shared" si="29"/>
        <v>0</v>
      </c>
      <c r="I44" s="11">
        <f t="shared" si="29"/>
        <v>0</v>
      </c>
      <c r="J44" s="11">
        <f t="shared" si="29"/>
        <v>0</v>
      </c>
      <c r="K44" s="11">
        <f t="shared" si="29"/>
        <v>406</v>
      </c>
      <c r="L44" s="11">
        <f t="shared" si="29"/>
        <v>-3267</v>
      </c>
      <c r="M44" s="11">
        <f t="shared" si="29"/>
        <v>-271</v>
      </c>
      <c r="N44" s="11">
        <f t="shared" si="29"/>
        <v>0</v>
      </c>
      <c r="O44" s="11">
        <f t="shared" si="29"/>
        <v>-183</v>
      </c>
      <c r="P44" s="11">
        <f t="shared" si="29"/>
        <v>-3766</v>
      </c>
      <c r="Q44" s="11">
        <f t="shared" si="29"/>
        <v>0</v>
      </c>
      <c r="R44" s="11">
        <f t="shared" si="29"/>
        <v>121</v>
      </c>
      <c r="S44" s="11">
        <f t="shared" si="29"/>
        <v>0</v>
      </c>
      <c r="T44" s="11">
        <f t="shared" si="29"/>
        <v>0</v>
      </c>
      <c r="U44" s="11">
        <f>U41-U40</f>
        <v>0</v>
      </c>
      <c r="V44" s="9">
        <f t="shared" si="29"/>
        <v>5728</v>
      </c>
      <c r="W44" s="11">
        <f t="shared" si="29"/>
        <v>0</v>
      </c>
      <c r="X44" s="11">
        <f t="shared" si="29"/>
        <v>0</v>
      </c>
      <c r="Y44" s="11">
        <f t="shared" si="29"/>
        <v>773</v>
      </c>
      <c r="Z44" s="11">
        <f t="shared" si="29"/>
        <v>403</v>
      </c>
      <c r="AA44" s="11">
        <f t="shared" si="29"/>
        <v>41</v>
      </c>
      <c r="AB44" s="11">
        <f>AB41-AB40</f>
        <v>0</v>
      </c>
      <c r="AC44" s="10">
        <f>AC41-AC40</f>
        <v>27550</v>
      </c>
      <c r="AD44" s="11">
        <f>AD41-AD40</f>
        <v>38568</v>
      </c>
      <c r="AE44" s="11">
        <f t="shared" si="29"/>
        <v>0</v>
      </c>
      <c r="AF44" s="11">
        <f t="shared" si="29"/>
        <v>-11</v>
      </c>
      <c r="AG44" s="11">
        <f t="shared" si="29"/>
        <v>0</v>
      </c>
      <c r="AH44" s="11">
        <f t="shared" si="29"/>
        <v>0</v>
      </c>
      <c r="AI44" s="11">
        <f t="shared" si="29"/>
        <v>0</v>
      </c>
      <c r="AJ44" s="11">
        <f t="shared" si="29"/>
        <v>0</v>
      </c>
      <c r="AK44" s="11">
        <f t="shared" si="29"/>
        <v>27612</v>
      </c>
      <c r="AL44" s="11">
        <f t="shared" si="29"/>
        <v>8792</v>
      </c>
      <c r="AM44" s="11">
        <f t="shared" si="29"/>
        <v>0</v>
      </c>
      <c r="AN44" s="11">
        <f t="shared" si="29"/>
        <v>0</v>
      </c>
      <c r="AO44" s="9">
        <f t="shared" si="29"/>
        <v>-3862</v>
      </c>
      <c r="AP44" s="276">
        <f t="shared" si="29"/>
        <v>-133176</v>
      </c>
      <c r="AQ44" s="10">
        <f t="shared" si="29"/>
        <v>6994</v>
      </c>
      <c r="AR44" s="11">
        <f t="shared" si="29"/>
        <v>0</v>
      </c>
      <c r="AS44" s="11">
        <f t="shared" si="29"/>
        <v>0</v>
      </c>
      <c r="AT44" s="11">
        <f t="shared" si="29"/>
        <v>0</v>
      </c>
      <c r="AU44" s="11">
        <f t="shared" si="29"/>
        <v>0</v>
      </c>
      <c r="AV44" s="11">
        <f t="shared" si="29"/>
        <v>0</v>
      </c>
      <c r="AW44" s="11">
        <f t="shared" si="29"/>
        <v>0</v>
      </c>
      <c r="AX44" s="11">
        <f t="shared" si="29"/>
        <v>0</v>
      </c>
      <c r="AY44" s="11">
        <f t="shared" si="29"/>
        <v>0</v>
      </c>
      <c r="AZ44" s="11">
        <f t="shared" si="29"/>
        <v>0</v>
      </c>
      <c r="BA44" s="11">
        <f t="shared" si="29"/>
        <v>0</v>
      </c>
      <c r="BB44" s="10">
        <f t="shared" si="29"/>
        <v>27675</v>
      </c>
      <c r="BC44" s="11">
        <f t="shared" si="29"/>
        <v>277</v>
      </c>
      <c r="BD44" s="11">
        <f t="shared" si="29"/>
        <v>277</v>
      </c>
      <c r="BE44" s="11">
        <f t="shared" si="29"/>
        <v>0</v>
      </c>
      <c r="BF44" s="11">
        <f t="shared" si="29"/>
        <v>155</v>
      </c>
      <c r="BG44" s="11">
        <f t="shared" si="29"/>
        <v>0</v>
      </c>
      <c r="BH44" s="9">
        <f t="shared" si="29"/>
        <v>-65267</v>
      </c>
      <c r="BI44" s="45">
        <f t="shared" si="29"/>
        <v>-26699</v>
      </c>
      <c r="BJ44" s="11">
        <f t="shared" si="29"/>
        <v>-24</v>
      </c>
      <c r="BK44" s="51">
        <f t="shared" si="29"/>
        <v>-26675</v>
      </c>
      <c r="BM44" s="30">
        <f>BK44-AD44</f>
        <v>-65243</v>
      </c>
    </row>
    <row r="45" spans="1:65" ht="15.75">
      <c r="A45" s="130"/>
      <c r="B45" s="5" t="s">
        <v>127</v>
      </c>
      <c r="C45" s="13">
        <f t="shared" ref="C45:AH45" si="30">C44/C40</f>
        <v>2.1838119133909487E-2</v>
      </c>
      <c r="D45" s="13">
        <f t="shared" si="30"/>
        <v>0.17165643125213237</v>
      </c>
      <c r="E45" s="13" t="e">
        <f t="shared" si="30"/>
        <v>#DIV/0!</v>
      </c>
      <c r="F45" s="13">
        <f t="shared" si="30"/>
        <v>4.1893830703012912E-2</v>
      </c>
      <c r="G45" s="13">
        <f t="shared" si="30"/>
        <v>7.2703317762606301E-2</v>
      </c>
      <c r="H45" s="13" t="e">
        <f t="shared" si="30"/>
        <v>#DIV/0!</v>
      </c>
      <c r="I45" s="13" t="e">
        <f t="shared" si="30"/>
        <v>#DIV/0!</v>
      </c>
      <c r="J45" s="13" t="e">
        <f t="shared" si="30"/>
        <v>#DIV/0!</v>
      </c>
      <c r="K45" s="13">
        <f t="shared" si="30"/>
        <v>7</v>
      </c>
      <c r="L45" s="13">
        <f t="shared" si="30"/>
        <v>-0.42627870563674319</v>
      </c>
      <c r="M45" s="13">
        <f t="shared" si="30"/>
        <v>-0.13415841584158417</v>
      </c>
      <c r="N45" s="13" t="e">
        <f t="shared" si="30"/>
        <v>#DIV/0!</v>
      </c>
      <c r="O45" s="13">
        <f t="shared" si="30"/>
        <v>-0.51260504201680668</v>
      </c>
      <c r="P45" s="13">
        <f t="shared" si="30"/>
        <v>-0.5549661066902446</v>
      </c>
      <c r="Q45" s="13" t="e">
        <f t="shared" si="30"/>
        <v>#DIV/0!</v>
      </c>
      <c r="R45" s="13">
        <f t="shared" si="30"/>
        <v>0.5307017543859649</v>
      </c>
      <c r="S45" s="13" t="e">
        <f t="shared" si="30"/>
        <v>#DIV/0!</v>
      </c>
      <c r="T45" s="13" t="e">
        <f t="shared" si="30"/>
        <v>#DIV/0!</v>
      </c>
      <c r="U45" s="13" t="e">
        <f t="shared" si="30"/>
        <v>#DIV/0!</v>
      </c>
      <c r="V45" s="163">
        <f t="shared" si="30"/>
        <v>1.3336437718277065</v>
      </c>
      <c r="W45" s="13" t="e">
        <f t="shared" si="30"/>
        <v>#DIV/0!</v>
      </c>
      <c r="X45" s="13" t="e">
        <f t="shared" si="30"/>
        <v>#DIV/0!</v>
      </c>
      <c r="Y45" s="13">
        <f t="shared" si="30"/>
        <v>1.9086419753086419</v>
      </c>
      <c r="Z45" s="13">
        <f t="shared" si="30"/>
        <v>3.4741379310344827</v>
      </c>
      <c r="AA45" s="13">
        <f t="shared" si="30"/>
        <v>0.48809523809523808</v>
      </c>
      <c r="AB45" s="13" t="e">
        <f t="shared" si="30"/>
        <v>#DIV/0!</v>
      </c>
      <c r="AC45" s="14">
        <f t="shared" si="30"/>
        <v>2.0588894701442344</v>
      </c>
      <c r="AD45" s="13">
        <f t="shared" si="30"/>
        <v>0.206045453088438</v>
      </c>
      <c r="AE45" s="13" t="e">
        <f t="shared" si="30"/>
        <v>#DIV/0!</v>
      </c>
      <c r="AF45" s="13">
        <f t="shared" si="30"/>
        <v>-0.52380952380952384</v>
      </c>
      <c r="AG45" s="13" t="e">
        <f t="shared" si="30"/>
        <v>#DIV/0!</v>
      </c>
      <c r="AH45" s="13" t="e">
        <f t="shared" si="30"/>
        <v>#DIV/0!</v>
      </c>
      <c r="AI45" s="13" t="e">
        <f t="shared" ref="AI45:BK45" si="31">AI44/AI40</f>
        <v>#DIV/0!</v>
      </c>
      <c r="AJ45" s="13" t="e">
        <f t="shared" si="31"/>
        <v>#DIV/0!</v>
      </c>
      <c r="AK45" s="13">
        <f t="shared" si="31"/>
        <v>26.912280701754387</v>
      </c>
      <c r="AL45" s="13">
        <f t="shared" si="31"/>
        <v>3.0390597995160733</v>
      </c>
      <c r="AM45" s="13" t="e">
        <f t="shared" si="31"/>
        <v>#DIV/0!</v>
      </c>
      <c r="AN45" s="13" t="e">
        <f t="shared" si="31"/>
        <v>#DIV/0!</v>
      </c>
      <c r="AO45" s="163">
        <f t="shared" si="31"/>
        <v>-0.36150893943648787</v>
      </c>
      <c r="AP45" s="277">
        <f t="shared" si="31"/>
        <v>-625.23943661971828</v>
      </c>
      <c r="AQ45" s="14">
        <f t="shared" si="31"/>
        <v>0.6721122429367673</v>
      </c>
      <c r="AR45" s="13" t="e">
        <f t="shared" si="31"/>
        <v>#DIV/0!</v>
      </c>
      <c r="AS45" s="13" t="e">
        <f t="shared" si="31"/>
        <v>#DIV/0!</v>
      </c>
      <c r="AT45" s="13" t="e">
        <f t="shared" si="31"/>
        <v>#DIV/0!</v>
      </c>
      <c r="AU45" s="13" t="e">
        <f t="shared" si="31"/>
        <v>#DIV/0!</v>
      </c>
      <c r="AV45" s="13" t="e">
        <f t="shared" si="31"/>
        <v>#DIV/0!</v>
      </c>
      <c r="AW45" s="13" t="e">
        <f t="shared" si="31"/>
        <v>#DIV/0!</v>
      </c>
      <c r="AX45" s="13" t="e">
        <f t="shared" si="31"/>
        <v>#DIV/0!</v>
      </c>
      <c r="AY45" s="13" t="e">
        <f t="shared" si="31"/>
        <v>#DIV/0!</v>
      </c>
      <c r="AZ45" s="13" t="e">
        <f t="shared" si="31"/>
        <v>#DIV/0!</v>
      </c>
      <c r="BA45" s="13" t="e">
        <f t="shared" si="31"/>
        <v>#DIV/0!</v>
      </c>
      <c r="BB45" s="14">
        <f t="shared" si="31"/>
        <v>1.6307229980555065</v>
      </c>
      <c r="BC45" s="13">
        <f t="shared" si="31"/>
        <v>3.6447368421052633</v>
      </c>
      <c r="BD45" s="13">
        <f t="shared" si="31"/>
        <v>3.6447368421052633</v>
      </c>
      <c r="BE45" s="13" t="e">
        <f t="shared" si="31"/>
        <v>#DIV/0!</v>
      </c>
      <c r="BF45" s="13">
        <f t="shared" si="31"/>
        <v>7.1792496526169522E-2</v>
      </c>
      <c r="BG45" s="13" t="e">
        <f t="shared" si="31"/>
        <v>#DIV/0!</v>
      </c>
      <c r="BH45" s="163">
        <f t="shared" si="31"/>
        <v>-1.4658835684125415</v>
      </c>
      <c r="BI45" s="46">
        <f t="shared" si="31"/>
        <v>-0.11522791813763994</v>
      </c>
      <c r="BJ45" s="13">
        <f t="shared" si="31"/>
        <v>-0.2857142857142857</v>
      </c>
      <c r="BK45" s="52">
        <f t="shared" si="31"/>
        <v>-0.11516608957698318</v>
      </c>
      <c r="BM45" s="14">
        <f>BM44/BM40</f>
        <v>-1.468114311431143</v>
      </c>
    </row>
    <row r="46" spans="1:65" ht="15.75">
      <c r="A46" s="130"/>
      <c r="B46" s="5" t="s">
        <v>323</v>
      </c>
      <c r="C46" s="128">
        <f>C41/C38</f>
        <v>0.17236696952893391</v>
      </c>
      <c r="D46" s="128">
        <f t="shared" ref="D46:BK46" si="32">D41/D38</f>
        <v>0.19143013423730704</v>
      </c>
      <c r="E46" s="128" t="e">
        <f t="shared" si="32"/>
        <v>#DIV/0!</v>
      </c>
      <c r="F46" s="128">
        <f t="shared" si="32"/>
        <v>0.14888062761391904</v>
      </c>
      <c r="G46" s="128">
        <f t="shared" si="32"/>
        <v>0.1856011936834252</v>
      </c>
      <c r="H46" s="128" t="e">
        <f t="shared" si="32"/>
        <v>#DIV/0!</v>
      </c>
      <c r="I46" s="128" t="e">
        <f t="shared" si="32"/>
        <v>#DIV/0!</v>
      </c>
      <c r="J46" s="128" t="e">
        <f t="shared" si="32"/>
        <v>#DIV/0!</v>
      </c>
      <c r="K46" s="128">
        <f t="shared" si="32"/>
        <v>0.41061946902654867</v>
      </c>
      <c r="L46" s="128">
        <f t="shared" si="32"/>
        <v>0.22195860676426046</v>
      </c>
      <c r="M46" s="128">
        <f t="shared" si="32"/>
        <v>0.16487556561085973</v>
      </c>
      <c r="N46" s="128">
        <f t="shared" si="32"/>
        <v>0</v>
      </c>
      <c r="O46" s="128">
        <f t="shared" si="32"/>
        <v>0.15384615384615385</v>
      </c>
      <c r="P46" s="128">
        <f t="shared" si="32"/>
        <v>0.2169851990228481</v>
      </c>
      <c r="Q46" s="128" t="e">
        <f t="shared" si="32"/>
        <v>#DIV/0!</v>
      </c>
      <c r="R46" s="128">
        <f t="shared" si="32"/>
        <v>0.25605282465150403</v>
      </c>
      <c r="S46" s="128" t="e">
        <f t="shared" si="32"/>
        <v>#DIV/0!</v>
      </c>
      <c r="T46" s="128" t="e">
        <f t="shared" si="32"/>
        <v>#DIV/0!</v>
      </c>
      <c r="U46" s="128" t="e">
        <f t="shared" si="32"/>
        <v>#DIV/0!</v>
      </c>
      <c r="V46" s="178">
        <f t="shared" si="32"/>
        <v>0.26175863780000524</v>
      </c>
      <c r="W46" s="128" t="e">
        <f t="shared" si="32"/>
        <v>#DIV/0!</v>
      </c>
      <c r="X46" s="128" t="e">
        <f t="shared" si="32"/>
        <v>#DIV/0!</v>
      </c>
      <c r="Y46" s="128">
        <f t="shared" si="32"/>
        <v>0.70708283313325326</v>
      </c>
      <c r="Z46" s="128">
        <f t="shared" si="32"/>
        <v>1.007766990291262</v>
      </c>
      <c r="AA46" s="128">
        <f t="shared" si="32"/>
        <v>0.4098360655737705</v>
      </c>
      <c r="AB46" s="128">
        <f>AB41/AB38</f>
        <v>0</v>
      </c>
      <c r="AC46" s="217">
        <f t="shared" si="32"/>
        <v>0.31933186141039344</v>
      </c>
      <c r="AD46" s="128">
        <f t="shared" si="32"/>
        <v>0.19848282628994054</v>
      </c>
      <c r="AE46" s="128">
        <f t="shared" si="32"/>
        <v>0</v>
      </c>
      <c r="AF46" s="128">
        <f t="shared" si="32"/>
        <v>0.10752688172043011</v>
      </c>
      <c r="AG46" s="128">
        <f t="shared" si="32"/>
        <v>0</v>
      </c>
      <c r="AH46" s="128" t="e">
        <f t="shared" si="32"/>
        <v>#DIV/0!</v>
      </c>
      <c r="AI46" s="128" t="e">
        <f t="shared" si="32"/>
        <v>#DIV/0!</v>
      </c>
      <c r="AJ46" s="128" t="e">
        <f t="shared" si="32"/>
        <v>#DIV/0!</v>
      </c>
      <c r="AK46" s="128">
        <f t="shared" si="32"/>
        <v>0.28508854887360258</v>
      </c>
      <c r="AL46" s="128">
        <f t="shared" si="32"/>
        <v>0.6814603137575086</v>
      </c>
      <c r="AM46" s="128" t="e">
        <f t="shared" si="32"/>
        <v>#DIV/0!</v>
      </c>
      <c r="AN46" s="128" t="e">
        <f t="shared" si="32"/>
        <v>#DIV/0!</v>
      </c>
      <c r="AO46" s="178">
        <f t="shared" si="32"/>
        <v>0.25628405034754836</v>
      </c>
      <c r="AP46" s="278">
        <f t="shared" si="32"/>
        <v>0.4102188339755713</v>
      </c>
      <c r="AQ46" s="217">
        <f t="shared" si="32"/>
        <v>0.23510018780992015</v>
      </c>
      <c r="AR46" s="128" t="e">
        <f t="shared" si="32"/>
        <v>#DIV/0!</v>
      </c>
      <c r="AS46" s="128" t="e">
        <f t="shared" si="32"/>
        <v>#DIV/0!</v>
      </c>
      <c r="AT46" s="128" t="e">
        <f t="shared" si="32"/>
        <v>#DIV/0!</v>
      </c>
      <c r="AU46" s="128" t="e">
        <f t="shared" si="32"/>
        <v>#DIV/0!</v>
      </c>
      <c r="AV46" s="128" t="e">
        <f t="shared" si="32"/>
        <v>#DIV/0!</v>
      </c>
      <c r="AW46" s="128" t="e">
        <f t="shared" si="32"/>
        <v>#DIV/0!</v>
      </c>
      <c r="AX46" s="128" t="e">
        <f t="shared" si="32"/>
        <v>#DIV/0!</v>
      </c>
      <c r="AY46" s="128" t="e">
        <f t="shared" si="32"/>
        <v>#DIV/0!</v>
      </c>
      <c r="AZ46" s="128" t="e">
        <f t="shared" si="32"/>
        <v>#DIV/0!</v>
      </c>
      <c r="BA46" s="128" t="e">
        <f t="shared" si="32"/>
        <v>#DIV/0!</v>
      </c>
      <c r="BB46" s="217">
        <f t="shared" si="32"/>
        <v>0.38929919866065588</v>
      </c>
      <c r="BC46" s="128">
        <f t="shared" si="32"/>
        <v>0.70039682539682535</v>
      </c>
      <c r="BD46" s="128">
        <f t="shared" si="32"/>
        <v>0.69080234833659493</v>
      </c>
      <c r="BE46" s="128" t="e">
        <f t="shared" si="32"/>
        <v>#DIV/0!</v>
      </c>
      <c r="BF46" s="128">
        <f t="shared" si="32"/>
        <v>0.30783557270187573</v>
      </c>
      <c r="BG46" s="128">
        <f t="shared" si="32"/>
        <v>0</v>
      </c>
      <c r="BH46" s="178">
        <f t="shared" si="32"/>
        <v>-1.1906210538399724</v>
      </c>
      <c r="BI46" s="128">
        <f t="shared" si="32"/>
        <v>0.17752597852441981</v>
      </c>
      <c r="BJ46" s="128">
        <f t="shared" si="32"/>
        <v>1.4757969303423849E-3</v>
      </c>
      <c r="BK46" s="128">
        <f t="shared" si="32"/>
        <v>0.18395018956257</v>
      </c>
      <c r="BM46" s="128">
        <f>BM41/BM38</f>
        <v>0.89536885598691573</v>
      </c>
    </row>
    <row r="47" spans="1:65" s="181" customFormat="1" ht="15.75">
      <c r="A47" s="130"/>
      <c r="B47" s="5" t="s">
        <v>322</v>
      </c>
      <c r="C47" s="11">
        <f>C38-C41</f>
        <v>422385</v>
      </c>
      <c r="D47" s="11">
        <f t="shared" ref="D47:BK47" si="33">D38-D41</f>
        <v>232083</v>
      </c>
      <c r="E47" s="11">
        <f t="shared" si="33"/>
        <v>-58</v>
      </c>
      <c r="F47" s="11">
        <f t="shared" si="33"/>
        <v>62273</v>
      </c>
      <c r="G47" s="11">
        <f t="shared" si="33"/>
        <v>39298</v>
      </c>
      <c r="H47" s="11">
        <f t="shared" si="33"/>
        <v>0</v>
      </c>
      <c r="I47" s="11">
        <f t="shared" si="33"/>
        <v>0</v>
      </c>
      <c r="J47" s="11">
        <f t="shared" si="33"/>
        <v>0</v>
      </c>
      <c r="K47" s="11">
        <f t="shared" si="33"/>
        <v>666</v>
      </c>
      <c r="L47" s="11">
        <f t="shared" si="33"/>
        <v>15413</v>
      </c>
      <c r="M47" s="11">
        <f t="shared" si="33"/>
        <v>8859</v>
      </c>
      <c r="N47" s="11">
        <f t="shared" si="33"/>
        <v>55</v>
      </c>
      <c r="O47" s="11">
        <f t="shared" si="33"/>
        <v>957</v>
      </c>
      <c r="P47" s="11">
        <f t="shared" si="33"/>
        <v>10898</v>
      </c>
      <c r="Q47" s="11">
        <f t="shared" si="33"/>
        <v>0</v>
      </c>
      <c r="R47" s="11">
        <f t="shared" si="33"/>
        <v>1014</v>
      </c>
      <c r="S47" s="11">
        <f t="shared" si="33"/>
        <v>0</v>
      </c>
      <c r="T47" s="11">
        <f t="shared" si="33"/>
        <v>0</v>
      </c>
      <c r="U47" s="11">
        <f t="shared" si="33"/>
        <v>0</v>
      </c>
      <c r="V47" s="11">
        <f t="shared" si="33"/>
        <v>28268</v>
      </c>
      <c r="W47" s="11">
        <f t="shared" si="33"/>
        <v>0</v>
      </c>
      <c r="X47" s="11">
        <f t="shared" si="33"/>
        <v>0</v>
      </c>
      <c r="Y47" s="11">
        <f t="shared" si="33"/>
        <v>488</v>
      </c>
      <c r="Z47" s="11">
        <f t="shared" si="33"/>
        <v>-4</v>
      </c>
      <c r="AA47" s="11">
        <f t="shared" si="33"/>
        <v>180</v>
      </c>
      <c r="AB47" s="11">
        <f t="shared" si="33"/>
        <v>1607</v>
      </c>
      <c r="AC47" s="11">
        <f t="shared" si="33"/>
        <v>87246</v>
      </c>
      <c r="AD47" s="11">
        <f t="shared" si="33"/>
        <v>911628</v>
      </c>
      <c r="AE47" s="11">
        <f t="shared" si="33"/>
        <v>6</v>
      </c>
      <c r="AF47" s="11">
        <f t="shared" si="33"/>
        <v>83</v>
      </c>
      <c r="AG47" s="11">
        <f t="shared" si="33"/>
        <v>7</v>
      </c>
      <c r="AH47" s="11">
        <f t="shared" si="33"/>
        <v>0</v>
      </c>
      <c r="AI47" s="11">
        <f t="shared" si="33"/>
        <v>0</v>
      </c>
      <c r="AJ47" s="11">
        <f t="shared" si="33"/>
        <v>0</v>
      </c>
      <c r="AK47" s="11">
        <f t="shared" si="33"/>
        <v>71815</v>
      </c>
      <c r="AL47" s="11">
        <f t="shared" si="33"/>
        <v>5462</v>
      </c>
      <c r="AM47" s="11">
        <f t="shared" si="33"/>
        <v>0</v>
      </c>
      <c r="AN47" s="11">
        <f t="shared" si="33"/>
        <v>0</v>
      </c>
      <c r="AO47" s="11">
        <f t="shared" si="33"/>
        <v>19794</v>
      </c>
      <c r="AP47" s="276">
        <f t="shared" si="33"/>
        <v>-191164</v>
      </c>
      <c r="AQ47" s="11">
        <f t="shared" si="33"/>
        <v>56611</v>
      </c>
      <c r="AR47" s="11">
        <f t="shared" si="33"/>
        <v>0</v>
      </c>
      <c r="AS47" s="11">
        <f t="shared" si="33"/>
        <v>0</v>
      </c>
      <c r="AT47" s="11">
        <f t="shared" si="33"/>
        <v>0</v>
      </c>
      <c r="AU47" s="11">
        <f t="shared" si="33"/>
        <v>0</v>
      </c>
      <c r="AV47" s="11">
        <f t="shared" si="33"/>
        <v>0</v>
      </c>
      <c r="AW47" s="11">
        <f t="shared" si="33"/>
        <v>0</v>
      </c>
      <c r="AX47" s="11">
        <f t="shared" si="33"/>
        <v>0</v>
      </c>
      <c r="AY47" s="11">
        <f t="shared" si="33"/>
        <v>0</v>
      </c>
      <c r="AZ47" s="11">
        <f t="shared" si="33"/>
        <v>0</v>
      </c>
      <c r="BA47" s="11">
        <f t="shared" si="33"/>
        <v>0</v>
      </c>
      <c r="BB47" s="11">
        <f t="shared" si="33"/>
        <v>70037</v>
      </c>
      <c r="BC47" s="11">
        <f t="shared" si="33"/>
        <v>151</v>
      </c>
      <c r="BD47" s="11">
        <f t="shared" si="33"/>
        <v>158</v>
      </c>
      <c r="BE47" s="11">
        <f t="shared" si="33"/>
        <v>0</v>
      </c>
      <c r="BF47" s="11">
        <f t="shared" si="33"/>
        <v>5203</v>
      </c>
      <c r="BG47" s="11">
        <f t="shared" si="33"/>
        <v>2</v>
      </c>
      <c r="BH47" s="11">
        <f t="shared" si="33"/>
        <v>38165</v>
      </c>
      <c r="BI47" s="11">
        <f t="shared" si="33"/>
        <v>949793</v>
      </c>
      <c r="BJ47" s="11">
        <f t="shared" si="33"/>
        <v>40596</v>
      </c>
      <c r="BK47" s="11">
        <f t="shared" si="33"/>
        <v>909197</v>
      </c>
      <c r="BL47" s="11">
        <f>BL41-BL38</f>
        <v>204947</v>
      </c>
      <c r="BM47" s="11">
        <f>BM41-BM38</f>
        <v>2431</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279"/>
      <c r="AQ48" s="6"/>
      <c r="AR48" s="5"/>
      <c r="AS48" s="5"/>
      <c r="AT48" s="5"/>
      <c r="AU48" s="5"/>
      <c r="AV48" s="5"/>
      <c r="AW48" s="6"/>
      <c r="AX48" s="5"/>
      <c r="AY48" s="5"/>
      <c r="AZ48" s="5"/>
      <c r="BA48" s="5"/>
      <c r="BB48" s="6"/>
      <c r="BC48" s="5"/>
      <c r="BD48" s="5"/>
      <c r="BE48" s="5"/>
      <c r="BF48" s="5"/>
      <c r="BG48" s="5"/>
      <c r="BH48" s="16"/>
      <c r="BI48" s="44"/>
      <c r="BJ48" s="11"/>
      <c r="BK48" s="50"/>
    </row>
    <row r="49" spans="1:65" s="179" customFormat="1" ht="15.75">
      <c r="A49" s="269" t="s">
        <v>131</v>
      </c>
      <c r="B49" s="9" t="s">
        <v>316</v>
      </c>
      <c r="C49" s="225">
        <v>651344</v>
      </c>
      <c r="D49" s="225">
        <v>363259</v>
      </c>
      <c r="E49" s="225">
        <v>0</v>
      </c>
      <c r="F49" s="225">
        <v>65132</v>
      </c>
      <c r="G49" s="225">
        <v>56000</v>
      </c>
      <c r="H49" s="225"/>
      <c r="I49" s="225"/>
      <c r="J49" s="225">
        <v>3135</v>
      </c>
      <c r="K49" s="225">
        <v>459</v>
      </c>
      <c r="L49" s="225">
        <v>13623</v>
      </c>
      <c r="M49" s="225">
        <v>15977</v>
      </c>
      <c r="N49" s="225">
        <v>11</v>
      </c>
      <c r="O49" s="225">
        <v>2413</v>
      </c>
      <c r="P49" s="225">
        <v>58809</v>
      </c>
      <c r="Q49" s="225"/>
      <c r="R49" s="225">
        <v>2012</v>
      </c>
      <c r="S49" s="225"/>
      <c r="T49" s="225"/>
      <c r="U49" s="225"/>
      <c r="V49" s="225"/>
      <c r="W49" s="225"/>
      <c r="X49" s="225"/>
      <c r="Y49" s="225">
        <v>6939</v>
      </c>
      <c r="Z49" s="225">
        <v>3655</v>
      </c>
      <c r="AA49" s="225">
        <v>2008</v>
      </c>
      <c r="AB49" s="225">
        <v>237</v>
      </c>
      <c r="AC49" s="225"/>
      <c r="AD49" s="226">
        <f>SUM(C49:AC49)</f>
        <v>1245013</v>
      </c>
      <c r="AE49" s="225">
        <v>77</v>
      </c>
      <c r="AF49" s="225">
        <v>5227</v>
      </c>
      <c r="AG49" s="225">
        <v>2017</v>
      </c>
      <c r="AH49" s="225">
        <v>0</v>
      </c>
      <c r="AI49" s="225"/>
      <c r="AJ49" s="225"/>
      <c r="AK49" s="225">
        <v>121987</v>
      </c>
      <c r="AL49" s="225">
        <v>87238</v>
      </c>
      <c r="AM49" s="225"/>
      <c r="AN49" s="225">
        <v>41</v>
      </c>
      <c r="AO49" s="225">
        <v>210882</v>
      </c>
      <c r="AP49" s="274">
        <v>13440</v>
      </c>
      <c r="AQ49" s="225"/>
      <c r="AR49" s="225"/>
      <c r="AS49" s="225"/>
      <c r="AT49" s="225"/>
      <c r="AU49" s="225"/>
      <c r="AV49" s="225"/>
      <c r="AW49" s="225"/>
      <c r="AX49" s="225"/>
      <c r="AY49" s="225"/>
      <c r="AZ49" s="225"/>
      <c r="BA49" s="225"/>
      <c r="BB49" s="225"/>
      <c r="BC49" s="225">
        <v>9304</v>
      </c>
      <c r="BD49" s="225">
        <v>9273</v>
      </c>
      <c r="BE49" s="225"/>
      <c r="BF49" s="225">
        <v>18546</v>
      </c>
      <c r="BG49" s="225">
        <v>318349</v>
      </c>
      <c r="BH49" s="229">
        <f>SUM(AE49:BG49)</f>
        <v>796381</v>
      </c>
      <c r="BI49" s="125">
        <f>AD49+BH49</f>
        <v>2041394</v>
      </c>
      <c r="BJ49" s="283">
        <v>31483</v>
      </c>
      <c r="BK49" s="262">
        <f>BI49-BJ49</f>
        <v>2009911</v>
      </c>
      <c r="BM49" s="228">
        <f>BK49-AD49</f>
        <v>764898</v>
      </c>
    </row>
    <row r="50" spans="1:65" s="41" customFormat="1" ht="15.75">
      <c r="A50" s="136"/>
      <c r="B50" s="234" t="s">
        <v>317</v>
      </c>
      <c r="C50" s="10">
        <v>123758</v>
      </c>
      <c r="D50" s="10">
        <v>69019</v>
      </c>
      <c r="E50" s="2">
        <v>0</v>
      </c>
      <c r="F50" s="10">
        <v>12374</v>
      </c>
      <c r="G50" s="10">
        <v>10640</v>
      </c>
      <c r="H50" s="10"/>
      <c r="I50" s="10"/>
      <c r="J50" s="10">
        <v>596</v>
      </c>
      <c r="K50" s="10">
        <v>86</v>
      </c>
      <c r="L50" s="10">
        <v>2589</v>
      </c>
      <c r="M50" s="10">
        <v>3036</v>
      </c>
      <c r="N50" s="10">
        <v>2</v>
      </c>
      <c r="O50" s="10">
        <v>460</v>
      </c>
      <c r="P50" s="10">
        <v>11174</v>
      </c>
      <c r="Q50" s="10"/>
      <c r="R50" s="10">
        <v>383</v>
      </c>
      <c r="S50" s="10"/>
      <c r="T50" s="10"/>
      <c r="U50" s="10"/>
      <c r="V50" s="10"/>
      <c r="W50" s="10"/>
      <c r="X50" s="10"/>
      <c r="Y50" s="10">
        <v>1318</v>
      </c>
      <c r="Z50" s="10">
        <v>694</v>
      </c>
      <c r="AA50" s="10">
        <v>382</v>
      </c>
      <c r="AB50" s="10">
        <v>45</v>
      </c>
      <c r="AC50" s="10"/>
      <c r="AD50" s="123">
        <f>SUM(C50:AC50)</f>
        <v>236556</v>
      </c>
      <c r="AE50" s="10">
        <v>19</v>
      </c>
      <c r="AF50" s="10">
        <v>1254</v>
      </c>
      <c r="AG50" s="10">
        <v>484</v>
      </c>
      <c r="AH50" s="10">
        <v>0</v>
      </c>
      <c r="AI50" s="10"/>
      <c r="AJ50" s="10"/>
      <c r="AK50" s="10">
        <v>29277</v>
      </c>
      <c r="AL50" s="10">
        <v>20938</v>
      </c>
      <c r="AM50" s="10"/>
      <c r="AN50" s="10">
        <v>10</v>
      </c>
      <c r="AO50" s="10">
        <v>50612</v>
      </c>
      <c r="AP50" s="250">
        <v>3226</v>
      </c>
      <c r="AQ50" s="10"/>
      <c r="AR50" s="10"/>
      <c r="AS50" s="10"/>
      <c r="AT50" s="10"/>
      <c r="AU50" s="10"/>
      <c r="AV50" s="10"/>
      <c r="AW50" s="10"/>
      <c r="AX50" s="10"/>
      <c r="AY50" s="10"/>
      <c r="AZ50" s="10"/>
      <c r="BA50" s="10"/>
      <c r="BB50" s="10"/>
      <c r="BC50" s="10">
        <v>2233</v>
      </c>
      <c r="BD50" s="10">
        <v>2226</v>
      </c>
      <c r="BE50" s="10"/>
      <c r="BF50" s="10">
        <v>4452</v>
      </c>
      <c r="BG50" s="10">
        <v>76405</v>
      </c>
      <c r="BH50" s="10">
        <f>SUM(AE50:BG50)</f>
        <v>191136</v>
      </c>
      <c r="BI50" s="219">
        <f>AD50+BH50</f>
        <v>427692</v>
      </c>
      <c r="BJ50" s="284">
        <v>7556</v>
      </c>
      <c r="BK50" s="10">
        <f>BI50-BJ50</f>
        <v>420136</v>
      </c>
      <c r="BL50" s="41">
        <f>'[1]Upto Month Current'!$F$61</f>
        <v>429087</v>
      </c>
      <c r="BM50" s="218">
        <f>BK50-AD50</f>
        <v>183580</v>
      </c>
    </row>
    <row r="51" spans="1:65" ht="15.75">
      <c r="A51" s="130"/>
      <c r="B51" s="12" t="s">
        <v>318</v>
      </c>
      <c r="C51" s="9">
        <f>IF('Upto Month COPPY'!$F$4="",0,'Upto Month COPPY'!$F$4)</f>
        <v>111928</v>
      </c>
      <c r="D51" s="9">
        <f>IF('Upto Month COPPY'!$F$5="",0,'Upto Month COPPY'!$F$5)</f>
        <v>60591</v>
      </c>
      <c r="E51" s="9">
        <f>IF('Upto Month COPPY'!$F$6="",0,'Upto Month COPPY'!$F$6)</f>
        <v>18</v>
      </c>
      <c r="F51" s="9">
        <f>IF('Upto Month COPPY'!$F$7="",0,'Upto Month COPPY'!$F$7)</f>
        <v>9273</v>
      </c>
      <c r="G51" s="9">
        <f>IF('Upto Month COPPY'!$F$8="",0,'Upto Month COPPY'!$F$8)</f>
        <v>9352</v>
      </c>
      <c r="H51" s="9">
        <f>IF('Upto Month COPPY'!$F$9="",0,'Upto Month COPPY'!$F$9)</f>
        <v>0</v>
      </c>
      <c r="I51" s="9">
        <f>IF('Upto Month COPPY'!$F$10="",0,'Upto Month COPPY'!$F$10)</f>
        <v>0</v>
      </c>
      <c r="J51" s="9">
        <f>IF('Upto Month COPPY'!$F$11="",0,'Upto Month COPPY'!$F$11)</f>
        <v>1595</v>
      </c>
      <c r="K51" s="9">
        <f>IF('Upto Month COPPY'!$F$12="",0,'Upto Month COPPY'!$F$12)</f>
        <v>123</v>
      </c>
      <c r="L51" s="9">
        <f>IF('Upto Month COPPY'!$F$13="",0,'Upto Month COPPY'!$F$13)</f>
        <v>4131</v>
      </c>
      <c r="M51" s="9">
        <f>IF('Upto Month COPPY'!$F$14="",0,'Upto Month COPPY'!$F$14)</f>
        <v>2514</v>
      </c>
      <c r="N51" s="9">
        <f>IF('Upto Month COPPY'!$F$15="",0,'Upto Month COPPY'!$F$15)</f>
        <v>1</v>
      </c>
      <c r="O51" s="9">
        <f>IF('Upto Month COPPY'!$F$16="",0,'Upto Month COPPY'!$F$16)</f>
        <v>608</v>
      </c>
      <c r="P51" s="9">
        <f>IF('Upto Month COPPY'!$F$17="",0,'Upto Month COPPY'!$F$17)</f>
        <v>21670</v>
      </c>
      <c r="Q51" s="9">
        <f>IF('Upto Month COPPY'!$F$18="",0,'Upto Month COPPY'!$F$18)</f>
        <v>0</v>
      </c>
      <c r="R51" s="9">
        <f>IF('Upto Month COPPY'!$F$21="",0,'Upto Month COPPY'!$F$21)</f>
        <v>571</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1609</v>
      </c>
      <c r="Z51" s="9">
        <f>IF('Upto Month COPPY'!$F$43="",0,'Upto Month COPPY'!$F$43)</f>
        <v>464</v>
      </c>
      <c r="AA51" s="9">
        <f>IF('Upto Month COPPY'!$F$44="",0,'Upto Month COPPY'!$F$44)</f>
        <v>386</v>
      </c>
      <c r="AB51" s="9">
        <f>IF('Upto Month COPPY'!$F$48="",0,'Upto Month COPPY'!$F$48)</f>
        <v>0</v>
      </c>
      <c r="AC51" s="10">
        <f>IF('Upto Month COPPY'!$F$51="",0,'Upto Month COPPY'!$F$51)</f>
        <v>0</v>
      </c>
      <c r="AD51" s="123">
        <f>SUM(C51:AC51)</f>
        <v>224834</v>
      </c>
      <c r="AE51" s="9">
        <f>IF('Upto Month COPPY'!$F$19="",0,'Upto Month COPPY'!$F$19)</f>
        <v>10</v>
      </c>
      <c r="AF51" s="9">
        <f>IF('Upto Month COPPY'!$F$20="",0,'Upto Month COPPY'!$F$20)</f>
        <v>705</v>
      </c>
      <c r="AG51" s="9">
        <f>IF('Upto Month COPPY'!$F$22="",0,'Upto Month COPPY'!$F$22)</f>
        <v>18</v>
      </c>
      <c r="AH51" s="9">
        <f>IF('Upto Month COPPY'!$F$23="",0,'Upto Month COPPY'!$F$23)</f>
        <v>0</v>
      </c>
      <c r="AI51" s="9">
        <f>IF('Upto Month COPPY'!$F$24="",0,'Upto Month COPPY'!$F$24)</f>
        <v>0</v>
      </c>
      <c r="AJ51" s="9">
        <f>IF('Upto Month COPPY'!$F$25="",0,'Upto Month COPPY'!$F$25)</f>
        <v>0</v>
      </c>
      <c r="AK51" s="9">
        <f>IF('Upto Month COPPY'!$F$28="",0,'Upto Month COPPY'!$F$28)</f>
        <v>84926</v>
      </c>
      <c r="AL51" s="9">
        <f>IF('Upto Month COPPY'!$F$29="",0,'Upto Month COPPY'!$F$29)</f>
        <v>17552</v>
      </c>
      <c r="AM51" s="9">
        <f>IF('Upto Month COPPY'!$F$31="",0,'Upto Month COPPY'!$F$31)</f>
        <v>0</v>
      </c>
      <c r="AN51" s="9">
        <f>IF('Upto Month COPPY'!$F$32="",0,'Upto Month COPPY'!$F$32)</f>
        <v>0</v>
      </c>
      <c r="AO51" s="9">
        <f>IF('Upto Month COPPY'!$F$33="",0,'Upto Month COPPY'!$F$33)</f>
        <v>31517</v>
      </c>
      <c r="AP51" s="275">
        <f>IF('Upto Month COPPY'!$F$34="",0,'Upto Month COPPY'!$F$34)</f>
        <v>0</v>
      </c>
      <c r="AQ51" s="10">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2008</v>
      </c>
      <c r="BD51" s="9">
        <f>IF('Upto Month COPPY'!$F$54="",0,'Upto Month COPPY'!$F$54)</f>
        <v>2008</v>
      </c>
      <c r="BE51" s="9">
        <f>IF('Upto Month COPPY'!$F$55="",0,'Upto Month COPPY'!$F$55)</f>
        <v>0</v>
      </c>
      <c r="BF51" s="9">
        <f>IF('Upto Month COPPY'!$F$56="",0,'Upto Month COPPY'!$F$56)</f>
        <v>3303</v>
      </c>
      <c r="BG51" s="9">
        <f>IF('Upto Month COPPY'!$F$58="",0,'Upto Month COPPY'!$F$58)</f>
        <v>11946</v>
      </c>
      <c r="BH51" s="9">
        <f>SUM(AE51:BG51)</f>
        <v>153993</v>
      </c>
      <c r="BI51" s="127">
        <f>AD51+BH51</f>
        <v>378827</v>
      </c>
      <c r="BJ51" s="9">
        <f>IF('Upto Month COPPY'!$F$60="",0,'Upto Month COPPY'!$F$60)</f>
        <v>2392</v>
      </c>
      <c r="BK51" s="51">
        <f>BI51-BJ51</f>
        <v>376435</v>
      </c>
      <c r="BL51">
        <f>'Upto Month COPPY'!$F$61</f>
        <v>376434</v>
      </c>
      <c r="BM51" s="30">
        <f>BK51-AD51</f>
        <v>151601</v>
      </c>
    </row>
    <row r="52" spans="1:65" ht="15.75" customHeight="1">
      <c r="A52" s="130"/>
      <c r="B52" s="183" t="s">
        <v>319</v>
      </c>
      <c r="C52" s="9">
        <f>IF('Upto Month Current'!$F$4="",0,'Upto Month Current'!$F$4)</f>
        <v>118841</v>
      </c>
      <c r="D52" s="9">
        <f>IF('Upto Month Current'!$F$5="",0,'Upto Month Current'!$F$5)</f>
        <v>73361</v>
      </c>
      <c r="E52" s="9">
        <f>IF('Upto Month Current'!$F$6="",0,'Upto Month Current'!$F$6)</f>
        <v>10</v>
      </c>
      <c r="F52" s="9">
        <f>IF('Upto Month Current'!$F$7="",0,'Upto Month Current'!$F$7)</f>
        <v>10053</v>
      </c>
      <c r="G52" s="9">
        <f>IF('Upto Month Current'!$F$8="",0,'Upto Month Current'!$F$8)</f>
        <v>10696</v>
      </c>
      <c r="H52" s="9">
        <f>IF('Upto Month Current'!$F$9="",0,'Upto Month Current'!$F$9)</f>
        <v>0</v>
      </c>
      <c r="I52" s="9">
        <f>IF('Upto Month Current'!$F$10="",0,'Upto Month Current'!$F$10)</f>
        <v>0</v>
      </c>
      <c r="J52" s="9">
        <f>IF('Upto Month Current'!$F$11="",0,'Upto Month Current'!$F$11)</f>
        <v>667</v>
      </c>
      <c r="K52" s="9">
        <f>IF('Upto Month Current'!$F$12="",0,'Upto Month Current'!$F$12)</f>
        <v>16</v>
      </c>
      <c r="L52" s="9">
        <f>IF('Upto Month Current'!$F$13="",0,'Upto Month Current'!$F$13)</f>
        <v>2048</v>
      </c>
      <c r="M52" s="9">
        <f>IF('Upto Month Current'!$F$14="",0,'Upto Month Current'!$F$14)</f>
        <v>2027</v>
      </c>
      <c r="N52" s="9">
        <f>IF('Upto Month Current'!$F$15="",0,'Upto Month Current'!$F$15)</f>
        <v>0</v>
      </c>
      <c r="O52" s="9">
        <f>IF('Upto Month Current'!$F$16="",0,'Upto Month Current'!$F$16)</f>
        <v>310</v>
      </c>
      <c r="P52" s="9">
        <f>IF('Upto Month Current'!$F$17="",0,'Upto Month Current'!$F$17)</f>
        <v>12416</v>
      </c>
      <c r="Q52" s="9">
        <f>IF('Upto Month Current'!$F$18="",0,'Upto Month Current'!$F$18)</f>
        <v>0</v>
      </c>
      <c r="R52" s="9">
        <f>IF('Upto Month Current'!$F$21="",0,'Upto Month Current'!$F$21)</f>
        <v>148</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1169</v>
      </c>
      <c r="Z52" s="9">
        <f>IF('Upto Month Current'!$F$43="",0,'Upto Month Current'!$F$43)</f>
        <v>336</v>
      </c>
      <c r="AA52" s="9">
        <f>IF('Upto Month Current'!$F$44="",0,'Upto Month Current'!$F$44)</f>
        <v>145</v>
      </c>
      <c r="AB52" s="9">
        <f>IF('Upto Month Current'!$F$48="",0,'Upto Month Current'!$F$48)</f>
        <v>0</v>
      </c>
      <c r="AC52" s="10">
        <f>IF('Upto Month Current'!$F$51="",0,'Upto Month Current'!$F$51)</f>
        <v>0</v>
      </c>
      <c r="AD52" s="123">
        <f>SUM(C52:AC52)</f>
        <v>232243</v>
      </c>
      <c r="AE52" s="9">
        <f>IF('Upto Month Current'!$F$19="",0,'Upto Month Current'!$F$19)</f>
        <v>87</v>
      </c>
      <c r="AF52" s="9">
        <f>IF('Upto Month Current'!$F$20="",0,'Upto Month Current'!$F$20)</f>
        <v>127</v>
      </c>
      <c r="AG52" s="9">
        <f>IF('Upto Month Current'!$F$22="",0,'Upto Month Current'!$F$22)</f>
        <v>1707</v>
      </c>
      <c r="AH52" s="9">
        <f>IF('Upto Month Current'!$F$23="",0,'Upto Month Current'!$F$23)</f>
        <v>0</v>
      </c>
      <c r="AI52" s="9">
        <f>IF('Upto Month Current'!$F$24="",0,'Upto Month Current'!$F$24)</f>
        <v>0</v>
      </c>
      <c r="AJ52" s="9">
        <f>IF('Upto Month Current'!$F$25="",0,'Upto Month Current'!$F$25)</f>
        <v>0</v>
      </c>
      <c r="AK52" s="9">
        <f>IF('Upto Month Current'!$F$28="",0,'Upto Month Current'!$F$28)</f>
        <v>40814</v>
      </c>
      <c r="AL52" s="9">
        <f>IF('Upto Month Current'!$F$29="",0,'Upto Month Current'!$F$29)</f>
        <v>32561</v>
      </c>
      <c r="AM52" s="9">
        <f>IF('Upto Month Current'!$F$31="",0,'Upto Month Current'!$F$31)</f>
        <v>0</v>
      </c>
      <c r="AN52" s="9">
        <f>IF('Upto Month Current'!$F$32="",0,'Upto Month Current'!$F$32)</f>
        <v>0</v>
      </c>
      <c r="AO52" s="9">
        <f>IF('Upto Month Current'!$F$33="",0,'Upto Month Current'!$F$33)</f>
        <v>74454</v>
      </c>
      <c r="AP52" s="275">
        <f>IF('Upto Month Current'!$F$34="",0,'Upto Month Current'!$F$34)</f>
        <v>250</v>
      </c>
      <c r="AQ52" s="10">
        <f>IF('Upto Month Current'!$F$36="",0,'Upto Month Current'!$F$36)</f>
        <v>2</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3290</v>
      </c>
      <c r="BD52" s="9">
        <f>IF('Upto Month Current'!$F$54="",0,'Upto Month Current'!$F$54)</f>
        <v>3290</v>
      </c>
      <c r="BE52" s="9">
        <f>IF('Upto Month Current'!$F$55="",0,'Upto Month Current'!$F$55)</f>
        <v>0</v>
      </c>
      <c r="BF52" s="9">
        <f>IF('Upto Month Current'!$F$56="",0,'Upto Month Current'!$F$56)</f>
        <v>9037</v>
      </c>
      <c r="BG52" s="9">
        <f>IF('Upto Month Current'!$F$58="",0,'Upto Month Current'!$F$58)</f>
        <v>206669</v>
      </c>
      <c r="BH52" s="9">
        <f>SUM(AE52:BG52)</f>
        <v>372288</v>
      </c>
      <c r="BI52" s="127">
        <f>AD52+BH52</f>
        <v>604531</v>
      </c>
      <c r="BJ52" s="9">
        <f>IF('Upto Month Current'!$F$60="",0,'Upto Month Current'!$F$60)</f>
        <v>4859</v>
      </c>
      <c r="BK52" s="51">
        <f>BI52-BJ52</f>
        <v>599672</v>
      </c>
      <c r="BL52">
        <f>'Upto Month Current'!$F$61</f>
        <v>599672</v>
      </c>
      <c r="BM52" s="30">
        <f>BK52-AD52</f>
        <v>367429</v>
      </c>
    </row>
    <row r="53" spans="1:65" ht="15.75">
      <c r="A53" s="130"/>
      <c r="B53" s="5" t="s">
        <v>124</v>
      </c>
      <c r="C53" s="11">
        <f>C52-C50</f>
        <v>-4917</v>
      </c>
      <c r="D53" s="11">
        <f>D52-D50</f>
        <v>4342</v>
      </c>
      <c r="E53" s="11">
        <f>E52-F50</f>
        <v>-12364</v>
      </c>
      <c r="F53" s="11">
        <f>F52-G50</f>
        <v>-587</v>
      </c>
      <c r="G53" s="11">
        <f>G52-H50</f>
        <v>10696</v>
      </c>
      <c r="H53" s="11">
        <f>H52-I50</f>
        <v>0</v>
      </c>
      <c r="I53" s="11">
        <f t="shared" ref="I53:AN53" si="34">I52-I50</f>
        <v>0</v>
      </c>
      <c r="J53" s="11">
        <f t="shared" si="34"/>
        <v>71</v>
      </c>
      <c r="K53" s="11">
        <f t="shared" si="34"/>
        <v>-70</v>
      </c>
      <c r="L53" s="11">
        <f t="shared" si="34"/>
        <v>-541</v>
      </c>
      <c r="M53" s="11">
        <f t="shared" si="34"/>
        <v>-1009</v>
      </c>
      <c r="N53" s="11">
        <f t="shared" si="34"/>
        <v>-2</v>
      </c>
      <c r="O53" s="11">
        <f t="shared" si="34"/>
        <v>-150</v>
      </c>
      <c r="P53" s="11">
        <f t="shared" si="34"/>
        <v>1242</v>
      </c>
      <c r="Q53" s="11">
        <f t="shared" si="34"/>
        <v>0</v>
      </c>
      <c r="R53" s="11">
        <f t="shared" si="34"/>
        <v>-235</v>
      </c>
      <c r="S53" s="11">
        <f t="shared" si="34"/>
        <v>0</v>
      </c>
      <c r="T53" s="11">
        <f t="shared" si="34"/>
        <v>0</v>
      </c>
      <c r="U53" s="11">
        <f t="shared" si="34"/>
        <v>0</v>
      </c>
      <c r="V53" s="9">
        <f t="shared" si="34"/>
        <v>0</v>
      </c>
      <c r="W53" s="11">
        <f t="shared" si="34"/>
        <v>0</v>
      </c>
      <c r="X53" s="11">
        <f t="shared" si="34"/>
        <v>0</v>
      </c>
      <c r="Y53" s="11">
        <f t="shared" si="34"/>
        <v>-149</v>
      </c>
      <c r="Z53" s="11">
        <f t="shared" si="34"/>
        <v>-358</v>
      </c>
      <c r="AA53" s="11">
        <f t="shared" si="34"/>
        <v>-237</v>
      </c>
      <c r="AB53" s="11">
        <f t="shared" si="34"/>
        <v>-45</v>
      </c>
      <c r="AC53" s="10">
        <f t="shared" si="34"/>
        <v>0</v>
      </c>
      <c r="AD53" s="11">
        <f t="shared" si="34"/>
        <v>-4313</v>
      </c>
      <c r="AE53" s="11">
        <f t="shared" si="34"/>
        <v>68</v>
      </c>
      <c r="AF53" s="11">
        <f t="shared" si="34"/>
        <v>-1127</v>
      </c>
      <c r="AG53" s="11">
        <f t="shared" si="34"/>
        <v>1223</v>
      </c>
      <c r="AH53" s="11">
        <f t="shared" si="34"/>
        <v>0</v>
      </c>
      <c r="AI53" s="11">
        <f t="shared" si="34"/>
        <v>0</v>
      </c>
      <c r="AJ53" s="11">
        <f t="shared" si="34"/>
        <v>0</v>
      </c>
      <c r="AK53" s="11">
        <f t="shared" si="34"/>
        <v>11537</v>
      </c>
      <c r="AL53" s="11">
        <f t="shared" si="34"/>
        <v>11623</v>
      </c>
      <c r="AM53" s="11">
        <f t="shared" si="34"/>
        <v>0</v>
      </c>
      <c r="AN53" s="11">
        <f t="shared" si="34"/>
        <v>-10</v>
      </c>
      <c r="AO53" s="9">
        <f t="shared" ref="AO53:BK53" si="35">AO52-AO50</f>
        <v>23842</v>
      </c>
      <c r="AP53" s="276">
        <f t="shared" si="35"/>
        <v>-2976</v>
      </c>
      <c r="AQ53" s="10">
        <f t="shared" si="35"/>
        <v>2</v>
      </c>
      <c r="AR53" s="11">
        <f t="shared" si="35"/>
        <v>0</v>
      </c>
      <c r="AS53" s="11">
        <f t="shared" si="35"/>
        <v>0</v>
      </c>
      <c r="AT53" s="11">
        <f t="shared" si="35"/>
        <v>0</v>
      </c>
      <c r="AU53" s="11">
        <f t="shared" si="35"/>
        <v>0</v>
      </c>
      <c r="AV53" s="11">
        <f t="shared" si="35"/>
        <v>0</v>
      </c>
      <c r="AW53" s="11">
        <f t="shared" si="35"/>
        <v>0</v>
      </c>
      <c r="AX53" s="11">
        <f t="shared" si="35"/>
        <v>0</v>
      </c>
      <c r="AY53" s="11">
        <f t="shared" si="35"/>
        <v>0</v>
      </c>
      <c r="AZ53" s="11">
        <f t="shared" si="35"/>
        <v>0</v>
      </c>
      <c r="BA53" s="11">
        <f t="shared" si="35"/>
        <v>0</v>
      </c>
      <c r="BB53" s="10">
        <f t="shared" si="35"/>
        <v>0</v>
      </c>
      <c r="BC53" s="11">
        <f t="shared" si="35"/>
        <v>1057</v>
      </c>
      <c r="BD53" s="11">
        <f t="shared" si="35"/>
        <v>1064</v>
      </c>
      <c r="BE53" s="11">
        <f t="shared" si="35"/>
        <v>0</v>
      </c>
      <c r="BF53" s="11">
        <f t="shared" si="35"/>
        <v>4585</v>
      </c>
      <c r="BG53" s="11">
        <f t="shared" si="35"/>
        <v>130264</v>
      </c>
      <c r="BH53" s="9">
        <f t="shared" si="35"/>
        <v>181152</v>
      </c>
      <c r="BI53" s="45">
        <f t="shared" si="35"/>
        <v>176839</v>
      </c>
      <c r="BJ53" s="11">
        <f t="shared" si="35"/>
        <v>-2697</v>
      </c>
      <c r="BK53" s="51">
        <f t="shared" si="35"/>
        <v>179536</v>
      </c>
      <c r="BM53" s="30">
        <f>BK53-AD53</f>
        <v>183849</v>
      </c>
    </row>
    <row r="54" spans="1:65" ht="15.75">
      <c r="A54" s="130"/>
      <c r="B54" s="5" t="s">
        <v>125</v>
      </c>
      <c r="C54" s="13">
        <f>C53/C50</f>
        <v>-3.9730764879846149E-2</v>
      </c>
      <c r="D54" s="13">
        <f>D53/D50</f>
        <v>6.291021312971791E-2</v>
      </c>
      <c r="E54" s="13">
        <f>E53/F50</f>
        <v>-0.99919185388718279</v>
      </c>
      <c r="F54" s="13">
        <f>F53/G50</f>
        <v>-5.5169172932330826E-2</v>
      </c>
      <c r="G54" s="13" t="e">
        <f>G53/H50</f>
        <v>#DIV/0!</v>
      </c>
      <c r="H54" s="13" t="e">
        <f>H53/I50</f>
        <v>#DIV/0!</v>
      </c>
      <c r="I54" s="13" t="e">
        <f t="shared" ref="I54:AN54" si="36">I53/I50</f>
        <v>#DIV/0!</v>
      </c>
      <c r="J54" s="13">
        <f t="shared" si="36"/>
        <v>0.11912751677852348</v>
      </c>
      <c r="K54" s="13">
        <f t="shared" si="36"/>
        <v>-0.81395348837209303</v>
      </c>
      <c r="L54" s="13">
        <f t="shared" si="36"/>
        <v>-0.20896098879876401</v>
      </c>
      <c r="M54" s="13">
        <f t="shared" si="36"/>
        <v>-0.3323451910408432</v>
      </c>
      <c r="N54" s="13">
        <f t="shared" si="36"/>
        <v>-1</v>
      </c>
      <c r="O54" s="13">
        <f t="shared" si="36"/>
        <v>-0.32608695652173914</v>
      </c>
      <c r="P54" s="13">
        <f t="shared" si="36"/>
        <v>0.11115088598532308</v>
      </c>
      <c r="Q54" s="13" t="e">
        <f t="shared" si="36"/>
        <v>#DIV/0!</v>
      </c>
      <c r="R54" s="13">
        <f t="shared" si="36"/>
        <v>-0.61357702349869447</v>
      </c>
      <c r="S54" s="13" t="e">
        <f t="shared" si="36"/>
        <v>#DIV/0!</v>
      </c>
      <c r="T54" s="13" t="e">
        <f t="shared" si="36"/>
        <v>#DIV/0!</v>
      </c>
      <c r="U54" s="13" t="e">
        <f t="shared" si="36"/>
        <v>#DIV/0!</v>
      </c>
      <c r="V54" s="163" t="e">
        <f t="shared" si="36"/>
        <v>#DIV/0!</v>
      </c>
      <c r="W54" s="13" t="e">
        <f t="shared" si="36"/>
        <v>#DIV/0!</v>
      </c>
      <c r="X54" s="13" t="e">
        <f t="shared" si="36"/>
        <v>#DIV/0!</v>
      </c>
      <c r="Y54" s="13">
        <f t="shared" si="36"/>
        <v>-0.11305007587253414</v>
      </c>
      <c r="Z54" s="13">
        <f t="shared" si="36"/>
        <v>-0.51585014409221897</v>
      </c>
      <c r="AA54" s="13">
        <f t="shared" si="36"/>
        <v>-0.62041884816753923</v>
      </c>
      <c r="AB54" s="13">
        <f t="shared" si="36"/>
        <v>-1</v>
      </c>
      <c r="AC54" s="14" t="e">
        <f t="shared" si="36"/>
        <v>#DIV/0!</v>
      </c>
      <c r="AD54" s="13">
        <f t="shared" si="36"/>
        <v>-1.8232469267319366E-2</v>
      </c>
      <c r="AE54" s="13">
        <f t="shared" si="36"/>
        <v>3.5789473684210527</v>
      </c>
      <c r="AF54" s="13">
        <f t="shared" si="36"/>
        <v>-0.89872408293460926</v>
      </c>
      <c r="AG54" s="13">
        <f t="shared" si="36"/>
        <v>2.5268595041322315</v>
      </c>
      <c r="AH54" s="13" t="e">
        <f t="shared" si="36"/>
        <v>#DIV/0!</v>
      </c>
      <c r="AI54" s="13" t="e">
        <f t="shared" si="36"/>
        <v>#DIV/0!</v>
      </c>
      <c r="AJ54" s="13" t="e">
        <f t="shared" si="36"/>
        <v>#DIV/0!</v>
      </c>
      <c r="AK54" s="13">
        <f t="shared" si="36"/>
        <v>0.39406359941250813</v>
      </c>
      <c r="AL54" s="13">
        <f t="shared" si="36"/>
        <v>0.55511510172891398</v>
      </c>
      <c r="AM54" s="13" t="e">
        <f t="shared" si="36"/>
        <v>#DIV/0!</v>
      </c>
      <c r="AN54" s="13">
        <f t="shared" si="36"/>
        <v>-1</v>
      </c>
      <c r="AO54" s="163">
        <f t="shared" ref="AO54:BK54" si="37">AO53/AO50</f>
        <v>0.47107405358413024</v>
      </c>
      <c r="AP54" s="277">
        <f t="shared" si="37"/>
        <v>-0.92250464972101676</v>
      </c>
      <c r="AQ54" s="14" t="e">
        <f t="shared" si="37"/>
        <v>#DIV/0!</v>
      </c>
      <c r="AR54" s="13" t="e">
        <f t="shared" si="37"/>
        <v>#DIV/0!</v>
      </c>
      <c r="AS54" s="13" t="e">
        <f t="shared" si="37"/>
        <v>#DIV/0!</v>
      </c>
      <c r="AT54" s="13" t="e">
        <f t="shared" si="37"/>
        <v>#DIV/0!</v>
      </c>
      <c r="AU54" s="13" t="e">
        <f t="shared" si="37"/>
        <v>#DIV/0!</v>
      </c>
      <c r="AV54" s="13" t="e">
        <f t="shared" si="37"/>
        <v>#DIV/0!</v>
      </c>
      <c r="AW54" s="13" t="e">
        <f t="shared" si="37"/>
        <v>#DIV/0!</v>
      </c>
      <c r="AX54" s="13" t="e">
        <f t="shared" si="37"/>
        <v>#DIV/0!</v>
      </c>
      <c r="AY54" s="13" t="e">
        <f t="shared" si="37"/>
        <v>#DIV/0!</v>
      </c>
      <c r="AZ54" s="13" t="e">
        <f t="shared" si="37"/>
        <v>#DIV/0!</v>
      </c>
      <c r="BA54" s="13" t="e">
        <f t="shared" si="37"/>
        <v>#DIV/0!</v>
      </c>
      <c r="BB54" s="14" t="e">
        <f t="shared" si="37"/>
        <v>#DIV/0!</v>
      </c>
      <c r="BC54" s="13">
        <f t="shared" si="37"/>
        <v>0.47335423197492166</v>
      </c>
      <c r="BD54" s="13">
        <f t="shared" si="37"/>
        <v>0.4779874213836478</v>
      </c>
      <c r="BE54" s="13" t="e">
        <f t="shared" si="37"/>
        <v>#DIV/0!</v>
      </c>
      <c r="BF54" s="13">
        <f t="shared" si="37"/>
        <v>1.029874213836478</v>
      </c>
      <c r="BG54" s="13">
        <f t="shared" si="37"/>
        <v>1.704914599829854</v>
      </c>
      <c r="BH54" s="163">
        <f t="shared" si="37"/>
        <v>0.94776494224008034</v>
      </c>
      <c r="BI54" s="46">
        <f t="shared" si="37"/>
        <v>0.41347277947681976</v>
      </c>
      <c r="BJ54" s="13">
        <f t="shared" si="37"/>
        <v>-0.35693488618316571</v>
      </c>
      <c r="BK54" s="52">
        <f t="shared" si="37"/>
        <v>0.42732829369537484</v>
      </c>
      <c r="BM54" s="163">
        <f>BM53/BM50</f>
        <v>1.001465301231071</v>
      </c>
    </row>
    <row r="55" spans="1:65" ht="15.75">
      <c r="A55" s="130"/>
      <c r="B55" s="5" t="s">
        <v>126</v>
      </c>
      <c r="C55" s="11">
        <f>C52-C51</f>
        <v>6913</v>
      </c>
      <c r="D55" s="11">
        <f t="shared" ref="D55:BK55" si="38">D52-D51</f>
        <v>12770</v>
      </c>
      <c r="E55" s="11">
        <f t="shared" si="38"/>
        <v>-8</v>
      </c>
      <c r="F55" s="11">
        <f t="shared" si="38"/>
        <v>780</v>
      </c>
      <c r="G55" s="11">
        <f t="shared" si="38"/>
        <v>1344</v>
      </c>
      <c r="H55" s="11">
        <f t="shared" si="38"/>
        <v>0</v>
      </c>
      <c r="I55" s="11">
        <f t="shared" si="38"/>
        <v>0</v>
      </c>
      <c r="J55" s="11">
        <f t="shared" si="38"/>
        <v>-928</v>
      </c>
      <c r="K55" s="11">
        <f t="shared" si="38"/>
        <v>-107</v>
      </c>
      <c r="L55" s="11">
        <f t="shared" si="38"/>
        <v>-2083</v>
      </c>
      <c r="M55" s="11">
        <f t="shared" si="38"/>
        <v>-487</v>
      </c>
      <c r="N55" s="11">
        <f t="shared" si="38"/>
        <v>-1</v>
      </c>
      <c r="O55" s="11">
        <f t="shared" si="38"/>
        <v>-298</v>
      </c>
      <c r="P55" s="11">
        <f t="shared" si="38"/>
        <v>-9254</v>
      </c>
      <c r="Q55" s="11">
        <f t="shared" si="38"/>
        <v>0</v>
      </c>
      <c r="R55" s="11">
        <f t="shared" si="38"/>
        <v>-423</v>
      </c>
      <c r="S55" s="11">
        <f t="shared" si="38"/>
        <v>0</v>
      </c>
      <c r="T55" s="11">
        <f t="shared" si="38"/>
        <v>0</v>
      </c>
      <c r="U55" s="11">
        <f>U52-U51</f>
        <v>0</v>
      </c>
      <c r="V55" s="9">
        <f t="shared" si="38"/>
        <v>0</v>
      </c>
      <c r="W55" s="11">
        <f t="shared" si="38"/>
        <v>0</v>
      </c>
      <c r="X55" s="11">
        <f t="shared" si="38"/>
        <v>0</v>
      </c>
      <c r="Y55" s="11">
        <f t="shared" si="38"/>
        <v>-440</v>
      </c>
      <c r="Z55" s="11">
        <f t="shared" si="38"/>
        <v>-128</v>
      </c>
      <c r="AA55" s="11">
        <f t="shared" si="38"/>
        <v>-241</v>
      </c>
      <c r="AB55" s="11">
        <f>AB52-AB51</f>
        <v>0</v>
      </c>
      <c r="AC55" s="10">
        <f>AC52-AC51</f>
        <v>0</v>
      </c>
      <c r="AD55" s="11">
        <f>AD52-AD51</f>
        <v>7409</v>
      </c>
      <c r="AE55" s="11">
        <f t="shared" si="38"/>
        <v>77</v>
      </c>
      <c r="AF55" s="11">
        <f t="shared" si="38"/>
        <v>-578</v>
      </c>
      <c r="AG55" s="11">
        <f t="shared" si="38"/>
        <v>1689</v>
      </c>
      <c r="AH55" s="11">
        <f t="shared" si="38"/>
        <v>0</v>
      </c>
      <c r="AI55" s="11">
        <f t="shared" si="38"/>
        <v>0</v>
      </c>
      <c r="AJ55" s="11">
        <f t="shared" si="38"/>
        <v>0</v>
      </c>
      <c r="AK55" s="11">
        <f t="shared" si="38"/>
        <v>-44112</v>
      </c>
      <c r="AL55" s="11">
        <f t="shared" si="38"/>
        <v>15009</v>
      </c>
      <c r="AM55" s="11">
        <f t="shared" si="38"/>
        <v>0</v>
      </c>
      <c r="AN55" s="11">
        <f t="shared" si="38"/>
        <v>0</v>
      </c>
      <c r="AO55" s="9">
        <f t="shared" si="38"/>
        <v>42937</v>
      </c>
      <c r="AP55" s="276">
        <f t="shared" si="38"/>
        <v>250</v>
      </c>
      <c r="AQ55" s="10">
        <f t="shared" si="38"/>
        <v>2</v>
      </c>
      <c r="AR55" s="11">
        <f t="shared" si="38"/>
        <v>0</v>
      </c>
      <c r="AS55" s="11">
        <f t="shared" si="38"/>
        <v>0</v>
      </c>
      <c r="AT55" s="11">
        <f t="shared" si="38"/>
        <v>0</v>
      </c>
      <c r="AU55" s="11">
        <f t="shared" si="38"/>
        <v>0</v>
      </c>
      <c r="AV55" s="11">
        <f t="shared" si="38"/>
        <v>0</v>
      </c>
      <c r="AW55" s="11">
        <f t="shared" si="38"/>
        <v>0</v>
      </c>
      <c r="AX55" s="11">
        <f t="shared" si="38"/>
        <v>0</v>
      </c>
      <c r="AY55" s="11">
        <f t="shared" si="38"/>
        <v>0</v>
      </c>
      <c r="AZ55" s="11">
        <f t="shared" si="38"/>
        <v>0</v>
      </c>
      <c r="BA55" s="11">
        <f t="shared" si="38"/>
        <v>0</v>
      </c>
      <c r="BB55" s="10">
        <f t="shared" si="38"/>
        <v>0</v>
      </c>
      <c r="BC55" s="11">
        <f t="shared" si="38"/>
        <v>1282</v>
      </c>
      <c r="BD55" s="11">
        <f t="shared" si="38"/>
        <v>1282</v>
      </c>
      <c r="BE55" s="11">
        <f t="shared" si="38"/>
        <v>0</v>
      </c>
      <c r="BF55" s="11">
        <f t="shared" si="38"/>
        <v>5734</v>
      </c>
      <c r="BG55" s="11">
        <f t="shared" si="38"/>
        <v>194723</v>
      </c>
      <c r="BH55" s="9">
        <f t="shared" si="38"/>
        <v>218295</v>
      </c>
      <c r="BI55" s="45">
        <f t="shared" si="38"/>
        <v>225704</v>
      </c>
      <c r="BJ55" s="11">
        <f t="shared" si="38"/>
        <v>2467</v>
      </c>
      <c r="BK55" s="51">
        <f t="shared" si="38"/>
        <v>223237</v>
      </c>
      <c r="BM55" s="30">
        <f>BK55-AD55</f>
        <v>215828</v>
      </c>
    </row>
    <row r="56" spans="1:65" ht="15.75">
      <c r="A56" s="130"/>
      <c r="B56" s="5" t="s">
        <v>127</v>
      </c>
      <c r="C56" s="13">
        <f t="shared" ref="C56:AH56" si="39">C55/C51</f>
        <v>6.1762919019369596E-2</v>
      </c>
      <c r="D56" s="13">
        <f t="shared" si="39"/>
        <v>0.210757373207242</v>
      </c>
      <c r="E56" s="13">
        <f t="shared" si="39"/>
        <v>-0.44444444444444442</v>
      </c>
      <c r="F56" s="13">
        <f t="shared" si="39"/>
        <v>8.4115173083144618E-2</v>
      </c>
      <c r="G56" s="13">
        <f t="shared" si="39"/>
        <v>0.1437125748502994</v>
      </c>
      <c r="H56" s="13" t="e">
        <f t="shared" si="39"/>
        <v>#DIV/0!</v>
      </c>
      <c r="I56" s="13" t="e">
        <f t="shared" si="39"/>
        <v>#DIV/0!</v>
      </c>
      <c r="J56" s="13">
        <f t="shared" si="39"/>
        <v>-0.58181818181818179</v>
      </c>
      <c r="K56" s="13">
        <f t="shared" si="39"/>
        <v>-0.86991869918699183</v>
      </c>
      <c r="L56" s="13">
        <f t="shared" si="39"/>
        <v>-0.50423626240619701</v>
      </c>
      <c r="M56" s="13">
        <f t="shared" si="39"/>
        <v>-0.19371519490851233</v>
      </c>
      <c r="N56" s="13">
        <f t="shared" si="39"/>
        <v>-1</v>
      </c>
      <c r="O56" s="13">
        <f t="shared" si="39"/>
        <v>-0.49013157894736842</v>
      </c>
      <c r="P56" s="13">
        <f t="shared" si="39"/>
        <v>-0.42704199353945549</v>
      </c>
      <c r="Q56" s="13" t="e">
        <f t="shared" si="39"/>
        <v>#DIV/0!</v>
      </c>
      <c r="R56" s="13">
        <f t="shared" si="39"/>
        <v>-0.74080560420315233</v>
      </c>
      <c r="S56" s="13" t="e">
        <f t="shared" si="39"/>
        <v>#DIV/0!</v>
      </c>
      <c r="T56" s="13" t="e">
        <f t="shared" si="39"/>
        <v>#DIV/0!</v>
      </c>
      <c r="U56" s="13" t="e">
        <f t="shared" si="39"/>
        <v>#DIV/0!</v>
      </c>
      <c r="V56" s="163" t="e">
        <f t="shared" si="39"/>
        <v>#DIV/0!</v>
      </c>
      <c r="W56" s="13" t="e">
        <f t="shared" si="39"/>
        <v>#DIV/0!</v>
      </c>
      <c r="X56" s="13" t="e">
        <f t="shared" si="39"/>
        <v>#DIV/0!</v>
      </c>
      <c r="Y56" s="13">
        <f t="shared" si="39"/>
        <v>-0.27346177750155376</v>
      </c>
      <c r="Z56" s="13">
        <f t="shared" si="39"/>
        <v>-0.27586206896551724</v>
      </c>
      <c r="AA56" s="13">
        <f t="shared" si="39"/>
        <v>-0.62435233160621761</v>
      </c>
      <c r="AB56" s="13" t="e">
        <f t="shared" si="39"/>
        <v>#DIV/0!</v>
      </c>
      <c r="AC56" s="14" t="e">
        <f t="shared" si="39"/>
        <v>#DIV/0!</v>
      </c>
      <c r="AD56" s="13">
        <f t="shared" si="39"/>
        <v>3.295320102831422E-2</v>
      </c>
      <c r="AE56" s="13">
        <f t="shared" si="39"/>
        <v>7.7</v>
      </c>
      <c r="AF56" s="13">
        <f t="shared" si="39"/>
        <v>-0.81985815602836876</v>
      </c>
      <c r="AG56" s="13">
        <f t="shared" si="39"/>
        <v>93.833333333333329</v>
      </c>
      <c r="AH56" s="13" t="e">
        <f t="shared" si="39"/>
        <v>#DIV/0!</v>
      </c>
      <c r="AI56" s="13" t="e">
        <f t="shared" ref="AI56:BK56" si="40">AI55/AI51</f>
        <v>#DIV/0!</v>
      </c>
      <c r="AJ56" s="13" t="e">
        <f t="shared" si="40"/>
        <v>#DIV/0!</v>
      </c>
      <c r="AK56" s="13">
        <f t="shared" si="40"/>
        <v>-0.51941690412829988</v>
      </c>
      <c r="AL56" s="13">
        <f t="shared" si="40"/>
        <v>0.85511622607110305</v>
      </c>
      <c r="AM56" s="13" t="e">
        <f t="shared" si="40"/>
        <v>#DIV/0!</v>
      </c>
      <c r="AN56" s="13" t="e">
        <f t="shared" si="40"/>
        <v>#DIV/0!</v>
      </c>
      <c r="AO56" s="163">
        <f t="shared" si="40"/>
        <v>1.3623441317384268</v>
      </c>
      <c r="AP56" s="277" t="e">
        <f t="shared" si="40"/>
        <v>#DIV/0!</v>
      </c>
      <c r="AQ56" s="14" t="e">
        <f t="shared" si="40"/>
        <v>#DIV/0!</v>
      </c>
      <c r="AR56" s="13" t="e">
        <f t="shared" si="40"/>
        <v>#DIV/0!</v>
      </c>
      <c r="AS56" s="13" t="e">
        <f t="shared" si="40"/>
        <v>#DIV/0!</v>
      </c>
      <c r="AT56" s="13" t="e">
        <f t="shared" si="40"/>
        <v>#DIV/0!</v>
      </c>
      <c r="AU56" s="13" t="e">
        <f t="shared" si="40"/>
        <v>#DIV/0!</v>
      </c>
      <c r="AV56" s="13" t="e">
        <f t="shared" si="40"/>
        <v>#DIV/0!</v>
      </c>
      <c r="AW56" s="13" t="e">
        <f t="shared" si="40"/>
        <v>#DIV/0!</v>
      </c>
      <c r="AX56" s="13" t="e">
        <f t="shared" si="40"/>
        <v>#DIV/0!</v>
      </c>
      <c r="AY56" s="13" t="e">
        <f t="shared" si="40"/>
        <v>#DIV/0!</v>
      </c>
      <c r="AZ56" s="13" t="e">
        <f t="shared" si="40"/>
        <v>#DIV/0!</v>
      </c>
      <c r="BA56" s="13" t="e">
        <f t="shared" si="40"/>
        <v>#DIV/0!</v>
      </c>
      <c r="BB56" s="14" t="e">
        <f t="shared" si="40"/>
        <v>#DIV/0!</v>
      </c>
      <c r="BC56" s="13">
        <f t="shared" si="40"/>
        <v>0.63844621513944222</v>
      </c>
      <c r="BD56" s="13">
        <f t="shared" si="40"/>
        <v>0.63844621513944222</v>
      </c>
      <c r="BE56" s="13" t="e">
        <f t="shared" si="40"/>
        <v>#DIV/0!</v>
      </c>
      <c r="BF56" s="13">
        <f t="shared" si="40"/>
        <v>1.7359975779594308</v>
      </c>
      <c r="BG56" s="13">
        <f t="shared" si="40"/>
        <v>16.300267872091077</v>
      </c>
      <c r="BH56" s="163">
        <f t="shared" si="40"/>
        <v>1.417564434747034</v>
      </c>
      <c r="BI56" s="46">
        <f t="shared" si="40"/>
        <v>0.59579702608314611</v>
      </c>
      <c r="BJ56" s="13">
        <f t="shared" si="40"/>
        <v>1.0313545150501673</v>
      </c>
      <c r="BK56" s="52">
        <f t="shared" si="40"/>
        <v>0.59302934105489657</v>
      </c>
      <c r="BM56" s="14">
        <f>BM55/BM51</f>
        <v>1.4236581552892131</v>
      </c>
    </row>
    <row r="57" spans="1:65" ht="15.75">
      <c r="A57" s="130"/>
      <c r="B57" s="5" t="s">
        <v>323</v>
      </c>
      <c r="C57" s="128">
        <f>C52/C49</f>
        <v>0.18245504679554889</v>
      </c>
      <c r="D57" s="128">
        <f t="shared" ref="D57:BK57" si="41">D52/D49</f>
        <v>0.20195232602633384</v>
      </c>
      <c r="E57" s="128" t="e">
        <f t="shared" si="41"/>
        <v>#DIV/0!</v>
      </c>
      <c r="F57" s="128">
        <f t="shared" si="41"/>
        <v>0.15434809310323649</v>
      </c>
      <c r="G57" s="128">
        <f t="shared" si="41"/>
        <v>0.191</v>
      </c>
      <c r="H57" s="128" t="e">
        <f t="shared" si="41"/>
        <v>#DIV/0!</v>
      </c>
      <c r="I57" s="128" t="e">
        <f t="shared" si="41"/>
        <v>#DIV/0!</v>
      </c>
      <c r="J57" s="128">
        <f t="shared" si="41"/>
        <v>0.21275917065390751</v>
      </c>
      <c r="K57" s="128">
        <f t="shared" si="41"/>
        <v>3.4858387799564274E-2</v>
      </c>
      <c r="L57" s="128">
        <f t="shared" si="41"/>
        <v>0.15033399398076783</v>
      </c>
      <c r="M57" s="128">
        <f t="shared" si="41"/>
        <v>0.12686987544595354</v>
      </c>
      <c r="N57" s="128">
        <f t="shared" si="41"/>
        <v>0</v>
      </c>
      <c r="O57" s="128">
        <f t="shared" si="41"/>
        <v>0.12847078325735597</v>
      </c>
      <c r="P57" s="128">
        <f t="shared" si="41"/>
        <v>0.21112414766447313</v>
      </c>
      <c r="Q57" s="128" t="e">
        <f t="shared" si="41"/>
        <v>#DIV/0!</v>
      </c>
      <c r="R57" s="128">
        <f t="shared" si="41"/>
        <v>7.3558648111332003E-2</v>
      </c>
      <c r="S57" s="128" t="e">
        <f t="shared" si="41"/>
        <v>#DIV/0!</v>
      </c>
      <c r="T57" s="128" t="e">
        <f t="shared" si="41"/>
        <v>#DIV/0!</v>
      </c>
      <c r="U57" s="128" t="e">
        <f t="shared" si="41"/>
        <v>#DIV/0!</v>
      </c>
      <c r="V57" s="178" t="e">
        <f t="shared" si="41"/>
        <v>#DIV/0!</v>
      </c>
      <c r="W57" s="128" t="e">
        <f t="shared" si="41"/>
        <v>#DIV/0!</v>
      </c>
      <c r="X57" s="128" t="e">
        <f t="shared" si="41"/>
        <v>#DIV/0!</v>
      </c>
      <c r="Y57" s="128">
        <f t="shared" si="41"/>
        <v>0.16846807897391555</v>
      </c>
      <c r="Z57" s="128">
        <f t="shared" si="41"/>
        <v>9.1928864569083446E-2</v>
      </c>
      <c r="AA57" s="128">
        <f t="shared" si="41"/>
        <v>7.2211155378486061E-2</v>
      </c>
      <c r="AB57" s="128">
        <f>AB52/AB49</f>
        <v>0</v>
      </c>
      <c r="AC57" s="217" t="e">
        <f t="shared" si="41"/>
        <v>#DIV/0!</v>
      </c>
      <c r="AD57" s="128">
        <f t="shared" si="41"/>
        <v>0.1865386144562346</v>
      </c>
      <c r="AE57" s="128">
        <f t="shared" si="41"/>
        <v>1.1298701298701299</v>
      </c>
      <c r="AF57" s="128">
        <f t="shared" si="41"/>
        <v>2.4296919839295963E-2</v>
      </c>
      <c r="AG57" s="128">
        <f t="shared" si="41"/>
        <v>0.84630639563708476</v>
      </c>
      <c r="AH57" s="128" t="e">
        <f t="shared" si="41"/>
        <v>#DIV/0!</v>
      </c>
      <c r="AI57" s="128" t="e">
        <f t="shared" si="41"/>
        <v>#DIV/0!</v>
      </c>
      <c r="AJ57" s="128" t="e">
        <f t="shared" si="41"/>
        <v>#DIV/0!</v>
      </c>
      <c r="AK57" s="128">
        <f t="shared" si="41"/>
        <v>0.33457663521522785</v>
      </c>
      <c r="AL57" s="128">
        <f t="shared" si="41"/>
        <v>0.37324331140099498</v>
      </c>
      <c r="AM57" s="128" t="e">
        <f t="shared" si="41"/>
        <v>#DIV/0!</v>
      </c>
      <c r="AN57" s="128">
        <f t="shared" si="41"/>
        <v>0</v>
      </c>
      <c r="AO57" s="178">
        <f t="shared" si="41"/>
        <v>0.3530600051213475</v>
      </c>
      <c r="AP57" s="278">
        <f t="shared" si="41"/>
        <v>1.8601190476190476E-2</v>
      </c>
      <c r="AQ57" s="217" t="e">
        <f t="shared" si="41"/>
        <v>#DIV/0!</v>
      </c>
      <c r="AR57" s="128" t="e">
        <f t="shared" si="41"/>
        <v>#DIV/0!</v>
      </c>
      <c r="AS57" s="128" t="e">
        <f t="shared" si="41"/>
        <v>#DIV/0!</v>
      </c>
      <c r="AT57" s="128" t="e">
        <f t="shared" si="41"/>
        <v>#DIV/0!</v>
      </c>
      <c r="AU57" s="128" t="e">
        <f t="shared" si="41"/>
        <v>#DIV/0!</v>
      </c>
      <c r="AV57" s="128" t="e">
        <f t="shared" si="41"/>
        <v>#DIV/0!</v>
      </c>
      <c r="AW57" s="128" t="e">
        <f t="shared" si="41"/>
        <v>#DIV/0!</v>
      </c>
      <c r="AX57" s="128" t="e">
        <f t="shared" si="41"/>
        <v>#DIV/0!</v>
      </c>
      <c r="AY57" s="128" t="e">
        <f t="shared" si="41"/>
        <v>#DIV/0!</v>
      </c>
      <c r="AZ57" s="128" t="e">
        <f t="shared" si="41"/>
        <v>#DIV/0!</v>
      </c>
      <c r="BA57" s="128" t="e">
        <f t="shared" si="41"/>
        <v>#DIV/0!</v>
      </c>
      <c r="BB57" s="217" t="e">
        <f t="shared" si="41"/>
        <v>#DIV/0!</v>
      </c>
      <c r="BC57" s="128">
        <f t="shared" si="41"/>
        <v>0.35361134995700771</v>
      </c>
      <c r="BD57" s="128">
        <f t="shared" si="41"/>
        <v>0.35479348646608433</v>
      </c>
      <c r="BE57" s="128" t="e">
        <f t="shared" si="41"/>
        <v>#DIV/0!</v>
      </c>
      <c r="BF57" s="128">
        <f t="shared" si="41"/>
        <v>0.48727488407203712</v>
      </c>
      <c r="BG57" s="128">
        <f t="shared" si="41"/>
        <v>0.64919003986191259</v>
      </c>
      <c r="BH57" s="178">
        <f t="shared" si="41"/>
        <v>0.46747473884987212</v>
      </c>
      <c r="BI57" s="128">
        <f t="shared" si="41"/>
        <v>0.29613636564034185</v>
      </c>
      <c r="BJ57" s="128">
        <f t="shared" si="41"/>
        <v>0.15433726137915701</v>
      </c>
      <c r="BK57" s="128">
        <f t="shared" si="41"/>
        <v>0.29835748946097612</v>
      </c>
      <c r="BM57" s="128">
        <f>BM52/BM49</f>
        <v>0.48036339485787649</v>
      </c>
    </row>
    <row r="58" spans="1:65" s="181" customFormat="1" ht="15.75">
      <c r="A58" s="130"/>
      <c r="B58" s="5" t="s">
        <v>322</v>
      </c>
      <c r="C58" s="11">
        <f>C49-C52</f>
        <v>532503</v>
      </c>
      <c r="D58" s="11">
        <f t="shared" ref="D58:BM58" si="42">D52-D49</f>
        <v>-289898</v>
      </c>
      <c r="E58" s="11">
        <f t="shared" si="42"/>
        <v>10</v>
      </c>
      <c r="F58" s="11">
        <f t="shared" si="42"/>
        <v>-55079</v>
      </c>
      <c r="G58" s="11">
        <f t="shared" si="42"/>
        <v>-45304</v>
      </c>
      <c r="H58" s="11">
        <f t="shared" si="42"/>
        <v>0</v>
      </c>
      <c r="I58" s="11">
        <f t="shared" si="42"/>
        <v>0</v>
      </c>
      <c r="J58" s="11">
        <f t="shared" si="42"/>
        <v>-2468</v>
      </c>
      <c r="K58" s="11">
        <f t="shared" si="42"/>
        <v>-443</v>
      </c>
      <c r="L58" s="11">
        <f t="shared" si="42"/>
        <v>-11575</v>
      </c>
      <c r="M58" s="11">
        <f t="shared" si="42"/>
        <v>-13950</v>
      </c>
      <c r="N58" s="11">
        <f t="shared" si="42"/>
        <v>-11</v>
      </c>
      <c r="O58" s="11">
        <f t="shared" si="42"/>
        <v>-2103</v>
      </c>
      <c r="P58" s="11">
        <f t="shared" si="42"/>
        <v>-46393</v>
      </c>
      <c r="Q58" s="11">
        <f t="shared" si="42"/>
        <v>0</v>
      </c>
      <c r="R58" s="11">
        <f t="shared" si="42"/>
        <v>-1864</v>
      </c>
      <c r="S58" s="11">
        <f t="shared" si="42"/>
        <v>0</v>
      </c>
      <c r="T58" s="11">
        <f t="shared" si="42"/>
        <v>0</v>
      </c>
      <c r="U58" s="11">
        <f t="shared" si="42"/>
        <v>0</v>
      </c>
      <c r="V58" s="9">
        <f t="shared" si="42"/>
        <v>0</v>
      </c>
      <c r="W58" s="11">
        <f t="shared" si="42"/>
        <v>0</v>
      </c>
      <c r="X58" s="11">
        <f t="shared" si="42"/>
        <v>0</v>
      </c>
      <c r="Y58" s="11">
        <f t="shared" si="42"/>
        <v>-5770</v>
      </c>
      <c r="Z58" s="11">
        <f t="shared" si="42"/>
        <v>-3319</v>
      </c>
      <c r="AA58" s="11">
        <f t="shared" si="42"/>
        <v>-1863</v>
      </c>
      <c r="AB58" s="11">
        <f>AB52-AB49</f>
        <v>-237</v>
      </c>
      <c r="AC58" s="10">
        <f t="shared" si="42"/>
        <v>0</v>
      </c>
      <c r="AD58" s="11">
        <f t="shared" si="42"/>
        <v>-1012770</v>
      </c>
      <c r="AE58" s="11">
        <f t="shared" si="42"/>
        <v>10</v>
      </c>
      <c r="AF58" s="11">
        <f t="shared" si="42"/>
        <v>-5100</v>
      </c>
      <c r="AG58" s="11">
        <f t="shared" si="42"/>
        <v>-310</v>
      </c>
      <c r="AH58" s="11">
        <f t="shared" si="42"/>
        <v>0</v>
      </c>
      <c r="AI58" s="11">
        <f t="shared" si="42"/>
        <v>0</v>
      </c>
      <c r="AJ58" s="11">
        <f t="shared" si="42"/>
        <v>0</v>
      </c>
      <c r="AK58" s="11">
        <f t="shared" si="42"/>
        <v>-81173</v>
      </c>
      <c r="AL58" s="11">
        <f t="shared" si="42"/>
        <v>-54677</v>
      </c>
      <c r="AM58" s="11">
        <f t="shared" si="42"/>
        <v>0</v>
      </c>
      <c r="AN58" s="11">
        <f t="shared" si="42"/>
        <v>-41</v>
      </c>
      <c r="AO58" s="9">
        <f t="shared" si="42"/>
        <v>-136428</v>
      </c>
      <c r="AP58" s="276">
        <f t="shared" si="42"/>
        <v>-13190</v>
      </c>
      <c r="AQ58" s="10">
        <f t="shared" si="42"/>
        <v>2</v>
      </c>
      <c r="AR58" s="11">
        <f t="shared" si="42"/>
        <v>0</v>
      </c>
      <c r="AS58" s="11">
        <f t="shared" si="42"/>
        <v>0</v>
      </c>
      <c r="AT58" s="11">
        <f t="shared" si="42"/>
        <v>0</v>
      </c>
      <c r="AU58" s="11">
        <f t="shared" si="42"/>
        <v>0</v>
      </c>
      <c r="AV58" s="11">
        <f t="shared" si="42"/>
        <v>0</v>
      </c>
      <c r="AW58" s="11">
        <f t="shared" si="42"/>
        <v>0</v>
      </c>
      <c r="AX58" s="11">
        <f t="shared" si="42"/>
        <v>0</v>
      </c>
      <c r="AY58" s="11">
        <f t="shared" si="42"/>
        <v>0</v>
      </c>
      <c r="AZ58" s="11">
        <f t="shared" si="42"/>
        <v>0</v>
      </c>
      <c r="BA58" s="11">
        <f t="shared" si="42"/>
        <v>0</v>
      </c>
      <c r="BB58" s="10">
        <f t="shared" si="42"/>
        <v>0</v>
      </c>
      <c r="BC58" s="11">
        <f t="shared" si="42"/>
        <v>-6014</v>
      </c>
      <c r="BD58" s="11">
        <f t="shared" si="42"/>
        <v>-5983</v>
      </c>
      <c r="BE58" s="11">
        <f t="shared" si="42"/>
        <v>0</v>
      </c>
      <c r="BF58" s="11">
        <f t="shared" si="42"/>
        <v>-9509</v>
      </c>
      <c r="BG58" s="11">
        <f t="shared" si="42"/>
        <v>-111680</v>
      </c>
      <c r="BH58" s="11">
        <f t="shared" si="42"/>
        <v>-424093</v>
      </c>
      <c r="BI58" s="11">
        <f t="shared" si="42"/>
        <v>-1436863</v>
      </c>
      <c r="BJ58" s="11">
        <f t="shared" si="42"/>
        <v>-26624</v>
      </c>
      <c r="BK58" s="11">
        <f t="shared" si="42"/>
        <v>-1410239</v>
      </c>
      <c r="BL58" s="11">
        <f t="shared" si="42"/>
        <v>599672</v>
      </c>
      <c r="BM58" s="11">
        <f t="shared" si="42"/>
        <v>-397469</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279"/>
      <c r="AQ59" s="6"/>
      <c r="AR59" s="5"/>
      <c r="AS59" s="5"/>
      <c r="AT59" s="5"/>
      <c r="AU59" s="5"/>
      <c r="AV59" s="5"/>
      <c r="AW59" s="6"/>
      <c r="AX59" s="5"/>
      <c r="AY59" s="5"/>
      <c r="AZ59" s="5"/>
      <c r="BA59" s="5"/>
      <c r="BB59" s="6"/>
      <c r="BC59" s="5"/>
      <c r="BD59" s="5"/>
      <c r="BE59" s="5"/>
      <c r="BF59" s="5"/>
      <c r="BG59" s="5"/>
      <c r="BH59" s="16"/>
      <c r="BI59" s="44"/>
      <c r="BJ59" s="5"/>
      <c r="BK59" s="50"/>
    </row>
    <row r="60" spans="1:65" s="179" customFormat="1" ht="15.75">
      <c r="A60" s="269" t="s">
        <v>132</v>
      </c>
      <c r="B60" s="9" t="s">
        <v>316</v>
      </c>
      <c r="C60" s="225">
        <v>1245929</v>
      </c>
      <c r="D60" s="225">
        <v>910814</v>
      </c>
      <c r="E60" s="225">
        <v>0</v>
      </c>
      <c r="F60" s="225">
        <v>266064</v>
      </c>
      <c r="G60" s="225">
        <v>97549</v>
      </c>
      <c r="H60" s="225"/>
      <c r="I60" s="225"/>
      <c r="J60" s="225">
        <v>600667</v>
      </c>
      <c r="K60" s="225">
        <v>12373</v>
      </c>
      <c r="L60" s="225">
        <v>57970</v>
      </c>
      <c r="M60" s="225">
        <v>92363</v>
      </c>
      <c r="N60" s="225">
        <v>241</v>
      </c>
      <c r="O60" s="225">
        <v>2486</v>
      </c>
      <c r="P60" s="225">
        <v>2435</v>
      </c>
      <c r="Q60" s="225"/>
      <c r="R60" s="225">
        <v>5822</v>
      </c>
      <c r="S60" s="225"/>
      <c r="T60" s="225"/>
      <c r="U60" s="225"/>
      <c r="V60" s="225"/>
      <c r="W60" s="225"/>
      <c r="X60" s="225"/>
      <c r="Y60" s="225">
        <v>1386</v>
      </c>
      <c r="Z60" s="225">
        <v>867</v>
      </c>
      <c r="AA60" s="225">
        <v>528</v>
      </c>
      <c r="AB60" s="225">
        <v>473</v>
      </c>
      <c r="AC60" s="225"/>
      <c r="AD60" s="226">
        <f>SUM(C60:AC60)</f>
        <v>3297967</v>
      </c>
      <c r="AE60" s="225"/>
      <c r="AF60" s="225">
        <v>1</v>
      </c>
      <c r="AG60" s="225">
        <v>617</v>
      </c>
      <c r="AH60" s="225"/>
      <c r="AI60" s="225"/>
      <c r="AJ60" s="225"/>
      <c r="AK60" s="225">
        <v>49271</v>
      </c>
      <c r="AL60" s="225">
        <v>16281</v>
      </c>
      <c r="AM60" s="225">
        <v>304907</v>
      </c>
      <c r="AN60" s="225">
        <v>99108</v>
      </c>
      <c r="AO60" s="225">
        <v>328441</v>
      </c>
      <c r="AP60" s="274">
        <v>20</v>
      </c>
      <c r="AQ60" s="225"/>
      <c r="AR60" s="225"/>
      <c r="AS60" s="225"/>
      <c r="AT60" s="225"/>
      <c r="AU60" s="225"/>
      <c r="AV60" s="225"/>
      <c r="AW60" s="225"/>
      <c r="AX60" s="225"/>
      <c r="AY60" s="225"/>
      <c r="AZ60" s="225"/>
      <c r="BA60" s="225"/>
      <c r="BB60" s="225"/>
      <c r="BC60" s="225">
        <v>9870</v>
      </c>
      <c r="BD60" s="225">
        <v>10088</v>
      </c>
      <c r="BE60" s="225"/>
      <c r="BF60" s="225">
        <v>21449</v>
      </c>
      <c r="BG60" s="225">
        <v>86</v>
      </c>
      <c r="BH60" s="229">
        <f>SUM(AE60:BG60)</f>
        <v>840139</v>
      </c>
      <c r="BI60" s="125">
        <f>AD60+BH60</f>
        <v>4138106</v>
      </c>
      <c r="BJ60" s="230">
        <v>0</v>
      </c>
      <c r="BK60" s="226">
        <f>BI60-BJ60</f>
        <v>4138106</v>
      </c>
      <c r="BM60" s="228">
        <f>BK60-AD60</f>
        <v>840139</v>
      </c>
    </row>
    <row r="61" spans="1:65" s="41" customFormat="1" ht="15.75">
      <c r="A61" s="136"/>
      <c r="B61" s="234" t="s">
        <v>317</v>
      </c>
      <c r="C61" s="10">
        <v>236726</v>
      </c>
      <c r="D61" s="10">
        <v>173054</v>
      </c>
      <c r="E61" s="2">
        <v>0</v>
      </c>
      <c r="F61" s="10">
        <v>50554</v>
      </c>
      <c r="G61" s="10">
        <v>18535</v>
      </c>
      <c r="H61" s="10"/>
      <c r="I61" s="10"/>
      <c r="J61" s="10">
        <v>114127</v>
      </c>
      <c r="K61" s="10">
        <v>2351</v>
      </c>
      <c r="L61" s="10">
        <v>11013</v>
      </c>
      <c r="M61" s="10">
        <v>17549</v>
      </c>
      <c r="N61" s="10">
        <v>46</v>
      </c>
      <c r="O61" s="10">
        <v>472</v>
      </c>
      <c r="P61" s="10">
        <v>463</v>
      </c>
      <c r="Q61" s="10"/>
      <c r="R61" s="10">
        <v>1105</v>
      </c>
      <c r="S61" s="10"/>
      <c r="T61" s="10"/>
      <c r="U61" s="10"/>
      <c r="V61" s="10"/>
      <c r="W61" s="10"/>
      <c r="X61" s="10"/>
      <c r="Y61" s="10">
        <v>263</v>
      </c>
      <c r="Z61" s="10">
        <v>165</v>
      </c>
      <c r="AA61" s="10">
        <v>100</v>
      </c>
      <c r="AB61" s="10">
        <v>90</v>
      </c>
      <c r="AC61" s="10"/>
      <c r="AD61" s="123">
        <f>SUM(C61:AC61)</f>
        <v>626613</v>
      </c>
      <c r="AE61" s="10"/>
      <c r="AF61" s="10">
        <v>0</v>
      </c>
      <c r="AG61" s="10">
        <v>149</v>
      </c>
      <c r="AH61" s="10"/>
      <c r="AI61" s="10"/>
      <c r="AJ61" s="10"/>
      <c r="AK61" s="10">
        <v>11826</v>
      </c>
      <c r="AL61" s="10">
        <v>3907</v>
      </c>
      <c r="AM61" s="10">
        <v>73178</v>
      </c>
      <c r="AN61" s="10">
        <v>23786</v>
      </c>
      <c r="AO61" s="10">
        <v>78826</v>
      </c>
      <c r="AP61" s="250">
        <v>5</v>
      </c>
      <c r="AQ61" s="10"/>
      <c r="AR61" s="10"/>
      <c r="AS61" s="10"/>
      <c r="AT61" s="10"/>
      <c r="AU61" s="10"/>
      <c r="AV61" s="10"/>
      <c r="AW61" s="10"/>
      <c r="AX61" s="10"/>
      <c r="AY61" s="10"/>
      <c r="AZ61" s="10"/>
      <c r="BA61" s="10"/>
      <c r="BB61" s="10"/>
      <c r="BC61" s="10">
        <v>2368</v>
      </c>
      <c r="BD61" s="10">
        <v>2420</v>
      </c>
      <c r="BE61" s="10"/>
      <c r="BF61" s="10">
        <v>5148</v>
      </c>
      <c r="BG61" s="10">
        <v>21</v>
      </c>
      <c r="BH61" s="10">
        <f>SUM(AE61:BG61)</f>
        <v>201634</v>
      </c>
      <c r="BI61" s="219">
        <f>AD61+BH61</f>
        <v>828247</v>
      </c>
      <c r="BJ61" s="10">
        <f>IF('[1]Upto Month Current'!$G$60="",0,'[1]Upto Month Current'!$G$60)</f>
        <v>0</v>
      </c>
      <c r="BK61" s="10">
        <f>BI61-BJ61</f>
        <v>828247</v>
      </c>
      <c r="BL61" s="41">
        <f>'[1]Upto Month Current'!$G$61</f>
        <v>856580</v>
      </c>
      <c r="BM61" s="218">
        <f>BK61-AD61</f>
        <v>201634</v>
      </c>
    </row>
    <row r="62" spans="1:65" ht="15.75">
      <c r="A62" s="130"/>
      <c r="B62" s="12" t="s">
        <v>318</v>
      </c>
      <c r="C62" s="9">
        <f>IF('Upto Month COPPY'!$G$4="",0,'Upto Month COPPY'!$G$4)</f>
        <v>213747</v>
      </c>
      <c r="D62" s="9">
        <f>IF('Upto Month COPPY'!$G$5="",0,'Upto Month COPPY'!$G$5)</f>
        <v>145085</v>
      </c>
      <c r="E62" s="9">
        <f>IF('Upto Month COPPY'!$G$6="",0,'Upto Month COPPY'!$G$6)</f>
        <v>43</v>
      </c>
      <c r="F62" s="9">
        <f>IF('Upto Month COPPY'!$G$7="",0,'Upto Month COPPY'!$G$7)</f>
        <v>38777</v>
      </c>
      <c r="G62" s="9">
        <f>IF('Upto Month COPPY'!$G$8="",0,'Upto Month COPPY'!$G$8)</f>
        <v>17096</v>
      </c>
      <c r="H62" s="9">
        <f>IF('Upto Month COPPY'!$G$9="",0,'Upto Month COPPY'!$G$9)</f>
        <v>0</v>
      </c>
      <c r="I62" s="9">
        <f>IF('Upto Month COPPY'!$G$10="",0,'Upto Month COPPY'!$G$10)</f>
        <v>0</v>
      </c>
      <c r="J62" s="9">
        <f>IF('Upto Month COPPY'!$G$11="",0,'Upto Month COPPY'!$G$11)</f>
        <v>175931</v>
      </c>
      <c r="K62" s="9">
        <f>IF('Upto Month COPPY'!$G$12="",0,'Upto Month COPPY'!$G$12)</f>
        <v>7830</v>
      </c>
      <c r="L62" s="9">
        <f>IF('Upto Month COPPY'!$G$13="",0,'Upto Month COPPY'!$G$13)</f>
        <v>21937</v>
      </c>
      <c r="M62" s="9">
        <f>IF('Upto Month COPPY'!$G$14="",0,'Upto Month COPPY'!$G$14)</f>
        <v>20399</v>
      </c>
      <c r="N62" s="9">
        <f>IF('Upto Month COPPY'!$G$15="",0,'Upto Month COPPY'!$G$15)</f>
        <v>90</v>
      </c>
      <c r="O62" s="9">
        <f>IF('Upto Month COPPY'!$G$16="",0,'Upto Month COPPY'!$G$16)</f>
        <v>516</v>
      </c>
      <c r="P62" s="9">
        <f>IF('Upto Month COPPY'!$G$17="",0,'Upto Month COPPY'!$G$17)</f>
        <v>879</v>
      </c>
      <c r="Q62" s="9">
        <f>IF('Upto Month COPPY'!$G$18="",0,'Upto Month COPPY'!$G$18)</f>
        <v>0</v>
      </c>
      <c r="R62" s="9">
        <f>IF('Upto Month COPPY'!$G$21="",0,'Upto Month COPPY'!$G$21)</f>
        <v>1636</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257</v>
      </c>
      <c r="Z62" s="9">
        <f>IF('Upto Month COPPY'!$G$43="",0,'Upto Month COPPY'!$G$43)</f>
        <v>102</v>
      </c>
      <c r="AA62" s="9">
        <f>IF('Upto Month COPPY'!$G$44="",0,'Upto Month COPPY'!$G$44)</f>
        <v>67</v>
      </c>
      <c r="AB62" s="9">
        <f>IF('Upto Month COPPY'!$G$48="",0,'Upto Month COPPY'!$G$48)</f>
        <v>0</v>
      </c>
      <c r="AC62" s="10">
        <f>IF('Upto Month COPPY'!$G$51="",0,'Upto Month COPPY'!$G$51)</f>
        <v>0</v>
      </c>
      <c r="AD62" s="123">
        <f>SUM(C62:AC62)</f>
        <v>644392</v>
      </c>
      <c r="AE62" s="9">
        <f>IF('Upto Month COPPY'!$G$19="",0,'Upto Month COPPY'!$G$19)</f>
        <v>0</v>
      </c>
      <c r="AF62" s="9">
        <f>IF('Upto Month COPPY'!$G$20="",0,'Upto Month COPPY'!$G$20)</f>
        <v>0</v>
      </c>
      <c r="AG62" s="9">
        <f>IF('Upto Month COPPY'!$G$22="",0,'Upto Month COPPY'!$G$22)</f>
        <v>0</v>
      </c>
      <c r="AH62" s="9">
        <f>IF('Upto Month COPPY'!$G$23="",0,'Upto Month COPPY'!$G$23)</f>
        <v>0</v>
      </c>
      <c r="AI62" s="9">
        <f>IF('Upto Month COPPY'!$G$24="",0,'Upto Month COPPY'!$G$24)</f>
        <v>0</v>
      </c>
      <c r="AJ62" s="9">
        <f>IF('Upto Month COPPY'!$G$25="",0,'Upto Month COPPY'!$G$25)</f>
        <v>0</v>
      </c>
      <c r="AK62" s="9">
        <f>IF('Upto Month COPPY'!$G$28="",0,'Upto Month COPPY'!$G$28)</f>
        <v>10871</v>
      </c>
      <c r="AL62" s="9">
        <f>IF('Upto Month COPPY'!$G$29="",0,'Upto Month COPPY'!$G$29)</f>
        <v>4973</v>
      </c>
      <c r="AM62" s="9">
        <f>IF('Upto Month COPPY'!$G$31="",0,'Upto Month COPPY'!$G$31)</f>
        <v>19939</v>
      </c>
      <c r="AN62" s="9">
        <f>IF('Upto Month COPPY'!$G$32="",0,'Upto Month COPPY'!$G$32)</f>
        <v>1478</v>
      </c>
      <c r="AO62" s="9">
        <f>IF('Upto Month COPPY'!$G$33="",0,'Upto Month COPPY'!$G$33)</f>
        <v>48906</v>
      </c>
      <c r="AP62" s="275">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2617</v>
      </c>
      <c r="BD62" s="9">
        <f>IF('Upto Month COPPY'!$G$54="",0,'Upto Month COPPY'!$G$54)</f>
        <v>2617</v>
      </c>
      <c r="BE62" s="9">
        <f>IF('Upto Month COPPY'!$G$55="",0,'Upto Month COPPY'!$G$55)</f>
        <v>0</v>
      </c>
      <c r="BF62" s="9">
        <f>IF('Upto Month COPPY'!$G$56="",0,'Upto Month COPPY'!$G$56)</f>
        <v>3074</v>
      </c>
      <c r="BG62" s="9">
        <f>IF('Upto Month COPPY'!$G$58="",0,'Upto Month COPPY'!$G$58)</f>
        <v>0</v>
      </c>
      <c r="BH62" s="9">
        <f>SUM(AE62:BG62)</f>
        <v>94475</v>
      </c>
      <c r="BI62" s="127">
        <f>AD62+BH62</f>
        <v>738867</v>
      </c>
      <c r="BJ62" s="9">
        <f>-IF('Upto Month COPPY'!$G$60="",0,'Upto Month COPPY'!$G$60)</f>
        <v>0</v>
      </c>
      <c r="BK62" s="51">
        <f>BI62-BJ62</f>
        <v>738867</v>
      </c>
      <c r="BL62">
        <f>'Upto Month COPPY'!$G$61</f>
        <v>738868</v>
      </c>
      <c r="BM62" s="30">
        <f>BK62-AD62</f>
        <v>94475</v>
      </c>
    </row>
    <row r="63" spans="1:65" ht="17.25" customHeight="1">
      <c r="A63" s="130"/>
      <c r="B63" s="183" t="s">
        <v>319</v>
      </c>
      <c r="C63" s="9">
        <f>IF('Upto Month Current'!$G$4="",0,'Upto Month Current'!$G$4)</f>
        <v>214435</v>
      </c>
      <c r="D63" s="9">
        <f>IF('Upto Month Current'!$G$5="",0,'Upto Month Current'!$G$5)</f>
        <v>167089</v>
      </c>
      <c r="E63" s="9">
        <f>IF('Upto Month Current'!$G$6="",0,'Upto Month Current'!$G$6)</f>
        <v>140</v>
      </c>
      <c r="F63" s="9">
        <f>IF('Upto Month Current'!$G$7="",0,'Upto Month Current'!$G$7)</f>
        <v>39826</v>
      </c>
      <c r="G63" s="9">
        <f>IF('Upto Month Current'!$G$8="",0,'Upto Month Current'!$G$8)</f>
        <v>19952</v>
      </c>
      <c r="H63" s="9">
        <f>IF('Upto Month Current'!$G$9="",0,'Upto Month Current'!$G$9)</f>
        <v>0</v>
      </c>
      <c r="I63" s="9">
        <f>IF('Upto Month Current'!$G$10="",0,'Upto Month Current'!$G$10)</f>
        <v>0</v>
      </c>
      <c r="J63" s="9">
        <f>IF('Upto Month Current'!$G$11="",0,'Upto Month Current'!$G$11)</f>
        <v>101708</v>
      </c>
      <c r="K63" s="9">
        <f>IF('Upto Month Current'!$G$12="",0,'Upto Month Current'!$G$12)</f>
        <v>244</v>
      </c>
      <c r="L63" s="9">
        <f>IF('Upto Month Current'!$G$13="",0,'Upto Month Current'!$G$13)</f>
        <v>11766</v>
      </c>
      <c r="M63" s="9">
        <f>IF('Upto Month Current'!$G$14="",0,'Upto Month Current'!$G$14)</f>
        <v>16426</v>
      </c>
      <c r="N63" s="9">
        <f>IF('Upto Month Current'!$G$15="",0,'Upto Month Current'!$G$15)</f>
        <v>0</v>
      </c>
      <c r="O63" s="9">
        <f>IF('Upto Month Current'!$G$16="",0,'Upto Month Current'!$G$16)</f>
        <v>542</v>
      </c>
      <c r="P63" s="9">
        <f>IF('Upto Month Current'!$G$17="",0,'Upto Month Current'!$G$17)</f>
        <v>492</v>
      </c>
      <c r="Q63" s="9">
        <f>IF('Upto Month Current'!$G$18="",0,'Upto Month Current'!$G$18)</f>
        <v>0</v>
      </c>
      <c r="R63" s="9">
        <f>IF('Upto Month Current'!$G$21="",0,'Upto Month Current'!$G$21)</f>
        <v>269</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2205</v>
      </c>
      <c r="Z63" s="9">
        <f>IF('Upto Month Current'!$G$43="",0,'Upto Month Current'!$G$43)</f>
        <v>886</v>
      </c>
      <c r="AA63" s="9">
        <f>IF('Upto Month Current'!$G$44="",0,'Upto Month Current'!$G$44)</f>
        <v>623</v>
      </c>
      <c r="AB63" s="9">
        <f>IF('Upto Month Current'!$G$48="",0,'Upto Month Current'!$G$48)</f>
        <v>0</v>
      </c>
      <c r="AC63" s="10">
        <f>IF('Upto Month Current'!$G$51="",0,'Upto Month Current'!$G$51)</f>
        <v>0</v>
      </c>
      <c r="AD63" s="123">
        <f>SUM(C63:AC63)</f>
        <v>576603</v>
      </c>
      <c r="AE63" s="9">
        <f>IF('Upto Month Current'!$G$19="",0,'Upto Month Current'!$G$19)</f>
        <v>0</v>
      </c>
      <c r="AF63" s="9">
        <f>IF('Upto Month Current'!$G$20="",0,'Upto Month Current'!$G$20)</f>
        <v>0</v>
      </c>
      <c r="AG63" s="9">
        <f>IF('Upto Month Current'!$G$22="",0,'Upto Month Current'!$G$22)</f>
        <v>887</v>
      </c>
      <c r="AH63" s="9">
        <f>IF('Upto Month Current'!$G$23="",0,'Upto Month Current'!$G$23)</f>
        <v>0</v>
      </c>
      <c r="AI63" s="9">
        <f>IF('Upto Month Current'!$G$24="",0,'Upto Month Current'!$G$24)</f>
        <v>0</v>
      </c>
      <c r="AJ63" s="9">
        <f>IF('Upto Month Current'!$G$25="",0,'Upto Month Current'!$G$25)</f>
        <v>0</v>
      </c>
      <c r="AK63" s="9">
        <f>IF('Upto Month Current'!$G$28="",0,'Upto Month Current'!$G$28)</f>
        <v>3065</v>
      </c>
      <c r="AL63" s="9">
        <f>IF('Upto Month Current'!$G$29="",0,'Upto Month Current'!$G$29)</f>
        <v>9231</v>
      </c>
      <c r="AM63" s="9">
        <f>IF('Upto Month Current'!$G$31="",0,'Upto Month Current'!$G$31)</f>
        <v>31576</v>
      </c>
      <c r="AN63" s="9">
        <f>IF('Upto Month Current'!$G$32="",0,'Upto Month Current'!$G$32)</f>
        <v>6999</v>
      </c>
      <c r="AO63" s="9">
        <f>IF('Upto Month Current'!$G$33="",0,'Upto Month Current'!$G$33)</f>
        <v>148375</v>
      </c>
      <c r="AP63" s="275">
        <f>IF('Upto Month Current'!$G$34="",0,'Upto Month Current'!$G$34)</f>
        <v>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4385</v>
      </c>
      <c r="BD63" s="9">
        <f>IF('Upto Month Current'!$G$54="",0,'Upto Month Current'!$G$54)</f>
        <v>4385</v>
      </c>
      <c r="BE63" s="9">
        <f>IF('Upto Month Current'!$G$55="",0,'Upto Month Current'!$G$55)</f>
        <v>0</v>
      </c>
      <c r="BF63" s="9">
        <f>IF('Upto Month Current'!$G$56="",0,'Upto Month Current'!$G$56)</f>
        <v>14319</v>
      </c>
      <c r="BG63" s="9">
        <f>IF('Upto Month Current'!$G$58="",0,'Upto Month Current'!$G$58)</f>
        <v>0</v>
      </c>
      <c r="BH63" s="9">
        <f>SUM(AE63:BG63)</f>
        <v>223222</v>
      </c>
      <c r="BI63" s="127">
        <f>AD63+BH63</f>
        <v>799825</v>
      </c>
      <c r="BJ63" s="9">
        <f>IF('Upto Month Current'!$G$60="",0,'Upto Month Current'!$G$60)</f>
        <v>0</v>
      </c>
      <c r="BK63" s="51">
        <f>BI63-BJ63</f>
        <v>799825</v>
      </c>
      <c r="BL63">
        <f>'Upto Month Current'!$G$61</f>
        <v>799827</v>
      </c>
      <c r="BM63" s="30">
        <f>BK63-AD63</f>
        <v>223222</v>
      </c>
    </row>
    <row r="64" spans="1:65" ht="15.75">
      <c r="A64" s="130"/>
      <c r="B64" s="5" t="s">
        <v>124</v>
      </c>
      <c r="C64" s="11">
        <f t="shared" ref="C64:AH64" si="43">C63-C61</f>
        <v>-22291</v>
      </c>
      <c r="D64" s="11">
        <f t="shared" si="43"/>
        <v>-5965</v>
      </c>
      <c r="E64" s="11">
        <f t="shared" si="43"/>
        <v>140</v>
      </c>
      <c r="F64" s="11">
        <f t="shared" si="43"/>
        <v>-10728</v>
      </c>
      <c r="G64" s="11">
        <f t="shared" si="43"/>
        <v>1417</v>
      </c>
      <c r="H64" s="11">
        <f t="shared" si="43"/>
        <v>0</v>
      </c>
      <c r="I64" s="11">
        <f t="shared" si="43"/>
        <v>0</v>
      </c>
      <c r="J64" s="11">
        <f t="shared" si="43"/>
        <v>-12419</v>
      </c>
      <c r="K64" s="11">
        <f t="shared" si="43"/>
        <v>-2107</v>
      </c>
      <c r="L64" s="11">
        <f t="shared" si="43"/>
        <v>753</v>
      </c>
      <c r="M64" s="11">
        <f t="shared" si="43"/>
        <v>-1123</v>
      </c>
      <c r="N64" s="11">
        <f t="shared" si="43"/>
        <v>-46</v>
      </c>
      <c r="O64" s="11">
        <f t="shared" si="43"/>
        <v>70</v>
      </c>
      <c r="P64" s="11">
        <f t="shared" si="43"/>
        <v>29</v>
      </c>
      <c r="Q64" s="11">
        <f t="shared" si="43"/>
        <v>0</v>
      </c>
      <c r="R64" s="11">
        <f t="shared" si="43"/>
        <v>-836</v>
      </c>
      <c r="S64" s="11">
        <f t="shared" si="43"/>
        <v>0</v>
      </c>
      <c r="T64" s="11">
        <f t="shared" si="43"/>
        <v>0</v>
      </c>
      <c r="U64" s="11">
        <f t="shared" si="43"/>
        <v>0</v>
      </c>
      <c r="V64" s="9">
        <f t="shared" si="43"/>
        <v>0</v>
      </c>
      <c r="W64" s="11">
        <f t="shared" si="43"/>
        <v>0</v>
      </c>
      <c r="X64" s="11">
        <f t="shared" si="43"/>
        <v>0</v>
      </c>
      <c r="Y64" s="11">
        <f t="shared" si="43"/>
        <v>1942</v>
      </c>
      <c r="Z64" s="11">
        <f t="shared" si="43"/>
        <v>721</v>
      </c>
      <c r="AA64" s="11">
        <f t="shared" si="43"/>
        <v>523</v>
      </c>
      <c r="AB64" s="11">
        <f t="shared" si="43"/>
        <v>-90</v>
      </c>
      <c r="AC64" s="10">
        <f t="shared" si="43"/>
        <v>0</v>
      </c>
      <c r="AD64" s="11">
        <f t="shared" si="43"/>
        <v>-50010</v>
      </c>
      <c r="AE64" s="11">
        <f t="shared" si="43"/>
        <v>0</v>
      </c>
      <c r="AF64" s="11">
        <f t="shared" si="43"/>
        <v>0</v>
      </c>
      <c r="AG64" s="11">
        <f t="shared" si="43"/>
        <v>738</v>
      </c>
      <c r="AH64" s="11">
        <f t="shared" si="43"/>
        <v>0</v>
      </c>
      <c r="AI64" s="11">
        <f t="shared" ref="AI64:BK64" si="44">AI63-AI61</f>
        <v>0</v>
      </c>
      <c r="AJ64" s="11">
        <f t="shared" si="44"/>
        <v>0</v>
      </c>
      <c r="AK64" s="11">
        <f t="shared" si="44"/>
        <v>-8761</v>
      </c>
      <c r="AL64" s="11">
        <f t="shared" si="44"/>
        <v>5324</v>
      </c>
      <c r="AM64" s="11">
        <f t="shared" si="44"/>
        <v>-41602</v>
      </c>
      <c r="AN64" s="11">
        <f t="shared" si="44"/>
        <v>-16787</v>
      </c>
      <c r="AO64" s="9">
        <f t="shared" si="44"/>
        <v>69549</v>
      </c>
      <c r="AP64" s="276">
        <f t="shared" si="44"/>
        <v>-5</v>
      </c>
      <c r="AQ64" s="10">
        <f t="shared" si="44"/>
        <v>0</v>
      </c>
      <c r="AR64" s="11">
        <f t="shared" si="44"/>
        <v>0</v>
      </c>
      <c r="AS64" s="11">
        <f t="shared" si="44"/>
        <v>0</v>
      </c>
      <c r="AT64" s="11">
        <f t="shared" si="44"/>
        <v>0</v>
      </c>
      <c r="AU64" s="11">
        <f t="shared" si="44"/>
        <v>0</v>
      </c>
      <c r="AV64" s="11">
        <f t="shared" si="44"/>
        <v>0</v>
      </c>
      <c r="AW64" s="11">
        <f t="shared" si="44"/>
        <v>0</v>
      </c>
      <c r="AX64" s="11">
        <f t="shared" si="44"/>
        <v>0</v>
      </c>
      <c r="AY64" s="11">
        <f t="shared" si="44"/>
        <v>0</v>
      </c>
      <c r="AZ64" s="11">
        <f t="shared" si="44"/>
        <v>0</v>
      </c>
      <c r="BA64" s="11">
        <f t="shared" si="44"/>
        <v>0</v>
      </c>
      <c r="BB64" s="10">
        <f t="shared" si="44"/>
        <v>0</v>
      </c>
      <c r="BC64" s="11">
        <f t="shared" si="44"/>
        <v>2017</v>
      </c>
      <c r="BD64" s="11">
        <f t="shared" si="44"/>
        <v>1965</v>
      </c>
      <c r="BE64" s="11">
        <f t="shared" si="44"/>
        <v>0</v>
      </c>
      <c r="BF64" s="11">
        <f t="shared" si="44"/>
        <v>9171</v>
      </c>
      <c r="BG64" s="11">
        <f t="shared" si="44"/>
        <v>-21</v>
      </c>
      <c r="BH64" s="9">
        <f t="shared" si="44"/>
        <v>21588</v>
      </c>
      <c r="BI64" s="45">
        <f t="shared" si="44"/>
        <v>-28422</v>
      </c>
      <c r="BJ64" s="11">
        <f t="shared" si="44"/>
        <v>0</v>
      </c>
      <c r="BK64" s="51">
        <f t="shared" si="44"/>
        <v>-28422</v>
      </c>
      <c r="BM64" s="30">
        <f>BK64-AD64</f>
        <v>21588</v>
      </c>
    </row>
    <row r="65" spans="1:65" ht="15.75">
      <c r="A65" s="131"/>
      <c r="B65" s="16" t="s">
        <v>125</v>
      </c>
      <c r="C65" s="13">
        <f t="shared" ref="C65:AH65" si="45">C64/C61</f>
        <v>-9.4163716702009917E-2</v>
      </c>
      <c r="D65" s="13">
        <f t="shared" si="45"/>
        <v>-3.4469009673281176E-2</v>
      </c>
      <c r="E65" s="13" t="e">
        <f t="shared" si="45"/>
        <v>#DIV/0!</v>
      </c>
      <c r="F65" s="13">
        <f t="shared" si="45"/>
        <v>-0.21220872730149939</v>
      </c>
      <c r="G65" s="13">
        <f t="shared" si="45"/>
        <v>7.6449959536012954E-2</v>
      </c>
      <c r="H65" s="13" t="e">
        <f t="shared" si="45"/>
        <v>#DIV/0!</v>
      </c>
      <c r="I65" s="13" t="e">
        <f t="shared" si="45"/>
        <v>#DIV/0!</v>
      </c>
      <c r="J65" s="13">
        <f t="shared" si="45"/>
        <v>-0.10881737012275798</v>
      </c>
      <c r="K65" s="13">
        <f t="shared" si="45"/>
        <v>-0.89621437686091021</v>
      </c>
      <c r="L65" s="13">
        <f t="shared" si="45"/>
        <v>6.8373740125306462E-2</v>
      </c>
      <c r="M65" s="13">
        <f t="shared" si="45"/>
        <v>-6.3992250270670695E-2</v>
      </c>
      <c r="N65" s="13">
        <f t="shared" si="45"/>
        <v>-1</v>
      </c>
      <c r="O65" s="13">
        <f t="shared" si="45"/>
        <v>0.14830508474576271</v>
      </c>
      <c r="P65" s="13">
        <f t="shared" si="45"/>
        <v>6.2634989200863925E-2</v>
      </c>
      <c r="Q65" s="13" t="e">
        <f t="shared" si="45"/>
        <v>#DIV/0!</v>
      </c>
      <c r="R65" s="13">
        <f t="shared" si="45"/>
        <v>-0.75656108597285066</v>
      </c>
      <c r="S65" s="13" t="e">
        <f t="shared" si="45"/>
        <v>#DIV/0!</v>
      </c>
      <c r="T65" s="13" t="e">
        <f t="shared" si="45"/>
        <v>#DIV/0!</v>
      </c>
      <c r="U65" s="13" t="e">
        <f t="shared" si="45"/>
        <v>#DIV/0!</v>
      </c>
      <c r="V65" s="163" t="e">
        <f t="shared" si="45"/>
        <v>#DIV/0!</v>
      </c>
      <c r="W65" s="13" t="e">
        <f t="shared" si="45"/>
        <v>#DIV/0!</v>
      </c>
      <c r="X65" s="13" t="e">
        <f t="shared" si="45"/>
        <v>#DIV/0!</v>
      </c>
      <c r="Y65" s="13">
        <f t="shared" si="45"/>
        <v>7.3840304182509504</v>
      </c>
      <c r="Z65" s="13">
        <f t="shared" si="45"/>
        <v>4.3696969696969701</v>
      </c>
      <c r="AA65" s="13">
        <f t="shared" si="45"/>
        <v>5.23</v>
      </c>
      <c r="AB65" s="13">
        <f t="shared" si="45"/>
        <v>-1</v>
      </c>
      <c r="AC65" s="14" t="e">
        <f t="shared" si="45"/>
        <v>#DIV/0!</v>
      </c>
      <c r="AD65" s="13">
        <f t="shared" si="45"/>
        <v>-7.9810026284165822E-2</v>
      </c>
      <c r="AE65" s="13" t="e">
        <f t="shared" si="45"/>
        <v>#DIV/0!</v>
      </c>
      <c r="AF65" s="13" t="e">
        <f t="shared" si="45"/>
        <v>#DIV/0!</v>
      </c>
      <c r="AG65" s="13">
        <f t="shared" si="45"/>
        <v>4.9530201342281881</v>
      </c>
      <c r="AH65" s="13" t="e">
        <f t="shared" si="45"/>
        <v>#DIV/0!</v>
      </c>
      <c r="AI65" s="13" t="e">
        <f t="shared" ref="AI65:BK65" si="46">AI64/AI61</f>
        <v>#DIV/0!</v>
      </c>
      <c r="AJ65" s="13" t="e">
        <f t="shared" si="46"/>
        <v>#DIV/0!</v>
      </c>
      <c r="AK65" s="13">
        <f t="shared" si="46"/>
        <v>-0.74082530018603077</v>
      </c>
      <c r="AL65" s="13">
        <f t="shared" si="46"/>
        <v>1.3626823649859228</v>
      </c>
      <c r="AM65" s="13">
        <f t="shared" si="46"/>
        <v>-0.56850419524993856</v>
      </c>
      <c r="AN65" s="13">
        <f t="shared" si="46"/>
        <v>-0.70575128226687966</v>
      </c>
      <c r="AO65" s="163">
        <f t="shared" si="46"/>
        <v>0.88231040519625503</v>
      </c>
      <c r="AP65" s="277">
        <f t="shared" si="46"/>
        <v>-1</v>
      </c>
      <c r="AQ65" s="14" t="e">
        <f t="shared" si="46"/>
        <v>#DIV/0!</v>
      </c>
      <c r="AR65" s="13" t="e">
        <f t="shared" si="46"/>
        <v>#DIV/0!</v>
      </c>
      <c r="AS65" s="13" t="e">
        <f t="shared" si="46"/>
        <v>#DIV/0!</v>
      </c>
      <c r="AT65" s="13" t="e">
        <f t="shared" si="46"/>
        <v>#DIV/0!</v>
      </c>
      <c r="AU65" s="13" t="e">
        <f t="shared" si="46"/>
        <v>#DIV/0!</v>
      </c>
      <c r="AV65" s="13" t="e">
        <f t="shared" si="46"/>
        <v>#DIV/0!</v>
      </c>
      <c r="AW65" s="13" t="e">
        <f t="shared" si="46"/>
        <v>#DIV/0!</v>
      </c>
      <c r="AX65" s="13" t="e">
        <f t="shared" si="46"/>
        <v>#DIV/0!</v>
      </c>
      <c r="AY65" s="13" t="e">
        <f t="shared" si="46"/>
        <v>#DIV/0!</v>
      </c>
      <c r="AZ65" s="13" t="e">
        <f t="shared" si="46"/>
        <v>#DIV/0!</v>
      </c>
      <c r="BA65" s="13" t="e">
        <f t="shared" si="46"/>
        <v>#DIV/0!</v>
      </c>
      <c r="BB65" s="14" t="e">
        <f t="shared" si="46"/>
        <v>#DIV/0!</v>
      </c>
      <c r="BC65" s="13">
        <f t="shared" si="46"/>
        <v>0.85177364864864868</v>
      </c>
      <c r="BD65" s="13">
        <f t="shared" si="46"/>
        <v>0.81198347107438018</v>
      </c>
      <c r="BE65" s="13" t="e">
        <f t="shared" si="46"/>
        <v>#DIV/0!</v>
      </c>
      <c r="BF65" s="13">
        <f t="shared" si="46"/>
        <v>1.7814685314685315</v>
      </c>
      <c r="BG65" s="13">
        <f t="shared" si="46"/>
        <v>-1</v>
      </c>
      <c r="BH65" s="163">
        <f t="shared" si="46"/>
        <v>0.10706527668944722</v>
      </c>
      <c r="BI65" s="46">
        <f t="shared" si="46"/>
        <v>-3.4315850223423691E-2</v>
      </c>
      <c r="BJ65" s="13" t="e">
        <f t="shared" si="46"/>
        <v>#DIV/0!</v>
      </c>
      <c r="BK65" s="52">
        <f t="shared" si="46"/>
        <v>-3.4315850223423691E-2</v>
      </c>
      <c r="BM65" s="163">
        <f>BM64/BM61</f>
        <v>0.10706527668944722</v>
      </c>
    </row>
    <row r="66" spans="1:65" ht="15.75">
      <c r="A66" s="130"/>
      <c r="B66" s="5" t="s">
        <v>126</v>
      </c>
      <c r="C66" s="11">
        <f>C63-C62</f>
        <v>688</v>
      </c>
      <c r="D66" s="11">
        <f t="shared" ref="D66:BK66" si="47">D63-D62</f>
        <v>22004</v>
      </c>
      <c r="E66" s="11">
        <f t="shared" si="47"/>
        <v>97</v>
      </c>
      <c r="F66" s="11">
        <f t="shared" si="47"/>
        <v>1049</v>
      </c>
      <c r="G66" s="11">
        <f t="shared" si="47"/>
        <v>2856</v>
      </c>
      <c r="H66" s="11">
        <f t="shared" si="47"/>
        <v>0</v>
      </c>
      <c r="I66" s="11">
        <f t="shared" si="47"/>
        <v>0</v>
      </c>
      <c r="J66" s="11">
        <f t="shared" si="47"/>
        <v>-74223</v>
      </c>
      <c r="K66" s="11">
        <f t="shared" si="47"/>
        <v>-7586</v>
      </c>
      <c r="L66" s="11">
        <f t="shared" si="47"/>
        <v>-10171</v>
      </c>
      <c r="M66" s="11">
        <f t="shared" si="47"/>
        <v>-3973</v>
      </c>
      <c r="N66" s="11">
        <f t="shared" si="47"/>
        <v>-90</v>
      </c>
      <c r="O66" s="11">
        <f t="shared" si="47"/>
        <v>26</v>
      </c>
      <c r="P66" s="11">
        <f t="shared" si="47"/>
        <v>-387</v>
      </c>
      <c r="Q66" s="11">
        <f t="shared" si="47"/>
        <v>0</v>
      </c>
      <c r="R66" s="11">
        <f t="shared" si="47"/>
        <v>-1367</v>
      </c>
      <c r="S66" s="11">
        <f t="shared" si="47"/>
        <v>0</v>
      </c>
      <c r="T66" s="11">
        <f t="shared" si="47"/>
        <v>0</v>
      </c>
      <c r="U66" s="11">
        <f>U63-U62</f>
        <v>0</v>
      </c>
      <c r="V66" s="9">
        <f t="shared" si="47"/>
        <v>0</v>
      </c>
      <c r="W66" s="11">
        <f t="shared" si="47"/>
        <v>0</v>
      </c>
      <c r="X66" s="11">
        <f t="shared" si="47"/>
        <v>0</v>
      </c>
      <c r="Y66" s="11">
        <f t="shared" si="47"/>
        <v>1948</v>
      </c>
      <c r="Z66" s="11">
        <f t="shared" si="47"/>
        <v>784</v>
      </c>
      <c r="AA66" s="11">
        <f t="shared" si="47"/>
        <v>556</v>
      </c>
      <c r="AB66" s="11">
        <f>AB63-AB62</f>
        <v>0</v>
      </c>
      <c r="AC66" s="10">
        <f>AC63-AC62</f>
        <v>0</v>
      </c>
      <c r="AD66" s="11">
        <f>AD63-AD62</f>
        <v>-67789</v>
      </c>
      <c r="AE66" s="11">
        <f t="shared" si="47"/>
        <v>0</v>
      </c>
      <c r="AF66" s="11">
        <f t="shared" si="47"/>
        <v>0</v>
      </c>
      <c r="AG66" s="11">
        <f t="shared" si="47"/>
        <v>887</v>
      </c>
      <c r="AH66" s="11">
        <f t="shared" si="47"/>
        <v>0</v>
      </c>
      <c r="AI66" s="11">
        <f t="shared" si="47"/>
        <v>0</v>
      </c>
      <c r="AJ66" s="11">
        <f t="shared" si="47"/>
        <v>0</v>
      </c>
      <c r="AK66" s="11">
        <f t="shared" si="47"/>
        <v>-7806</v>
      </c>
      <c r="AL66" s="11">
        <f t="shared" si="47"/>
        <v>4258</v>
      </c>
      <c r="AM66" s="11">
        <f t="shared" si="47"/>
        <v>11637</v>
      </c>
      <c r="AN66" s="11">
        <f t="shared" si="47"/>
        <v>5521</v>
      </c>
      <c r="AO66" s="9">
        <f t="shared" si="47"/>
        <v>99469</v>
      </c>
      <c r="AP66" s="276">
        <f t="shared" si="47"/>
        <v>0</v>
      </c>
      <c r="AQ66" s="10">
        <f t="shared" si="47"/>
        <v>0</v>
      </c>
      <c r="AR66" s="11">
        <f t="shared" si="47"/>
        <v>0</v>
      </c>
      <c r="AS66" s="11">
        <f t="shared" si="47"/>
        <v>0</v>
      </c>
      <c r="AT66" s="11">
        <f t="shared" si="47"/>
        <v>0</v>
      </c>
      <c r="AU66" s="11">
        <f t="shared" si="47"/>
        <v>0</v>
      </c>
      <c r="AV66" s="11">
        <f t="shared" si="47"/>
        <v>0</v>
      </c>
      <c r="AW66" s="11">
        <f t="shared" si="47"/>
        <v>0</v>
      </c>
      <c r="AX66" s="11">
        <f t="shared" si="47"/>
        <v>0</v>
      </c>
      <c r="AY66" s="11">
        <f t="shared" si="47"/>
        <v>0</v>
      </c>
      <c r="AZ66" s="11">
        <f t="shared" si="47"/>
        <v>0</v>
      </c>
      <c r="BA66" s="11">
        <f t="shared" si="47"/>
        <v>0</v>
      </c>
      <c r="BB66" s="10">
        <f t="shared" si="47"/>
        <v>0</v>
      </c>
      <c r="BC66" s="11">
        <f t="shared" si="47"/>
        <v>1768</v>
      </c>
      <c r="BD66" s="11">
        <f t="shared" si="47"/>
        <v>1768</v>
      </c>
      <c r="BE66" s="11">
        <f t="shared" si="47"/>
        <v>0</v>
      </c>
      <c r="BF66" s="11">
        <f t="shared" si="47"/>
        <v>11245</v>
      </c>
      <c r="BG66" s="11">
        <f t="shared" si="47"/>
        <v>0</v>
      </c>
      <c r="BH66" s="9">
        <f t="shared" si="47"/>
        <v>128747</v>
      </c>
      <c r="BI66" s="45">
        <f t="shared" si="47"/>
        <v>60958</v>
      </c>
      <c r="BJ66" s="11">
        <f t="shared" si="47"/>
        <v>0</v>
      </c>
      <c r="BK66" s="51">
        <f t="shared" si="47"/>
        <v>60958</v>
      </c>
      <c r="BM66" s="30">
        <f>BK66-AD66</f>
        <v>128747</v>
      </c>
    </row>
    <row r="67" spans="1:65" ht="15.75">
      <c r="A67" s="130"/>
      <c r="B67" s="5" t="s">
        <v>127</v>
      </c>
      <c r="C67" s="13">
        <f t="shared" ref="C67:AH67" si="48">C66/C62</f>
        <v>3.2187586258520589E-3</v>
      </c>
      <c r="D67" s="13">
        <f t="shared" si="48"/>
        <v>0.15166281834786505</v>
      </c>
      <c r="E67" s="13">
        <f t="shared" si="48"/>
        <v>2.2558139534883721</v>
      </c>
      <c r="F67" s="13">
        <f t="shared" si="48"/>
        <v>2.7052118523867241E-2</v>
      </c>
      <c r="G67" s="13">
        <f t="shared" si="48"/>
        <v>0.16705662143191391</v>
      </c>
      <c r="H67" s="13" t="e">
        <f t="shared" si="48"/>
        <v>#DIV/0!</v>
      </c>
      <c r="I67" s="13" t="e">
        <f t="shared" si="48"/>
        <v>#DIV/0!</v>
      </c>
      <c r="J67" s="13">
        <f t="shared" si="48"/>
        <v>-0.42188698978576827</v>
      </c>
      <c r="K67" s="13">
        <f t="shared" si="48"/>
        <v>-0.96883780332056191</v>
      </c>
      <c r="L67" s="13">
        <f t="shared" si="48"/>
        <v>-0.46364589506313536</v>
      </c>
      <c r="M67" s="13">
        <f t="shared" si="48"/>
        <v>-0.19476444923770772</v>
      </c>
      <c r="N67" s="13">
        <f t="shared" si="48"/>
        <v>-1</v>
      </c>
      <c r="O67" s="13">
        <f t="shared" si="48"/>
        <v>5.0387596899224806E-2</v>
      </c>
      <c r="P67" s="13">
        <f t="shared" si="48"/>
        <v>-0.44027303754266212</v>
      </c>
      <c r="Q67" s="13" t="e">
        <f t="shared" si="48"/>
        <v>#DIV/0!</v>
      </c>
      <c r="R67" s="13">
        <f t="shared" si="48"/>
        <v>-0.83557457212713937</v>
      </c>
      <c r="S67" s="13" t="e">
        <f t="shared" si="48"/>
        <v>#DIV/0!</v>
      </c>
      <c r="T67" s="13" t="e">
        <f t="shared" si="48"/>
        <v>#DIV/0!</v>
      </c>
      <c r="U67" s="13" t="e">
        <f t="shared" si="48"/>
        <v>#DIV/0!</v>
      </c>
      <c r="V67" s="163" t="e">
        <f t="shared" si="48"/>
        <v>#DIV/0!</v>
      </c>
      <c r="W67" s="13" t="e">
        <f t="shared" si="48"/>
        <v>#DIV/0!</v>
      </c>
      <c r="X67" s="13" t="e">
        <f t="shared" si="48"/>
        <v>#DIV/0!</v>
      </c>
      <c r="Y67" s="13">
        <f t="shared" si="48"/>
        <v>7.5797665369649803</v>
      </c>
      <c r="Z67" s="13">
        <f t="shared" si="48"/>
        <v>7.6862745098039218</v>
      </c>
      <c r="AA67" s="13">
        <f t="shared" si="48"/>
        <v>8.2985074626865671</v>
      </c>
      <c r="AB67" s="13" t="e">
        <f t="shared" si="48"/>
        <v>#DIV/0!</v>
      </c>
      <c r="AC67" s="14" t="e">
        <f t="shared" si="48"/>
        <v>#DIV/0!</v>
      </c>
      <c r="AD67" s="13">
        <f t="shared" si="48"/>
        <v>-0.10519838855851718</v>
      </c>
      <c r="AE67" s="13" t="e">
        <f t="shared" si="48"/>
        <v>#DIV/0!</v>
      </c>
      <c r="AF67" s="13" t="e">
        <f t="shared" si="48"/>
        <v>#DIV/0!</v>
      </c>
      <c r="AG67" s="13" t="e">
        <f t="shared" si="48"/>
        <v>#DIV/0!</v>
      </c>
      <c r="AH67" s="13" t="e">
        <f t="shared" si="48"/>
        <v>#DIV/0!</v>
      </c>
      <c r="AI67" s="13" t="e">
        <f t="shared" ref="AI67:BK67" si="49">AI66/AI62</f>
        <v>#DIV/0!</v>
      </c>
      <c r="AJ67" s="13" t="e">
        <f t="shared" si="49"/>
        <v>#DIV/0!</v>
      </c>
      <c r="AK67" s="13">
        <f t="shared" si="49"/>
        <v>-0.71805721644742893</v>
      </c>
      <c r="AL67" s="13">
        <f t="shared" si="49"/>
        <v>0.85622360748039417</v>
      </c>
      <c r="AM67" s="13">
        <f t="shared" si="49"/>
        <v>0.58363007171874215</v>
      </c>
      <c r="AN67" s="13">
        <f t="shared" si="49"/>
        <v>3.7354533152909335</v>
      </c>
      <c r="AO67" s="163">
        <f t="shared" si="49"/>
        <v>2.0338813233550077</v>
      </c>
      <c r="AP67" s="277" t="e">
        <f t="shared" si="49"/>
        <v>#DIV/0!</v>
      </c>
      <c r="AQ67" s="14" t="e">
        <f t="shared" si="49"/>
        <v>#DIV/0!</v>
      </c>
      <c r="AR67" s="13" t="e">
        <f t="shared" si="49"/>
        <v>#DIV/0!</v>
      </c>
      <c r="AS67" s="13" t="e">
        <f t="shared" si="49"/>
        <v>#DIV/0!</v>
      </c>
      <c r="AT67" s="13" t="e">
        <f t="shared" si="49"/>
        <v>#DIV/0!</v>
      </c>
      <c r="AU67" s="13" t="e">
        <f t="shared" si="49"/>
        <v>#DIV/0!</v>
      </c>
      <c r="AV67" s="13" t="e">
        <f t="shared" si="49"/>
        <v>#DIV/0!</v>
      </c>
      <c r="AW67" s="13" t="e">
        <f t="shared" si="49"/>
        <v>#DIV/0!</v>
      </c>
      <c r="AX67" s="13" t="e">
        <f t="shared" si="49"/>
        <v>#DIV/0!</v>
      </c>
      <c r="AY67" s="13" t="e">
        <f t="shared" si="49"/>
        <v>#DIV/0!</v>
      </c>
      <c r="AZ67" s="13" t="e">
        <f t="shared" si="49"/>
        <v>#DIV/0!</v>
      </c>
      <c r="BA67" s="13" t="e">
        <f t="shared" si="49"/>
        <v>#DIV/0!</v>
      </c>
      <c r="BB67" s="14" t="e">
        <f t="shared" si="49"/>
        <v>#DIV/0!</v>
      </c>
      <c r="BC67" s="13">
        <f t="shared" si="49"/>
        <v>0.67558272831486432</v>
      </c>
      <c r="BD67" s="13">
        <f t="shared" si="49"/>
        <v>0.67558272831486432</v>
      </c>
      <c r="BE67" s="13" t="e">
        <f t="shared" si="49"/>
        <v>#DIV/0!</v>
      </c>
      <c r="BF67" s="13">
        <f t="shared" si="49"/>
        <v>3.6581001951854262</v>
      </c>
      <c r="BG67" s="13" t="e">
        <f t="shared" si="49"/>
        <v>#DIV/0!</v>
      </c>
      <c r="BH67" s="163">
        <f t="shared" si="49"/>
        <v>1.3627626356178884</v>
      </c>
      <c r="BI67" s="46">
        <f t="shared" si="49"/>
        <v>8.2501992916181127E-2</v>
      </c>
      <c r="BJ67" s="13" t="e">
        <f t="shared" si="49"/>
        <v>#DIV/0!</v>
      </c>
      <c r="BK67" s="52">
        <f t="shared" si="49"/>
        <v>8.2501992916181127E-2</v>
      </c>
      <c r="BM67" s="14">
        <f>BM66/BM62</f>
        <v>1.3627626356178884</v>
      </c>
    </row>
    <row r="68" spans="1:65" ht="15.75">
      <c r="A68" s="130"/>
      <c r="B68" s="5" t="s">
        <v>323</v>
      </c>
      <c r="C68" s="128">
        <f>C63/C60</f>
        <v>0.17210852303782961</v>
      </c>
      <c r="D68" s="128">
        <f t="shared" ref="D68:BK68" si="50">D63/D60</f>
        <v>0.18345018851269304</v>
      </c>
      <c r="E68" s="128" t="e">
        <f t="shared" si="50"/>
        <v>#DIV/0!</v>
      </c>
      <c r="F68" s="128">
        <f t="shared" si="50"/>
        <v>0.14968578988514042</v>
      </c>
      <c r="G68" s="128">
        <f t="shared" si="50"/>
        <v>0.20453310643881537</v>
      </c>
      <c r="H68" s="128" t="e">
        <f t="shared" si="50"/>
        <v>#DIV/0!</v>
      </c>
      <c r="I68" s="128" t="e">
        <f t="shared" si="50"/>
        <v>#DIV/0!</v>
      </c>
      <c r="J68" s="128">
        <f t="shared" si="50"/>
        <v>0.16932510026354036</v>
      </c>
      <c r="K68" s="128">
        <f t="shared" si="50"/>
        <v>1.9720358845874079E-2</v>
      </c>
      <c r="L68" s="128">
        <f t="shared" si="50"/>
        <v>0.20296705192340866</v>
      </c>
      <c r="M68" s="128">
        <f t="shared" si="50"/>
        <v>0.17784177646893237</v>
      </c>
      <c r="N68" s="128">
        <f t="shared" si="50"/>
        <v>0</v>
      </c>
      <c r="O68" s="128">
        <f t="shared" si="50"/>
        <v>0.21802091713596139</v>
      </c>
      <c r="P68" s="128">
        <f t="shared" si="50"/>
        <v>0.20205338809034909</v>
      </c>
      <c r="Q68" s="128" t="e">
        <f t="shared" si="50"/>
        <v>#DIV/0!</v>
      </c>
      <c r="R68" s="128">
        <f t="shared" si="50"/>
        <v>4.6204053589831671E-2</v>
      </c>
      <c r="S68" s="128" t="e">
        <f t="shared" si="50"/>
        <v>#DIV/0!</v>
      </c>
      <c r="T68" s="128" t="e">
        <f t="shared" si="50"/>
        <v>#DIV/0!</v>
      </c>
      <c r="U68" s="128" t="e">
        <f t="shared" si="50"/>
        <v>#DIV/0!</v>
      </c>
      <c r="V68" s="178" t="e">
        <f t="shared" si="50"/>
        <v>#DIV/0!</v>
      </c>
      <c r="W68" s="128" t="e">
        <f t="shared" si="50"/>
        <v>#DIV/0!</v>
      </c>
      <c r="X68" s="128" t="e">
        <f t="shared" si="50"/>
        <v>#DIV/0!</v>
      </c>
      <c r="Y68" s="128">
        <f t="shared" si="50"/>
        <v>1.5909090909090908</v>
      </c>
      <c r="Z68" s="128">
        <f t="shared" si="50"/>
        <v>1.0219146482122261</v>
      </c>
      <c r="AA68" s="128">
        <f t="shared" si="50"/>
        <v>1.1799242424242424</v>
      </c>
      <c r="AB68" s="128">
        <f>AB63/AB60</f>
        <v>0</v>
      </c>
      <c r="AC68" s="217" t="e">
        <f t="shared" si="50"/>
        <v>#DIV/0!</v>
      </c>
      <c r="AD68" s="128">
        <f t="shared" si="50"/>
        <v>0.17483589132335162</v>
      </c>
      <c r="AE68" s="128" t="e">
        <f t="shared" si="50"/>
        <v>#DIV/0!</v>
      </c>
      <c r="AF68" s="128">
        <f t="shared" si="50"/>
        <v>0</v>
      </c>
      <c r="AG68" s="128">
        <f t="shared" si="50"/>
        <v>1.4376012965964344</v>
      </c>
      <c r="AH68" s="128" t="e">
        <f t="shared" si="50"/>
        <v>#DIV/0!</v>
      </c>
      <c r="AI68" s="128" t="e">
        <f t="shared" si="50"/>
        <v>#DIV/0!</v>
      </c>
      <c r="AJ68" s="128" t="e">
        <f t="shared" si="50"/>
        <v>#DIV/0!</v>
      </c>
      <c r="AK68" s="128">
        <f t="shared" si="50"/>
        <v>6.220697773538187E-2</v>
      </c>
      <c r="AL68" s="128">
        <f t="shared" si="50"/>
        <v>0.56697991523862168</v>
      </c>
      <c r="AM68" s="128">
        <f t="shared" si="50"/>
        <v>0.10355944599500831</v>
      </c>
      <c r="AN68" s="128">
        <f t="shared" si="50"/>
        <v>7.0619929773580337E-2</v>
      </c>
      <c r="AO68" s="178">
        <f t="shared" si="50"/>
        <v>0.45175541421442511</v>
      </c>
      <c r="AP68" s="278">
        <f t="shared" si="50"/>
        <v>0</v>
      </c>
      <c r="AQ68" s="217" t="e">
        <f t="shared" si="50"/>
        <v>#DIV/0!</v>
      </c>
      <c r="AR68" s="128" t="e">
        <f t="shared" si="50"/>
        <v>#DIV/0!</v>
      </c>
      <c r="AS68" s="128" t="e">
        <f t="shared" si="50"/>
        <v>#DIV/0!</v>
      </c>
      <c r="AT68" s="128" t="e">
        <f t="shared" si="50"/>
        <v>#DIV/0!</v>
      </c>
      <c r="AU68" s="128" t="e">
        <f t="shared" si="50"/>
        <v>#DIV/0!</v>
      </c>
      <c r="AV68" s="128" t="e">
        <f t="shared" si="50"/>
        <v>#DIV/0!</v>
      </c>
      <c r="AW68" s="128" t="e">
        <f t="shared" si="50"/>
        <v>#DIV/0!</v>
      </c>
      <c r="AX68" s="128" t="e">
        <f t="shared" si="50"/>
        <v>#DIV/0!</v>
      </c>
      <c r="AY68" s="128" t="e">
        <f t="shared" si="50"/>
        <v>#DIV/0!</v>
      </c>
      <c r="AZ68" s="128" t="e">
        <f t="shared" si="50"/>
        <v>#DIV/0!</v>
      </c>
      <c r="BA68" s="128" t="e">
        <f t="shared" si="50"/>
        <v>#DIV/0!</v>
      </c>
      <c r="BB68" s="217" t="e">
        <f t="shared" si="50"/>
        <v>#DIV/0!</v>
      </c>
      <c r="BC68" s="128">
        <f t="shared" si="50"/>
        <v>0.4442755825734549</v>
      </c>
      <c r="BD68" s="128">
        <f t="shared" si="50"/>
        <v>0.43467486122125298</v>
      </c>
      <c r="BE68" s="128" t="e">
        <f t="shared" si="50"/>
        <v>#DIV/0!</v>
      </c>
      <c r="BF68" s="128">
        <f t="shared" si="50"/>
        <v>0.66758357032961912</v>
      </c>
      <c r="BG68" s="128">
        <f t="shared" si="50"/>
        <v>0</v>
      </c>
      <c r="BH68" s="178">
        <f t="shared" si="50"/>
        <v>0.26569650974422088</v>
      </c>
      <c r="BI68" s="128">
        <f t="shared" si="50"/>
        <v>0.19328286902268815</v>
      </c>
      <c r="BJ68" s="128" t="e">
        <f t="shared" si="50"/>
        <v>#DIV/0!</v>
      </c>
      <c r="BK68" s="128">
        <f t="shared" si="50"/>
        <v>0.19328286902268815</v>
      </c>
      <c r="BM68" s="128">
        <f>BM63/BM60</f>
        <v>0.26569650974422088</v>
      </c>
    </row>
    <row r="69" spans="1:65" s="181" customFormat="1" ht="15.75">
      <c r="A69" s="130"/>
      <c r="B69" s="5" t="s">
        <v>322</v>
      </c>
      <c r="C69" s="11">
        <f>C60-C63</f>
        <v>1031494</v>
      </c>
      <c r="D69" s="11">
        <f t="shared" ref="D69:BK69" si="51">D60-D63</f>
        <v>743725</v>
      </c>
      <c r="E69" s="11">
        <f t="shared" si="51"/>
        <v>-140</v>
      </c>
      <c r="F69" s="11">
        <f t="shared" si="51"/>
        <v>226238</v>
      </c>
      <c r="G69" s="11">
        <f t="shared" si="51"/>
        <v>77597</v>
      </c>
      <c r="H69" s="11">
        <f t="shared" si="51"/>
        <v>0</v>
      </c>
      <c r="I69" s="11">
        <f t="shared" si="51"/>
        <v>0</v>
      </c>
      <c r="J69" s="11">
        <f t="shared" si="51"/>
        <v>498959</v>
      </c>
      <c r="K69" s="11">
        <f t="shared" si="51"/>
        <v>12129</v>
      </c>
      <c r="L69" s="11">
        <f t="shared" si="51"/>
        <v>46204</v>
      </c>
      <c r="M69" s="11">
        <f t="shared" si="51"/>
        <v>75937</v>
      </c>
      <c r="N69" s="11">
        <f t="shared" si="51"/>
        <v>241</v>
      </c>
      <c r="O69" s="11">
        <f t="shared" si="51"/>
        <v>1944</v>
      </c>
      <c r="P69" s="11">
        <f t="shared" si="51"/>
        <v>1943</v>
      </c>
      <c r="Q69" s="11">
        <f t="shared" si="51"/>
        <v>0</v>
      </c>
      <c r="R69" s="11">
        <f t="shared" si="51"/>
        <v>5553</v>
      </c>
      <c r="S69" s="11">
        <f t="shared" si="51"/>
        <v>0</v>
      </c>
      <c r="T69" s="11">
        <f t="shared" si="51"/>
        <v>0</v>
      </c>
      <c r="U69" s="11">
        <f t="shared" si="51"/>
        <v>0</v>
      </c>
      <c r="V69" s="11">
        <f t="shared" si="51"/>
        <v>0</v>
      </c>
      <c r="W69" s="11">
        <f t="shared" si="51"/>
        <v>0</v>
      </c>
      <c r="X69" s="11">
        <f t="shared" si="51"/>
        <v>0</v>
      </c>
      <c r="Y69" s="11">
        <f t="shared" si="51"/>
        <v>-819</v>
      </c>
      <c r="Z69" s="11">
        <f t="shared" si="51"/>
        <v>-19</v>
      </c>
      <c r="AA69" s="11">
        <f t="shared" si="51"/>
        <v>-95</v>
      </c>
      <c r="AB69" s="11">
        <f t="shared" si="51"/>
        <v>473</v>
      </c>
      <c r="AC69" s="11">
        <f t="shared" si="51"/>
        <v>0</v>
      </c>
      <c r="AD69" s="11">
        <f t="shared" si="51"/>
        <v>2721364</v>
      </c>
      <c r="AE69" s="11">
        <f t="shared" si="51"/>
        <v>0</v>
      </c>
      <c r="AF69" s="11">
        <f t="shared" si="51"/>
        <v>1</v>
      </c>
      <c r="AG69" s="11">
        <f t="shared" si="51"/>
        <v>-270</v>
      </c>
      <c r="AH69" s="11">
        <f t="shared" si="51"/>
        <v>0</v>
      </c>
      <c r="AI69" s="11">
        <f t="shared" si="51"/>
        <v>0</v>
      </c>
      <c r="AJ69" s="11">
        <f t="shared" si="51"/>
        <v>0</v>
      </c>
      <c r="AK69" s="11">
        <f t="shared" si="51"/>
        <v>46206</v>
      </c>
      <c r="AL69" s="11">
        <f t="shared" si="51"/>
        <v>7050</v>
      </c>
      <c r="AM69" s="11">
        <f t="shared" si="51"/>
        <v>273331</v>
      </c>
      <c r="AN69" s="11">
        <f t="shared" si="51"/>
        <v>92109</v>
      </c>
      <c r="AO69" s="11">
        <f t="shared" si="51"/>
        <v>180066</v>
      </c>
      <c r="AP69" s="276">
        <f t="shared" si="51"/>
        <v>20</v>
      </c>
      <c r="AQ69" s="11">
        <f t="shared" si="51"/>
        <v>0</v>
      </c>
      <c r="AR69" s="11">
        <f t="shared" si="51"/>
        <v>0</v>
      </c>
      <c r="AS69" s="11">
        <f t="shared" si="51"/>
        <v>0</v>
      </c>
      <c r="AT69" s="11">
        <f t="shared" si="51"/>
        <v>0</v>
      </c>
      <c r="AU69" s="11">
        <f t="shared" si="51"/>
        <v>0</v>
      </c>
      <c r="AV69" s="11">
        <f t="shared" si="51"/>
        <v>0</v>
      </c>
      <c r="AW69" s="11">
        <f t="shared" si="51"/>
        <v>0</v>
      </c>
      <c r="AX69" s="11">
        <f t="shared" si="51"/>
        <v>0</v>
      </c>
      <c r="AY69" s="11">
        <f t="shared" si="51"/>
        <v>0</v>
      </c>
      <c r="AZ69" s="11">
        <f t="shared" si="51"/>
        <v>0</v>
      </c>
      <c r="BA69" s="11">
        <f t="shared" si="51"/>
        <v>0</v>
      </c>
      <c r="BB69" s="11">
        <f t="shared" si="51"/>
        <v>0</v>
      </c>
      <c r="BC69" s="11">
        <f t="shared" si="51"/>
        <v>5485</v>
      </c>
      <c r="BD69" s="11">
        <f t="shared" si="51"/>
        <v>5703</v>
      </c>
      <c r="BE69" s="11">
        <f t="shared" si="51"/>
        <v>0</v>
      </c>
      <c r="BF69" s="11">
        <f t="shared" si="51"/>
        <v>7130</v>
      </c>
      <c r="BG69" s="11">
        <f t="shared" si="51"/>
        <v>86</v>
      </c>
      <c r="BH69" s="11">
        <f t="shared" si="51"/>
        <v>616917</v>
      </c>
      <c r="BI69" s="11">
        <f t="shared" si="51"/>
        <v>3338281</v>
      </c>
      <c r="BJ69" s="11">
        <f t="shared" si="51"/>
        <v>0</v>
      </c>
      <c r="BK69" s="11">
        <f t="shared" si="51"/>
        <v>3338281</v>
      </c>
      <c r="BL69" s="11">
        <f>BL63-BL60</f>
        <v>799827</v>
      </c>
      <c r="BM69" s="11">
        <f>BM63-BM60</f>
        <v>-616917</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279"/>
      <c r="AQ70" s="6"/>
      <c r="AR70" s="5"/>
      <c r="AS70" s="5"/>
      <c r="AT70" s="5"/>
      <c r="AU70" s="5"/>
      <c r="AV70" s="7"/>
      <c r="AW70" s="6"/>
      <c r="AX70" s="5"/>
      <c r="AY70" s="5"/>
      <c r="AZ70" s="5"/>
      <c r="BA70" s="5"/>
      <c r="BB70" s="6"/>
      <c r="BC70" s="5"/>
      <c r="BD70" s="5"/>
      <c r="BE70" s="5"/>
      <c r="BF70" s="5"/>
      <c r="BG70" s="5"/>
      <c r="BH70" s="16"/>
      <c r="BI70" s="44"/>
      <c r="BJ70" s="5"/>
      <c r="BK70" s="50"/>
    </row>
    <row r="71" spans="1:65" s="179" customFormat="1" ht="15.75">
      <c r="A71" s="269" t="s">
        <v>133</v>
      </c>
      <c r="B71" s="9" t="s">
        <v>316</v>
      </c>
      <c r="C71" s="225">
        <v>1490515</v>
      </c>
      <c r="D71" s="225">
        <v>858670</v>
      </c>
      <c r="E71" s="225">
        <v>0</v>
      </c>
      <c r="F71" s="225">
        <v>197720</v>
      </c>
      <c r="G71" s="225">
        <v>115739</v>
      </c>
      <c r="H71" s="225"/>
      <c r="I71" s="225"/>
      <c r="J71" s="225">
        <v>232020</v>
      </c>
      <c r="K71" s="225">
        <v>32255</v>
      </c>
      <c r="L71" s="225">
        <v>68367</v>
      </c>
      <c r="M71" s="225">
        <v>55155</v>
      </c>
      <c r="N71" s="225">
        <v>385</v>
      </c>
      <c r="O71" s="225">
        <v>4919</v>
      </c>
      <c r="P71" s="225">
        <v>66654</v>
      </c>
      <c r="Q71" s="225"/>
      <c r="R71" s="225">
        <v>4313</v>
      </c>
      <c r="S71" s="225"/>
      <c r="T71" s="225"/>
      <c r="U71" s="225"/>
      <c r="V71" s="225"/>
      <c r="W71" s="225"/>
      <c r="X71" s="225"/>
      <c r="Y71" s="225">
        <v>8382</v>
      </c>
      <c r="Z71" s="225">
        <v>2257</v>
      </c>
      <c r="AA71" s="225">
        <v>2758</v>
      </c>
      <c r="AB71" s="225">
        <v>3033</v>
      </c>
      <c r="AC71" s="225"/>
      <c r="AD71" s="226">
        <f>SUM(C71:AC71)</f>
        <v>3143142</v>
      </c>
      <c r="AE71" s="225">
        <v>-3</v>
      </c>
      <c r="AF71" s="225">
        <v>155</v>
      </c>
      <c r="AG71" s="225">
        <v>16052</v>
      </c>
      <c r="AH71" s="225"/>
      <c r="AI71" s="225"/>
      <c r="AJ71" s="225">
        <v>10979</v>
      </c>
      <c r="AK71" s="225">
        <v>13939</v>
      </c>
      <c r="AL71" s="225">
        <v>18633</v>
      </c>
      <c r="AM71" s="225"/>
      <c r="AN71" s="225"/>
      <c r="AO71" s="225">
        <v>126045</v>
      </c>
      <c r="AP71" s="274">
        <v>-508</v>
      </c>
      <c r="AQ71" s="225"/>
      <c r="AR71" s="225"/>
      <c r="AS71" s="225"/>
      <c r="AT71" s="225"/>
      <c r="AU71" s="225"/>
      <c r="AV71" s="225"/>
      <c r="AW71" s="225"/>
      <c r="AX71" s="225">
        <v>1</v>
      </c>
      <c r="AY71" s="225"/>
      <c r="AZ71" s="225"/>
      <c r="BA71" s="225"/>
      <c r="BB71" s="225"/>
      <c r="BC71" s="225">
        <v>10131</v>
      </c>
      <c r="BD71" s="225">
        <v>10204</v>
      </c>
      <c r="BE71" s="225">
        <v>0</v>
      </c>
      <c r="BF71" s="225">
        <v>6738</v>
      </c>
      <c r="BG71" s="225">
        <v>5834</v>
      </c>
      <c r="BH71" s="229">
        <f>SUM(AE71:BG71)</f>
        <v>218200</v>
      </c>
      <c r="BI71" s="125">
        <f>AD71+BH71</f>
        <v>3361342</v>
      </c>
      <c r="BJ71" s="230">
        <v>0</v>
      </c>
      <c r="BK71" s="226">
        <f>BI71-BJ71</f>
        <v>3361342</v>
      </c>
      <c r="BM71" s="228">
        <f>BK71-AD71</f>
        <v>218200</v>
      </c>
    </row>
    <row r="72" spans="1:65" s="41" customFormat="1" ht="15.75">
      <c r="A72" s="136"/>
      <c r="B72" s="234" t="s">
        <v>317</v>
      </c>
      <c r="C72" s="10">
        <v>283198</v>
      </c>
      <c r="D72" s="10">
        <v>163147</v>
      </c>
      <c r="E72" s="10">
        <v>0</v>
      </c>
      <c r="F72" s="10">
        <v>37566</v>
      </c>
      <c r="G72" s="10">
        <v>21992</v>
      </c>
      <c r="H72" s="10"/>
      <c r="I72" s="10"/>
      <c r="J72" s="10">
        <v>44084</v>
      </c>
      <c r="K72" s="10">
        <v>6129</v>
      </c>
      <c r="L72" s="10">
        <v>12990</v>
      </c>
      <c r="M72" s="10">
        <v>10478</v>
      </c>
      <c r="N72" s="10">
        <v>73</v>
      </c>
      <c r="O72" s="10">
        <v>935</v>
      </c>
      <c r="P72" s="10">
        <v>12665</v>
      </c>
      <c r="Q72" s="10"/>
      <c r="R72" s="10">
        <v>819</v>
      </c>
      <c r="S72" s="10"/>
      <c r="T72" s="10"/>
      <c r="U72" s="10"/>
      <c r="V72" s="10"/>
      <c r="W72" s="10"/>
      <c r="X72" s="10"/>
      <c r="Y72" s="10">
        <v>1593</v>
      </c>
      <c r="Z72" s="10">
        <v>429</v>
      </c>
      <c r="AA72" s="10">
        <v>524</v>
      </c>
      <c r="AB72" s="10">
        <v>576</v>
      </c>
      <c r="AC72" s="10"/>
      <c r="AD72" s="123">
        <f>SUM(C72:AC72)</f>
        <v>597198</v>
      </c>
      <c r="AE72" s="10">
        <v>-1</v>
      </c>
      <c r="AF72" s="10">
        <v>38</v>
      </c>
      <c r="AG72" s="10">
        <v>3852</v>
      </c>
      <c r="AH72" s="10"/>
      <c r="AI72" s="10"/>
      <c r="AJ72" s="10">
        <v>2634</v>
      </c>
      <c r="AK72" s="10">
        <v>3346</v>
      </c>
      <c r="AL72" s="10">
        <v>4472</v>
      </c>
      <c r="AM72" s="10"/>
      <c r="AN72" s="10"/>
      <c r="AO72" s="10">
        <v>30251</v>
      </c>
      <c r="AP72" s="250">
        <v>-309</v>
      </c>
      <c r="AQ72" s="10"/>
      <c r="AR72" s="10"/>
      <c r="AS72" s="10"/>
      <c r="AT72" s="10"/>
      <c r="AU72" s="10"/>
      <c r="AV72" s="10"/>
      <c r="AW72" s="10"/>
      <c r="AX72" s="10">
        <v>0</v>
      </c>
      <c r="AY72" s="10"/>
      <c r="AZ72" s="10"/>
      <c r="BA72" s="10"/>
      <c r="BB72" s="10"/>
      <c r="BC72" s="10">
        <v>2432</v>
      </c>
      <c r="BD72" s="10">
        <v>2449</v>
      </c>
      <c r="BE72" s="10">
        <v>0</v>
      </c>
      <c r="BF72" s="10">
        <v>1617</v>
      </c>
      <c r="BG72" s="10">
        <v>1399</v>
      </c>
      <c r="BH72" s="10">
        <f>SUM(AE72:BG72)</f>
        <v>52180</v>
      </c>
      <c r="BI72" s="219">
        <f>AD72+BH72</f>
        <v>649378</v>
      </c>
      <c r="BJ72" s="10">
        <f>IF('[1]Upto Month Current'!$H$60="",0,'[1]Upto Month Current'!$H$60)</f>
        <v>0</v>
      </c>
      <c r="BK72" s="10">
        <f>BI72-BJ72</f>
        <v>649378</v>
      </c>
      <c r="BL72" s="41">
        <f>'[1]Upto Month Current'!$H$61</f>
        <v>755223</v>
      </c>
      <c r="BM72" s="218">
        <f>BK72-AD72</f>
        <v>52180</v>
      </c>
    </row>
    <row r="73" spans="1:65" ht="15.75">
      <c r="A73" s="130"/>
      <c r="B73" s="12" t="s">
        <v>318</v>
      </c>
      <c r="C73" s="9">
        <f>IF('Upto Month COPPY'!$H$4="",0,'Upto Month COPPY'!$H$4)</f>
        <v>237009</v>
      </c>
      <c r="D73" s="9">
        <f>IF('Upto Month COPPY'!$H$5="",0,'Upto Month COPPY'!$H$5)</f>
        <v>139009</v>
      </c>
      <c r="E73" s="9">
        <f>IF('Upto Month COPPY'!$H$6="",0,'Upto Month COPPY'!$H$6)</f>
        <v>36</v>
      </c>
      <c r="F73" s="9">
        <f>IF('Upto Month COPPY'!$H$7="",0,'Upto Month COPPY'!$H$7)</f>
        <v>27219</v>
      </c>
      <c r="G73" s="9">
        <f>IF('Upto Month COPPY'!$H$8="",0,'Upto Month COPPY'!$H$8)</f>
        <v>18401</v>
      </c>
      <c r="H73" s="9">
        <f>IF('Upto Month COPPY'!$H$9="",0,'Upto Month COPPY'!$H$9)</f>
        <v>0</v>
      </c>
      <c r="I73" s="9">
        <f>IF('Upto Month COPPY'!$H$10="",0,'Upto Month COPPY'!$H$10)</f>
        <v>0</v>
      </c>
      <c r="J73" s="9">
        <f>IF('Upto Month COPPY'!$H$11="",0,'Upto Month COPPY'!$H$11)</f>
        <v>64364</v>
      </c>
      <c r="K73" s="9">
        <f>IF('Upto Month COPPY'!$H$12="",0,'Upto Month COPPY'!$H$12)</f>
        <v>949</v>
      </c>
      <c r="L73" s="9">
        <f>IF('Upto Month COPPY'!$H$13="",0,'Upto Month COPPY'!$H$13)</f>
        <v>20758</v>
      </c>
      <c r="M73" s="9">
        <f>IF('Upto Month COPPY'!$H$14="",0,'Upto Month COPPY'!$H$14)</f>
        <v>9291</v>
      </c>
      <c r="N73" s="9">
        <f>IF('Upto Month COPPY'!$H$15="",0,'Upto Month COPPY'!$H$15)</f>
        <v>45</v>
      </c>
      <c r="O73" s="9">
        <f>IF('Upto Month COPPY'!$H$16="",0,'Upto Month COPPY'!$H$16)</f>
        <v>1211</v>
      </c>
      <c r="P73" s="9">
        <f>IF('Upto Month COPPY'!$H$17="",0,'Upto Month COPPY'!$H$17)</f>
        <v>25438</v>
      </c>
      <c r="Q73" s="9">
        <f>IF('Upto Month COPPY'!$H$18="",0,'Upto Month COPPY'!$H$18)</f>
        <v>0</v>
      </c>
      <c r="R73" s="9">
        <f>IF('Upto Month COPPY'!$H$21="",0,'Upto Month COPPY'!$H$21)</f>
        <v>1722</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1604</v>
      </c>
      <c r="Z73" s="9">
        <f>IF('Upto Month COPPY'!$H$43="",0,'Upto Month COPPY'!$H$43)</f>
        <v>343</v>
      </c>
      <c r="AA73" s="9">
        <f>IF('Upto Month COPPY'!$H$44="",0,'Upto Month COPPY'!$H$44)</f>
        <v>673</v>
      </c>
      <c r="AB73" s="9">
        <f>IF('Upto Month COPPY'!$H$48="",0,'Upto Month COPPY'!$H$48)</f>
        <v>0</v>
      </c>
      <c r="AC73" s="10">
        <f>IF('Upto Month COPPY'!$H$51="",0,'Upto Month COPPY'!$H$51)</f>
        <v>0</v>
      </c>
      <c r="AD73" s="123">
        <f>SUM(C73:AC73)</f>
        <v>548072</v>
      </c>
      <c r="AE73" s="9">
        <f>IF('Upto Month COPPY'!$H$19="",0,'Upto Month COPPY'!$H$19)</f>
        <v>0</v>
      </c>
      <c r="AF73" s="9">
        <f>IF('Upto Month COPPY'!$H$20="",0,'Upto Month COPPY'!$H$20)</f>
        <v>91</v>
      </c>
      <c r="AG73" s="9">
        <f>IF('Upto Month COPPY'!$H$22="",0,'Upto Month COPPY'!$H$22)</f>
        <v>4282</v>
      </c>
      <c r="AH73" s="9">
        <f>IF('Upto Month COPPY'!$H$23="",0,'Upto Month COPPY'!$H$23)</f>
        <v>0</v>
      </c>
      <c r="AI73" s="9">
        <f>IF('Upto Month COPPY'!$H$24="",0,'Upto Month COPPY'!$H$24)</f>
        <v>0</v>
      </c>
      <c r="AJ73" s="9">
        <f>IF('Upto Month COPPY'!$H$25="",0,'Upto Month COPPY'!$H$25)</f>
        <v>613</v>
      </c>
      <c r="AK73" s="9">
        <f>IF('Upto Month COPPY'!$H$28="",0,'Upto Month COPPY'!$H$28)</f>
        <v>31</v>
      </c>
      <c r="AL73" s="9">
        <f>IF('Upto Month COPPY'!$H$29="",0,'Upto Month COPPY'!$H$29)</f>
        <v>2687</v>
      </c>
      <c r="AM73" s="9">
        <f>IF('Upto Month COPPY'!$H$31="",0,'Upto Month COPPY'!$H$31)</f>
        <v>0</v>
      </c>
      <c r="AN73" s="9">
        <f>IF('Upto Month COPPY'!$H$32="",0,'Upto Month COPPY'!$H$32)</f>
        <v>0</v>
      </c>
      <c r="AO73" s="9">
        <f>IF('Upto Month COPPY'!$H$33="",0,'Upto Month COPPY'!$H$33)</f>
        <v>19610</v>
      </c>
      <c r="AP73" s="275">
        <f>IF('Upto Month COPPY'!$H$34="",0,'Upto Month COPPY'!$H$34)</f>
        <v>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1199</v>
      </c>
      <c r="BD73" s="9">
        <f>IF('Upto Month COPPY'!$H$54="",0,'Upto Month COPPY'!$H$54)</f>
        <v>1199</v>
      </c>
      <c r="BE73" s="9">
        <f>IF('Upto Month COPPY'!$H$55="",0,'Upto Month COPPY'!$H$55)</f>
        <v>0</v>
      </c>
      <c r="BF73" s="9">
        <f>IF('Upto Month COPPY'!$H$56="",0,'Upto Month COPPY'!$H$56)</f>
        <v>881</v>
      </c>
      <c r="BG73" s="9">
        <f>IF('Upto Month COPPY'!$H$58="",0,'Upto Month COPPY'!$H$58)</f>
        <v>412</v>
      </c>
      <c r="BH73" s="9">
        <f>SUM(AE73:BG73)</f>
        <v>31005</v>
      </c>
      <c r="BI73" s="127">
        <f>AD73+BH73</f>
        <v>579077</v>
      </c>
      <c r="BJ73" s="9">
        <f>-IF('Upto Month COPPY'!$H$60="",0,'Upto Month COPPY'!$H$60)</f>
        <v>0</v>
      </c>
      <c r="BK73" s="51">
        <f>BI73-BJ73</f>
        <v>579077</v>
      </c>
      <c r="BL73">
        <f>'Upto Month COPPY'!$H$61</f>
        <v>579077</v>
      </c>
      <c r="BM73" s="30">
        <f>BK73-AD73</f>
        <v>31005</v>
      </c>
    </row>
    <row r="74" spans="1:65" ht="14.25" customHeight="1">
      <c r="A74" s="130"/>
      <c r="B74" s="183" t="s">
        <v>319</v>
      </c>
      <c r="C74" s="9">
        <f>IF('Upto Month Current'!$H$4="",0,'Upto Month Current'!$H$4)</f>
        <v>260927</v>
      </c>
      <c r="D74" s="9">
        <f>IF('Upto Month Current'!$H$5="",0,'Upto Month Current'!$H$5)</f>
        <v>176893</v>
      </c>
      <c r="E74" s="9">
        <f>IF('Upto Month Current'!$H$6="",0,'Upto Month Current'!$H$6)</f>
        <v>18</v>
      </c>
      <c r="F74" s="9">
        <f>IF('Upto Month Current'!$H$7="",0,'Upto Month Current'!$H$7)</f>
        <v>30975</v>
      </c>
      <c r="G74" s="9">
        <f>IF('Upto Month Current'!$H$8="",0,'Upto Month Current'!$H$8)</f>
        <v>21141</v>
      </c>
      <c r="H74" s="9">
        <f>IF('Upto Month Current'!$H$9="",0,'Upto Month Current'!$H$9)</f>
        <v>0</v>
      </c>
      <c r="I74" s="9">
        <f>IF('Upto Month Current'!$H$10="",0,'Upto Month Current'!$H$10)</f>
        <v>0</v>
      </c>
      <c r="J74" s="9">
        <f>IF('Upto Month Current'!$H$11="",0,'Upto Month Current'!$H$11)</f>
        <v>51792</v>
      </c>
      <c r="K74" s="9">
        <f>IF('Upto Month Current'!$H$12="",0,'Upto Month Current'!$H$12)</f>
        <v>6409</v>
      </c>
      <c r="L74" s="9">
        <f>IF('Upto Month Current'!$H$13="",0,'Upto Month Current'!$H$13)</f>
        <v>17158</v>
      </c>
      <c r="M74" s="9">
        <f>IF('Upto Month Current'!$H$14="",0,'Upto Month Current'!$H$14)</f>
        <v>10447</v>
      </c>
      <c r="N74" s="9">
        <f>IF('Upto Month Current'!$H$15="",0,'Upto Month Current'!$H$15)</f>
        <v>100</v>
      </c>
      <c r="O74" s="9">
        <f>IF('Upto Month Current'!$H$16="",0,'Upto Month Current'!$H$16)</f>
        <v>2141</v>
      </c>
      <c r="P74" s="9">
        <f>IF('Upto Month Current'!$H$17="",0,'Upto Month Current'!$H$17)</f>
        <v>19034</v>
      </c>
      <c r="Q74" s="9">
        <f>IF('Upto Month Current'!$H$18="",0,'Upto Month Current'!$H$18)</f>
        <v>0</v>
      </c>
      <c r="R74" s="9">
        <f>IF('Upto Month Current'!$H$21="",0,'Upto Month Current'!$H$21)</f>
        <v>451</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2986</v>
      </c>
      <c r="Z74" s="9">
        <f>IF('Upto Month Current'!$H$43="",0,'Upto Month Current'!$H$43)</f>
        <v>1355</v>
      </c>
      <c r="AA74" s="9">
        <f>IF('Upto Month Current'!$H$44="",0,'Upto Month Current'!$H$44)</f>
        <v>1638</v>
      </c>
      <c r="AB74" s="9">
        <f>IF('Upto Month Current'!$H$48="",0,'Upto Month Current'!$H$48)</f>
        <v>0</v>
      </c>
      <c r="AC74" s="10">
        <f>IF('Upto Month Current'!$H$51="",0,'Upto Month Current'!$H$51)</f>
        <v>0</v>
      </c>
      <c r="AD74" s="123">
        <f>SUM(C74:AC74)</f>
        <v>603465</v>
      </c>
      <c r="AE74" s="9">
        <f>IF('Upto Month Current'!$H$19="",0,'Upto Month Current'!$H$19)</f>
        <v>0</v>
      </c>
      <c r="AF74" s="9">
        <f>IF('Upto Month Current'!$H$20="",0,'Upto Month Current'!$H$20)</f>
        <v>50</v>
      </c>
      <c r="AG74" s="9">
        <f>IF('Upto Month Current'!$H$22="",0,'Upto Month Current'!$H$22)</f>
        <v>3049</v>
      </c>
      <c r="AH74" s="9">
        <f>IF('Upto Month Current'!$H$23="",0,'Upto Month Current'!$H$23)</f>
        <v>0</v>
      </c>
      <c r="AI74" s="9">
        <f>IF('Upto Month Current'!$H$24="",0,'Upto Month Current'!$H$24)</f>
        <v>0</v>
      </c>
      <c r="AJ74" s="9">
        <f>IF('Upto Month Current'!$H$25="",0,'Upto Month Current'!$H$25)</f>
        <v>2184</v>
      </c>
      <c r="AK74" s="9">
        <f>IF('Upto Month Current'!$H$28="",0,'Upto Month Current'!$H$28)</f>
        <v>1722</v>
      </c>
      <c r="AL74" s="9">
        <f>IF('Upto Month Current'!$H$29="",0,'Upto Month Current'!$H$29)</f>
        <v>5475</v>
      </c>
      <c r="AM74" s="9">
        <f>IF('Upto Month Current'!$H$31="",0,'Upto Month Current'!$H$31)</f>
        <v>0</v>
      </c>
      <c r="AN74" s="9">
        <f>IF('Upto Month Current'!$H$32="",0,'Upto Month Current'!$H$32)</f>
        <v>0</v>
      </c>
      <c r="AO74" s="9">
        <f>IF('Upto Month Current'!$H$33="",0,'Upto Month Current'!$H$33)</f>
        <v>69246</v>
      </c>
      <c r="AP74" s="275">
        <f>IF('Upto Month Current'!$H$34="",0,'Upto Month Current'!$H$34)</f>
        <v>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2651</v>
      </c>
      <c r="BD74" s="9">
        <f>IF('Upto Month Current'!$H$54="",0,'Upto Month Current'!$H$54)</f>
        <v>2651</v>
      </c>
      <c r="BE74" s="9">
        <f>IF('Upto Month Current'!$H$55="",0,'Upto Month Current'!$H$55)</f>
        <v>0</v>
      </c>
      <c r="BF74" s="9">
        <f>IF('Upto Month Current'!$H$56="",0,'Upto Month Current'!$H$56)</f>
        <v>3364</v>
      </c>
      <c r="BG74" s="9">
        <f>IF('Upto Month Current'!$H$58="",0,'Upto Month Current'!$H$58)</f>
        <v>677</v>
      </c>
      <c r="BH74" s="9">
        <f>SUM(AE74:BG74)</f>
        <v>91069</v>
      </c>
      <c r="BI74" s="127">
        <f>AD74+BH74</f>
        <v>694534</v>
      </c>
      <c r="BJ74" s="9">
        <f>IF('Upto Month Current'!$H$60="",0,'Upto Month Current'!$H$60)</f>
        <v>0</v>
      </c>
      <c r="BK74" s="51">
        <f>BI74-BJ74</f>
        <v>694534</v>
      </c>
      <c r="BL74">
        <f>'Upto Month Current'!$H$61</f>
        <v>694531</v>
      </c>
      <c r="BM74" s="30">
        <f>BK74-AD74</f>
        <v>91069</v>
      </c>
    </row>
    <row r="75" spans="1:65" ht="15.75">
      <c r="A75" s="130"/>
      <c r="B75" s="5" t="s">
        <v>124</v>
      </c>
      <c r="C75" s="11">
        <f t="shared" ref="C75:AH75" si="52">C74-C72</f>
        <v>-22271</v>
      </c>
      <c r="D75" s="11">
        <f t="shared" si="52"/>
        <v>13746</v>
      </c>
      <c r="E75" s="11">
        <f t="shared" si="52"/>
        <v>18</v>
      </c>
      <c r="F75" s="11">
        <f t="shared" si="52"/>
        <v>-6591</v>
      </c>
      <c r="G75" s="11">
        <f t="shared" si="52"/>
        <v>-851</v>
      </c>
      <c r="H75" s="11">
        <f t="shared" si="52"/>
        <v>0</v>
      </c>
      <c r="I75" s="11">
        <f t="shared" si="52"/>
        <v>0</v>
      </c>
      <c r="J75" s="11">
        <f t="shared" si="52"/>
        <v>7708</v>
      </c>
      <c r="K75" s="11">
        <f t="shared" si="52"/>
        <v>280</v>
      </c>
      <c r="L75" s="11">
        <f t="shared" si="52"/>
        <v>4168</v>
      </c>
      <c r="M75" s="11">
        <f t="shared" si="52"/>
        <v>-31</v>
      </c>
      <c r="N75" s="11">
        <f t="shared" si="52"/>
        <v>27</v>
      </c>
      <c r="O75" s="11">
        <f t="shared" si="52"/>
        <v>1206</v>
      </c>
      <c r="P75" s="11">
        <f t="shared" si="52"/>
        <v>6369</v>
      </c>
      <c r="Q75" s="11">
        <f t="shared" si="52"/>
        <v>0</v>
      </c>
      <c r="R75" s="11">
        <f t="shared" si="52"/>
        <v>-368</v>
      </c>
      <c r="S75" s="11">
        <f t="shared" si="52"/>
        <v>0</v>
      </c>
      <c r="T75" s="11">
        <f t="shared" si="52"/>
        <v>0</v>
      </c>
      <c r="U75" s="11">
        <f t="shared" si="52"/>
        <v>0</v>
      </c>
      <c r="V75" s="9">
        <f t="shared" si="52"/>
        <v>0</v>
      </c>
      <c r="W75" s="11">
        <f t="shared" si="52"/>
        <v>0</v>
      </c>
      <c r="X75" s="11">
        <f t="shared" si="52"/>
        <v>0</v>
      </c>
      <c r="Y75" s="11">
        <f t="shared" si="52"/>
        <v>1393</v>
      </c>
      <c r="Z75" s="11">
        <f t="shared" si="52"/>
        <v>926</v>
      </c>
      <c r="AA75" s="11">
        <f t="shared" si="52"/>
        <v>1114</v>
      </c>
      <c r="AB75" s="11">
        <f t="shared" si="52"/>
        <v>-576</v>
      </c>
      <c r="AC75" s="10">
        <f t="shared" si="52"/>
        <v>0</v>
      </c>
      <c r="AD75" s="11">
        <f t="shared" si="52"/>
        <v>6267</v>
      </c>
      <c r="AE75" s="11">
        <f t="shared" si="52"/>
        <v>1</v>
      </c>
      <c r="AF75" s="11">
        <f t="shared" si="52"/>
        <v>12</v>
      </c>
      <c r="AG75" s="11">
        <f t="shared" si="52"/>
        <v>-803</v>
      </c>
      <c r="AH75" s="11">
        <f t="shared" si="52"/>
        <v>0</v>
      </c>
      <c r="AI75" s="11">
        <f t="shared" ref="AI75:BK75" si="53">AI74-AI72</f>
        <v>0</v>
      </c>
      <c r="AJ75" s="11">
        <f t="shared" si="53"/>
        <v>-450</v>
      </c>
      <c r="AK75" s="11">
        <f t="shared" si="53"/>
        <v>-1624</v>
      </c>
      <c r="AL75" s="11">
        <f t="shared" si="53"/>
        <v>1003</v>
      </c>
      <c r="AM75" s="11">
        <f t="shared" si="53"/>
        <v>0</v>
      </c>
      <c r="AN75" s="11">
        <f t="shared" si="53"/>
        <v>0</v>
      </c>
      <c r="AO75" s="9">
        <f t="shared" si="53"/>
        <v>38995</v>
      </c>
      <c r="AP75" s="276">
        <f t="shared" si="53"/>
        <v>309</v>
      </c>
      <c r="AQ75" s="10">
        <f t="shared" si="53"/>
        <v>0</v>
      </c>
      <c r="AR75" s="11">
        <f t="shared" si="53"/>
        <v>0</v>
      </c>
      <c r="AS75" s="11">
        <f t="shared" si="53"/>
        <v>0</v>
      </c>
      <c r="AT75" s="11">
        <f t="shared" si="53"/>
        <v>0</v>
      </c>
      <c r="AU75" s="11">
        <f t="shared" si="53"/>
        <v>0</v>
      </c>
      <c r="AV75" s="11">
        <f t="shared" si="53"/>
        <v>0</v>
      </c>
      <c r="AW75" s="11">
        <f t="shared" si="53"/>
        <v>0</v>
      </c>
      <c r="AX75" s="11">
        <f t="shared" si="53"/>
        <v>0</v>
      </c>
      <c r="AY75" s="11">
        <f t="shared" si="53"/>
        <v>0</v>
      </c>
      <c r="AZ75" s="11">
        <f t="shared" si="53"/>
        <v>0</v>
      </c>
      <c r="BA75" s="11">
        <f t="shared" si="53"/>
        <v>0</v>
      </c>
      <c r="BB75" s="10">
        <f t="shared" si="53"/>
        <v>0</v>
      </c>
      <c r="BC75" s="11">
        <f t="shared" si="53"/>
        <v>219</v>
      </c>
      <c r="BD75" s="11">
        <f t="shared" si="53"/>
        <v>202</v>
      </c>
      <c r="BE75" s="11">
        <f t="shared" si="53"/>
        <v>0</v>
      </c>
      <c r="BF75" s="11">
        <f t="shared" si="53"/>
        <v>1747</v>
      </c>
      <c r="BG75" s="11">
        <f t="shared" si="53"/>
        <v>-722</v>
      </c>
      <c r="BH75" s="9">
        <f t="shared" si="53"/>
        <v>38889</v>
      </c>
      <c r="BI75" s="45">
        <f t="shared" si="53"/>
        <v>45156</v>
      </c>
      <c r="BJ75" s="11">
        <f t="shared" si="53"/>
        <v>0</v>
      </c>
      <c r="BK75" s="51">
        <f t="shared" si="53"/>
        <v>45156</v>
      </c>
      <c r="BM75" s="30">
        <f>BK75-AD75</f>
        <v>38889</v>
      </c>
    </row>
    <row r="76" spans="1:65" ht="15.75">
      <c r="A76" s="130"/>
      <c r="B76" s="5" t="s">
        <v>125</v>
      </c>
      <c r="C76" s="13">
        <f t="shared" ref="C76:AH76" si="54">C75/C72</f>
        <v>-7.8641092098108031E-2</v>
      </c>
      <c r="D76" s="13">
        <f t="shared" si="54"/>
        <v>8.4255303499298176E-2</v>
      </c>
      <c r="E76" s="13" t="e">
        <f t="shared" si="54"/>
        <v>#DIV/0!</v>
      </c>
      <c r="F76" s="13">
        <f t="shared" si="54"/>
        <v>-0.17545120587765534</v>
      </c>
      <c r="G76" s="13">
        <f t="shared" si="54"/>
        <v>-3.8695889414332482E-2</v>
      </c>
      <c r="H76" s="13" t="e">
        <f t="shared" si="54"/>
        <v>#DIV/0!</v>
      </c>
      <c r="I76" s="13" t="e">
        <f t="shared" si="54"/>
        <v>#DIV/0!</v>
      </c>
      <c r="J76" s="13">
        <f t="shared" si="54"/>
        <v>0.17484801742128664</v>
      </c>
      <c r="K76" s="13">
        <f t="shared" si="54"/>
        <v>4.5684450970794585E-2</v>
      </c>
      <c r="L76" s="13">
        <f t="shared" si="54"/>
        <v>0.32086220169361046</v>
      </c>
      <c r="M76" s="13">
        <f t="shared" si="54"/>
        <v>-2.9585798816568047E-3</v>
      </c>
      <c r="N76" s="13">
        <f t="shared" si="54"/>
        <v>0.36986301369863012</v>
      </c>
      <c r="O76" s="13">
        <f t="shared" si="54"/>
        <v>1.2898395721925133</v>
      </c>
      <c r="P76" s="13">
        <f t="shared" si="54"/>
        <v>0.50288195815238845</v>
      </c>
      <c r="Q76" s="13" t="e">
        <f t="shared" si="54"/>
        <v>#DIV/0!</v>
      </c>
      <c r="R76" s="13">
        <f t="shared" si="54"/>
        <v>-0.44932844932844934</v>
      </c>
      <c r="S76" s="13" t="e">
        <f t="shared" si="54"/>
        <v>#DIV/0!</v>
      </c>
      <c r="T76" s="13" t="e">
        <f t="shared" si="54"/>
        <v>#DIV/0!</v>
      </c>
      <c r="U76" s="13" t="e">
        <f t="shared" si="54"/>
        <v>#DIV/0!</v>
      </c>
      <c r="V76" s="163" t="e">
        <f t="shared" si="54"/>
        <v>#DIV/0!</v>
      </c>
      <c r="W76" s="13" t="e">
        <f t="shared" si="54"/>
        <v>#DIV/0!</v>
      </c>
      <c r="X76" s="13" t="e">
        <f t="shared" si="54"/>
        <v>#DIV/0!</v>
      </c>
      <c r="Y76" s="13">
        <f t="shared" si="54"/>
        <v>0.87445072190834905</v>
      </c>
      <c r="Z76" s="13">
        <f t="shared" si="54"/>
        <v>2.1585081585081585</v>
      </c>
      <c r="AA76" s="13">
        <f t="shared" si="54"/>
        <v>2.1259541984732824</v>
      </c>
      <c r="AB76" s="13">
        <f t="shared" si="54"/>
        <v>-1</v>
      </c>
      <c r="AC76" s="14" t="e">
        <f t="shared" si="54"/>
        <v>#DIV/0!</v>
      </c>
      <c r="AD76" s="13">
        <f t="shared" si="54"/>
        <v>1.0494007012749541E-2</v>
      </c>
      <c r="AE76" s="13">
        <f t="shared" si="54"/>
        <v>-1</v>
      </c>
      <c r="AF76" s="13">
        <f t="shared" si="54"/>
        <v>0.31578947368421051</v>
      </c>
      <c r="AG76" s="13">
        <f t="shared" si="54"/>
        <v>-0.2084631360332295</v>
      </c>
      <c r="AH76" s="13" t="e">
        <f t="shared" si="54"/>
        <v>#DIV/0!</v>
      </c>
      <c r="AI76" s="13" t="e">
        <f t="shared" ref="AI76:BK76" si="55">AI75/AI72</f>
        <v>#DIV/0!</v>
      </c>
      <c r="AJ76" s="13">
        <f t="shared" si="55"/>
        <v>-0.17084282460136674</v>
      </c>
      <c r="AK76" s="13">
        <f t="shared" si="55"/>
        <v>-0.48535564853556484</v>
      </c>
      <c r="AL76" s="13">
        <f t="shared" si="55"/>
        <v>0.22428443649373883</v>
      </c>
      <c r="AM76" s="13" t="e">
        <f t="shared" si="55"/>
        <v>#DIV/0!</v>
      </c>
      <c r="AN76" s="13" t="e">
        <f t="shared" si="55"/>
        <v>#DIV/0!</v>
      </c>
      <c r="AO76" s="163">
        <f t="shared" si="55"/>
        <v>1.2890482959241016</v>
      </c>
      <c r="AP76" s="277">
        <f t="shared" si="55"/>
        <v>-1</v>
      </c>
      <c r="AQ76" s="14" t="e">
        <f t="shared" si="55"/>
        <v>#DIV/0!</v>
      </c>
      <c r="AR76" s="13" t="e">
        <f t="shared" si="55"/>
        <v>#DIV/0!</v>
      </c>
      <c r="AS76" s="13" t="e">
        <f t="shared" si="55"/>
        <v>#DIV/0!</v>
      </c>
      <c r="AT76" s="13" t="e">
        <f t="shared" si="55"/>
        <v>#DIV/0!</v>
      </c>
      <c r="AU76" s="13" t="e">
        <f t="shared" si="55"/>
        <v>#DIV/0!</v>
      </c>
      <c r="AV76" s="13" t="e">
        <f t="shared" si="55"/>
        <v>#DIV/0!</v>
      </c>
      <c r="AW76" s="13" t="e">
        <f t="shared" si="55"/>
        <v>#DIV/0!</v>
      </c>
      <c r="AX76" s="13" t="e">
        <f t="shared" si="55"/>
        <v>#DIV/0!</v>
      </c>
      <c r="AY76" s="13" t="e">
        <f t="shared" si="55"/>
        <v>#DIV/0!</v>
      </c>
      <c r="AZ76" s="13" t="e">
        <f t="shared" si="55"/>
        <v>#DIV/0!</v>
      </c>
      <c r="BA76" s="13" t="e">
        <f t="shared" si="55"/>
        <v>#DIV/0!</v>
      </c>
      <c r="BB76" s="14" t="e">
        <f t="shared" si="55"/>
        <v>#DIV/0!</v>
      </c>
      <c r="BC76" s="13">
        <f t="shared" si="55"/>
        <v>9.0049342105263164E-2</v>
      </c>
      <c r="BD76" s="13">
        <f t="shared" si="55"/>
        <v>8.2482645977950186E-2</v>
      </c>
      <c r="BE76" s="13" t="e">
        <f t="shared" si="55"/>
        <v>#DIV/0!</v>
      </c>
      <c r="BF76" s="13">
        <f t="shared" si="55"/>
        <v>1.080395794681509</v>
      </c>
      <c r="BG76" s="13">
        <f t="shared" si="55"/>
        <v>-0.51608291636883485</v>
      </c>
      <c r="BH76" s="163">
        <f t="shared" si="55"/>
        <v>0.74528555001916441</v>
      </c>
      <c r="BI76" s="46">
        <f t="shared" si="55"/>
        <v>6.9537311088456955E-2</v>
      </c>
      <c r="BJ76" s="13" t="e">
        <f t="shared" si="55"/>
        <v>#DIV/0!</v>
      </c>
      <c r="BK76" s="52">
        <f t="shared" si="55"/>
        <v>6.9537311088456955E-2</v>
      </c>
      <c r="BM76" s="163">
        <f>BM75/BM72</f>
        <v>0.74528555001916441</v>
      </c>
    </row>
    <row r="77" spans="1:65" ht="15.75">
      <c r="A77" s="130"/>
      <c r="B77" s="5" t="s">
        <v>126</v>
      </c>
      <c r="C77" s="11">
        <f>C74-C73</f>
        <v>23918</v>
      </c>
      <c r="D77" s="11">
        <f t="shared" ref="D77:BK77" si="56">D74-D73</f>
        <v>37884</v>
      </c>
      <c r="E77" s="11">
        <f t="shared" si="56"/>
        <v>-18</v>
      </c>
      <c r="F77" s="11">
        <f t="shared" si="56"/>
        <v>3756</v>
      </c>
      <c r="G77" s="11">
        <f t="shared" si="56"/>
        <v>2740</v>
      </c>
      <c r="H77" s="11">
        <f t="shared" si="56"/>
        <v>0</v>
      </c>
      <c r="I77" s="11">
        <f t="shared" si="56"/>
        <v>0</v>
      </c>
      <c r="J77" s="11">
        <f t="shared" si="56"/>
        <v>-12572</v>
      </c>
      <c r="K77" s="11">
        <f t="shared" si="56"/>
        <v>5460</v>
      </c>
      <c r="L77" s="11">
        <f t="shared" si="56"/>
        <v>-3600</v>
      </c>
      <c r="M77" s="11">
        <f t="shared" si="56"/>
        <v>1156</v>
      </c>
      <c r="N77" s="11">
        <f t="shared" si="56"/>
        <v>55</v>
      </c>
      <c r="O77" s="11">
        <f t="shared" si="56"/>
        <v>930</v>
      </c>
      <c r="P77" s="11">
        <f t="shared" si="56"/>
        <v>-6404</v>
      </c>
      <c r="Q77" s="11">
        <f t="shared" si="56"/>
        <v>0</v>
      </c>
      <c r="R77" s="11">
        <f t="shared" si="56"/>
        <v>-1271</v>
      </c>
      <c r="S77" s="11">
        <f t="shared" si="56"/>
        <v>0</v>
      </c>
      <c r="T77" s="11">
        <f t="shared" si="56"/>
        <v>0</v>
      </c>
      <c r="U77" s="11">
        <f>U74-U73</f>
        <v>0</v>
      </c>
      <c r="V77" s="9">
        <f t="shared" si="56"/>
        <v>0</v>
      </c>
      <c r="W77" s="11">
        <f t="shared" si="56"/>
        <v>0</v>
      </c>
      <c r="X77" s="11">
        <f t="shared" si="56"/>
        <v>0</v>
      </c>
      <c r="Y77" s="11">
        <f t="shared" si="56"/>
        <v>1382</v>
      </c>
      <c r="Z77" s="11">
        <f t="shared" si="56"/>
        <v>1012</v>
      </c>
      <c r="AA77" s="11">
        <f t="shared" si="56"/>
        <v>965</v>
      </c>
      <c r="AB77" s="11">
        <f>AB74-AB73</f>
        <v>0</v>
      </c>
      <c r="AC77" s="10">
        <f>AC74-AC73</f>
        <v>0</v>
      </c>
      <c r="AD77" s="11">
        <f>AD74-AD73</f>
        <v>55393</v>
      </c>
      <c r="AE77" s="11">
        <f t="shared" si="56"/>
        <v>0</v>
      </c>
      <c r="AF77" s="11">
        <f t="shared" si="56"/>
        <v>-41</v>
      </c>
      <c r="AG77" s="11">
        <f t="shared" si="56"/>
        <v>-1233</v>
      </c>
      <c r="AH77" s="11">
        <f t="shared" si="56"/>
        <v>0</v>
      </c>
      <c r="AI77" s="11">
        <f t="shared" si="56"/>
        <v>0</v>
      </c>
      <c r="AJ77" s="11">
        <f t="shared" si="56"/>
        <v>1571</v>
      </c>
      <c r="AK77" s="11">
        <f t="shared" si="56"/>
        <v>1691</v>
      </c>
      <c r="AL77" s="11">
        <f t="shared" si="56"/>
        <v>2788</v>
      </c>
      <c r="AM77" s="11">
        <f t="shared" si="56"/>
        <v>0</v>
      </c>
      <c r="AN77" s="11">
        <f t="shared" si="56"/>
        <v>0</v>
      </c>
      <c r="AO77" s="9">
        <f t="shared" si="56"/>
        <v>49636</v>
      </c>
      <c r="AP77" s="276">
        <f t="shared" si="56"/>
        <v>0</v>
      </c>
      <c r="AQ77" s="10">
        <f t="shared" si="56"/>
        <v>0</v>
      </c>
      <c r="AR77" s="11">
        <f t="shared" si="56"/>
        <v>0</v>
      </c>
      <c r="AS77" s="11">
        <f t="shared" si="56"/>
        <v>0</v>
      </c>
      <c r="AT77" s="11">
        <f t="shared" si="56"/>
        <v>0</v>
      </c>
      <c r="AU77" s="11">
        <f t="shared" si="56"/>
        <v>0</v>
      </c>
      <c r="AV77" s="11">
        <f t="shared" si="56"/>
        <v>0</v>
      </c>
      <c r="AW77" s="11">
        <f t="shared" si="56"/>
        <v>0</v>
      </c>
      <c r="AX77" s="11">
        <f t="shared" si="56"/>
        <v>0</v>
      </c>
      <c r="AY77" s="11">
        <f t="shared" si="56"/>
        <v>0</v>
      </c>
      <c r="AZ77" s="11">
        <f t="shared" si="56"/>
        <v>0</v>
      </c>
      <c r="BA77" s="11">
        <f t="shared" si="56"/>
        <v>0</v>
      </c>
      <c r="BB77" s="10">
        <f t="shared" si="56"/>
        <v>0</v>
      </c>
      <c r="BC77" s="11">
        <f t="shared" si="56"/>
        <v>1452</v>
      </c>
      <c r="BD77" s="11">
        <f t="shared" si="56"/>
        <v>1452</v>
      </c>
      <c r="BE77" s="11">
        <f t="shared" si="56"/>
        <v>0</v>
      </c>
      <c r="BF77" s="11">
        <f t="shared" si="56"/>
        <v>2483</v>
      </c>
      <c r="BG77" s="11">
        <f t="shared" si="56"/>
        <v>265</v>
      </c>
      <c r="BH77" s="9">
        <f t="shared" si="56"/>
        <v>60064</v>
      </c>
      <c r="BI77" s="45">
        <f t="shared" si="56"/>
        <v>115457</v>
      </c>
      <c r="BJ77" s="11">
        <f t="shared" si="56"/>
        <v>0</v>
      </c>
      <c r="BK77" s="51">
        <f t="shared" si="56"/>
        <v>115457</v>
      </c>
      <c r="BM77" s="30">
        <f>BK77-AD77</f>
        <v>60064</v>
      </c>
    </row>
    <row r="78" spans="1:65" ht="15.75">
      <c r="A78" s="130"/>
      <c r="B78" s="5" t="s">
        <v>127</v>
      </c>
      <c r="C78" s="13">
        <f t="shared" ref="C78:AH78" si="57">C77/C73</f>
        <v>0.10091599897050323</v>
      </c>
      <c r="D78" s="13">
        <f t="shared" si="57"/>
        <v>0.27252911681977426</v>
      </c>
      <c r="E78" s="13">
        <f t="shared" si="57"/>
        <v>-0.5</v>
      </c>
      <c r="F78" s="13">
        <f t="shared" si="57"/>
        <v>0.13799184393254713</v>
      </c>
      <c r="G78" s="13">
        <f t="shared" si="57"/>
        <v>0.14890495081789032</v>
      </c>
      <c r="H78" s="13" t="e">
        <f t="shared" si="57"/>
        <v>#DIV/0!</v>
      </c>
      <c r="I78" s="13" t="e">
        <f t="shared" si="57"/>
        <v>#DIV/0!</v>
      </c>
      <c r="J78" s="13">
        <f t="shared" si="57"/>
        <v>-0.19532658007581877</v>
      </c>
      <c r="K78" s="13">
        <f t="shared" si="57"/>
        <v>5.7534246575342465</v>
      </c>
      <c r="L78" s="13">
        <f t="shared" si="57"/>
        <v>-0.17342711243857789</v>
      </c>
      <c r="M78" s="13">
        <f t="shared" si="57"/>
        <v>0.12442148315574211</v>
      </c>
      <c r="N78" s="13">
        <f t="shared" si="57"/>
        <v>1.2222222222222223</v>
      </c>
      <c r="O78" s="13">
        <f t="shared" si="57"/>
        <v>0.76796036333608586</v>
      </c>
      <c r="P78" s="13">
        <f t="shared" si="57"/>
        <v>-0.25174935136410093</v>
      </c>
      <c r="Q78" s="13" t="e">
        <f t="shared" si="57"/>
        <v>#DIV/0!</v>
      </c>
      <c r="R78" s="13">
        <f t="shared" si="57"/>
        <v>-0.73809523809523814</v>
      </c>
      <c r="S78" s="13" t="e">
        <f t="shared" si="57"/>
        <v>#DIV/0!</v>
      </c>
      <c r="T78" s="13" t="e">
        <f t="shared" si="57"/>
        <v>#DIV/0!</v>
      </c>
      <c r="U78" s="13" t="e">
        <f t="shared" si="57"/>
        <v>#DIV/0!</v>
      </c>
      <c r="V78" s="163" t="e">
        <f t="shared" si="57"/>
        <v>#DIV/0!</v>
      </c>
      <c r="W78" s="13" t="e">
        <f t="shared" si="57"/>
        <v>#DIV/0!</v>
      </c>
      <c r="X78" s="13" t="e">
        <f t="shared" si="57"/>
        <v>#DIV/0!</v>
      </c>
      <c r="Y78" s="13">
        <f t="shared" si="57"/>
        <v>0.86159600997506236</v>
      </c>
      <c r="Z78" s="13">
        <f t="shared" si="57"/>
        <v>2.9504373177842567</v>
      </c>
      <c r="AA78" s="13">
        <f t="shared" si="57"/>
        <v>1.4338781575037147</v>
      </c>
      <c r="AB78" s="13" t="e">
        <f t="shared" si="57"/>
        <v>#DIV/0!</v>
      </c>
      <c r="AC78" s="14" t="e">
        <f t="shared" si="57"/>
        <v>#DIV/0!</v>
      </c>
      <c r="AD78" s="13">
        <f t="shared" si="57"/>
        <v>0.10106883767096293</v>
      </c>
      <c r="AE78" s="13" t="e">
        <f t="shared" si="57"/>
        <v>#DIV/0!</v>
      </c>
      <c r="AF78" s="13">
        <f t="shared" si="57"/>
        <v>-0.45054945054945056</v>
      </c>
      <c r="AG78" s="13">
        <f t="shared" si="57"/>
        <v>-0.28794955628211116</v>
      </c>
      <c r="AH78" s="13" t="e">
        <f t="shared" si="57"/>
        <v>#DIV/0!</v>
      </c>
      <c r="AI78" s="13" t="e">
        <f t="shared" ref="AI78:BK78" si="58">AI77/AI73</f>
        <v>#DIV/0!</v>
      </c>
      <c r="AJ78" s="13">
        <f t="shared" si="58"/>
        <v>2.5628058727569329</v>
      </c>
      <c r="AK78" s="13">
        <f t="shared" si="58"/>
        <v>54.548387096774192</v>
      </c>
      <c r="AL78" s="13">
        <f t="shared" si="58"/>
        <v>1.0375883885374022</v>
      </c>
      <c r="AM78" s="13" t="e">
        <f t="shared" si="58"/>
        <v>#DIV/0!</v>
      </c>
      <c r="AN78" s="13" t="e">
        <f t="shared" si="58"/>
        <v>#DIV/0!</v>
      </c>
      <c r="AO78" s="163">
        <f t="shared" si="58"/>
        <v>2.5311575726670066</v>
      </c>
      <c r="AP78" s="277" t="e">
        <f t="shared" si="58"/>
        <v>#DIV/0!</v>
      </c>
      <c r="AQ78" s="14" t="e">
        <f t="shared" si="58"/>
        <v>#DIV/0!</v>
      </c>
      <c r="AR78" s="13" t="e">
        <f t="shared" si="58"/>
        <v>#DIV/0!</v>
      </c>
      <c r="AS78" s="13" t="e">
        <f t="shared" si="58"/>
        <v>#DIV/0!</v>
      </c>
      <c r="AT78" s="13" t="e">
        <f t="shared" si="58"/>
        <v>#DIV/0!</v>
      </c>
      <c r="AU78" s="13" t="e">
        <f t="shared" si="58"/>
        <v>#DIV/0!</v>
      </c>
      <c r="AV78" s="13" t="e">
        <f t="shared" si="58"/>
        <v>#DIV/0!</v>
      </c>
      <c r="AW78" s="13" t="e">
        <f t="shared" si="58"/>
        <v>#DIV/0!</v>
      </c>
      <c r="AX78" s="13" t="e">
        <f t="shared" si="58"/>
        <v>#DIV/0!</v>
      </c>
      <c r="AY78" s="13" t="e">
        <f t="shared" si="58"/>
        <v>#DIV/0!</v>
      </c>
      <c r="AZ78" s="13" t="e">
        <f t="shared" si="58"/>
        <v>#DIV/0!</v>
      </c>
      <c r="BA78" s="13" t="e">
        <f t="shared" si="58"/>
        <v>#DIV/0!</v>
      </c>
      <c r="BB78" s="14" t="e">
        <f t="shared" si="58"/>
        <v>#DIV/0!</v>
      </c>
      <c r="BC78" s="13">
        <f t="shared" si="58"/>
        <v>1.2110091743119267</v>
      </c>
      <c r="BD78" s="13">
        <f t="shared" si="58"/>
        <v>1.2110091743119267</v>
      </c>
      <c r="BE78" s="13" t="e">
        <f t="shared" si="58"/>
        <v>#DIV/0!</v>
      </c>
      <c r="BF78" s="13">
        <f t="shared" si="58"/>
        <v>2.8183881952326901</v>
      </c>
      <c r="BG78" s="13">
        <f t="shared" si="58"/>
        <v>0.64320388349514568</v>
      </c>
      <c r="BH78" s="163">
        <f t="shared" si="58"/>
        <v>1.9372359296887598</v>
      </c>
      <c r="BI78" s="46">
        <f t="shared" si="58"/>
        <v>0.19938108403545643</v>
      </c>
      <c r="BJ78" s="13" t="e">
        <f t="shared" si="58"/>
        <v>#DIV/0!</v>
      </c>
      <c r="BK78" s="52">
        <f t="shared" si="58"/>
        <v>0.19938108403545643</v>
      </c>
      <c r="BM78" s="14">
        <f>BM77/BM73</f>
        <v>1.9372359296887598</v>
      </c>
    </row>
    <row r="79" spans="1:65" ht="15.75">
      <c r="A79" s="130"/>
      <c r="B79" s="5" t="s">
        <v>323</v>
      </c>
      <c r="C79" s="128">
        <f>C74/C71</f>
        <v>0.17505828522356368</v>
      </c>
      <c r="D79" s="128">
        <f t="shared" ref="D79:BK79" si="59">D74/D71</f>
        <v>0.20600812885043149</v>
      </c>
      <c r="E79" s="128" t="e">
        <f t="shared" si="59"/>
        <v>#DIV/0!</v>
      </c>
      <c r="F79" s="128">
        <f t="shared" si="59"/>
        <v>0.15666093465506778</v>
      </c>
      <c r="G79" s="128">
        <f t="shared" si="59"/>
        <v>0.18266098722124779</v>
      </c>
      <c r="H79" s="128" t="e">
        <f t="shared" si="59"/>
        <v>#DIV/0!</v>
      </c>
      <c r="I79" s="128" t="e">
        <f t="shared" si="59"/>
        <v>#DIV/0!</v>
      </c>
      <c r="J79" s="128">
        <f t="shared" si="59"/>
        <v>0.22322213602275665</v>
      </c>
      <c r="K79" s="128">
        <f t="shared" si="59"/>
        <v>0.19869787629824834</v>
      </c>
      <c r="L79" s="128">
        <f t="shared" si="59"/>
        <v>0.25096903476823612</v>
      </c>
      <c r="M79" s="128">
        <f t="shared" si="59"/>
        <v>0.18941165805457347</v>
      </c>
      <c r="N79" s="128">
        <f t="shared" si="59"/>
        <v>0.25974025974025972</v>
      </c>
      <c r="O79" s="128">
        <f t="shared" si="59"/>
        <v>0.4352510672900996</v>
      </c>
      <c r="P79" s="128">
        <f t="shared" si="59"/>
        <v>0.28556425720886969</v>
      </c>
      <c r="Q79" s="128" t="e">
        <f t="shared" si="59"/>
        <v>#DIV/0!</v>
      </c>
      <c r="R79" s="128">
        <f t="shared" si="59"/>
        <v>0.10456758636679805</v>
      </c>
      <c r="S79" s="128" t="e">
        <f t="shared" si="59"/>
        <v>#DIV/0!</v>
      </c>
      <c r="T79" s="128" t="e">
        <f t="shared" si="59"/>
        <v>#DIV/0!</v>
      </c>
      <c r="U79" s="128" t="e">
        <f t="shared" si="59"/>
        <v>#DIV/0!</v>
      </c>
      <c r="V79" s="178" t="e">
        <f t="shared" si="59"/>
        <v>#DIV/0!</v>
      </c>
      <c r="W79" s="128" t="e">
        <f t="shared" si="59"/>
        <v>#DIV/0!</v>
      </c>
      <c r="X79" s="128" t="e">
        <f t="shared" si="59"/>
        <v>#DIV/0!</v>
      </c>
      <c r="Y79" s="128">
        <f t="shared" si="59"/>
        <v>0.35623956096397041</v>
      </c>
      <c r="Z79" s="128">
        <f t="shared" si="59"/>
        <v>0.60035445281346922</v>
      </c>
      <c r="AA79" s="128">
        <f t="shared" si="59"/>
        <v>0.59390862944162437</v>
      </c>
      <c r="AB79" s="128">
        <f>AB74/AB71</f>
        <v>0</v>
      </c>
      <c r="AC79" s="217" t="e">
        <f t="shared" si="59"/>
        <v>#DIV/0!</v>
      </c>
      <c r="AD79" s="128">
        <f t="shared" si="59"/>
        <v>0.19199418925393763</v>
      </c>
      <c r="AE79" s="128">
        <f t="shared" si="59"/>
        <v>0</v>
      </c>
      <c r="AF79" s="128">
        <f t="shared" si="59"/>
        <v>0.32258064516129031</v>
      </c>
      <c r="AG79" s="128">
        <f t="shared" si="59"/>
        <v>0.18994517817094442</v>
      </c>
      <c r="AH79" s="128" t="e">
        <f t="shared" si="59"/>
        <v>#DIV/0!</v>
      </c>
      <c r="AI79" s="128" t="e">
        <f t="shared" si="59"/>
        <v>#DIV/0!</v>
      </c>
      <c r="AJ79" s="128">
        <f t="shared" si="59"/>
        <v>0.19892522087621822</v>
      </c>
      <c r="AK79" s="128">
        <f t="shared" si="59"/>
        <v>0.12353827390774087</v>
      </c>
      <c r="AL79" s="128">
        <f t="shared" si="59"/>
        <v>0.29383352117211398</v>
      </c>
      <c r="AM79" s="128" t="e">
        <f t="shared" si="59"/>
        <v>#DIV/0!</v>
      </c>
      <c r="AN79" s="128" t="e">
        <f t="shared" si="59"/>
        <v>#DIV/0!</v>
      </c>
      <c r="AO79" s="178">
        <f t="shared" si="59"/>
        <v>0.54937522313459475</v>
      </c>
      <c r="AP79" s="278">
        <f t="shared" si="59"/>
        <v>0</v>
      </c>
      <c r="AQ79" s="217" t="e">
        <f t="shared" si="59"/>
        <v>#DIV/0!</v>
      </c>
      <c r="AR79" s="128" t="e">
        <f t="shared" si="59"/>
        <v>#DIV/0!</v>
      </c>
      <c r="AS79" s="128" t="e">
        <f t="shared" si="59"/>
        <v>#DIV/0!</v>
      </c>
      <c r="AT79" s="128" t="e">
        <f t="shared" si="59"/>
        <v>#DIV/0!</v>
      </c>
      <c r="AU79" s="128" t="e">
        <f t="shared" si="59"/>
        <v>#DIV/0!</v>
      </c>
      <c r="AV79" s="128" t="e">
        <f t="shared" si="59"/>
        <v>#DIV/0!</v>
      </c>
      <c r="AW79" s="128" t="e">
        <f t="shared" si="59"/>
        <v>#DIV/0!</v>
      </c>
      <c r="AX79" s="128">
        <f t="shared" si="59"/>
        <v>0</v>
      </c>
      <c r="AY79" s="128" t="e">
        <f t="shared" si="59"/>
        <v>#DIV/0!</v>
      </c>
      <c r="AZ79" s="128" t="e">
        <f t="shared" si="59"/>
        <v>#DIV/0!</v>
      </c>
      <c r="BA79" s="128" t="e">
        <f t="shared" si="59"/>
        <v>#DIV/0!</v>
      </c>
      <c r="BB79" s="217" t="e">
        <f t="shared" si="59"/>
        <v>#DIV/0!</v>
      </c>
      <c r="BC79" s="128">
        <f t="shared" si="59"/>
        <v>0.26167209554831705</v>
      </c>
      <c r="BD79" s="128">
        <f t="shared" si="59"/>
        <v>0.25980007840062719</v>
      </c>
      <c r="BE79" s="128" t="e">
        <f t="shared" si="59"/>
        <v>#DIV/0!</v>
      </c>
      <c r="BF79" s="128">
        <f t="shared" si="59"/>
        <v>0.49925794004155538</v>
      </c>
      <c r="BG79" s="128">
        <f t="shared" si="59"/>
        <v>0.11604388069934865</v>
      </c>
      <c r="BH79" s="178">
        <f t="shared" si="59"/>
        <v>0.41736480293308892</v>
      </c>
      <c r="BI79" s="128">
        <f t="shared" si="59"/>
        <v>0.20662402100113586</v>
      </c>
      <c r="BJ79" s="128" t="e">
        <f t="shared" si="59"/>
        <v>#DIV/0!</v>
      </c>
      <c r="BK79" s="128">
        <f t="shared" si="59"/>
        <v>0.20662402100113586</v>
      </c>
      <c r="BM79" s="128">
        <f>BM74/BM71</f>
        <v>0.41736480293308892</v>
      </c>
    </row>
    <row r="80" spans="1:65" s="181" customFormat="1" ht="15.75">
      <c r="A80" s="130"/>
      <c r="B80" s="5" t="s">
        <v>322</v>
      </c>
      <c r="C80" s="11">
        <f>C71-C74</f>
        <v>1229588</v>
      </c>
      <c r="D80" s="11">
        <f t="shared" ref="D80:BK80" si="60">D71-D74</f>
        <v>681777</v>
      </c>
      <c r="E80" s="11">
        <f t="shared" si="60"/>
        <v>-18</v>
      </c>
      <c r="F80" s="11">
        <f t="shared" si="60"/>
        <v>166745</v>
      </c>
      <c r="G80" s="11">
        <f t="shared" si="60"/>
        <v>94598</v>
      </c>
      <c r="H80" s="11">
        <f t="shared" si="60"/>
        <v>0</v>
      </c>
      <c r="I80" s="11">
        <f t="shared" si="60"/>
        <v>0</v>
      </c>
      <c r="J80" s="11">
        <f t="shared" si="60"/>
        <v>180228</v>
      </c>
      <c r="K80" s="11">
        <f t="shared" si="60"/>
        <v>25846</v>
      </c>
      <c r="L80" s="11">
        <f t="shared" si="60"/>
        <v>51209</v>
      </c>
      <c r="M80" s="11">
        <f t="shared" si="60"/>
        <v>44708</v>
      </c>
      <c r="N80" s="11">
        <f t="shared" si="60"/>
        <v>285</v>
      </c>
      <c r="O80" s="11">
        <f t="shared" si="60"/>
        <v>2778</v>
      </c>
      <c r="P80" s="11">
        <f t="shared" si="60"/>
        <v>47620</v>
      </c>
      <c r="Q80" s="11">
        <f t="shared" si="60"/>
        <v>0</v>
      </c>
      <c r="R80" s="11">
        <f t="shared" si="60"/>
        <v>3862</v>
      </c>
      <c r="S80" s="11">
        <f t="shared" si="60"/>
        <v>0</v>
      </c>
      <c r="T80" s="11">
        <f t="shared" si="60"/>
        <v>0</v>
      </c>
      <c r="U80" s="11">
        <f t="shared" si="60"/>
        <v>0</v>
      </c>
      <c r="V80" s="11">
        <f t="shared" si="60"/>
        <v>0</v>
      </c>
      <c r="W80" s="11">
        <f t="shared" si="60"/>
        <v>0</v>
      </c>
      <c r="X80" s="11">
        <f t="shared" si="60"/>
        <v>0</v>
      </c>
      <c r="Y80" s="11">
        <f t="shared" si="60"/>
        <v>5396</v>
      </c>
      <c r="Z80" s="11">
        <f t="shared" si="60"/>
        <v>902</v>
      </c>
      <c r="AA80" s="11">
        <f t="shared" si="60"/>
        <v>1120</v>
      </c>
      <c r="AB80" s="11">
        <f t="shared" si="60"/>
        <v>3033</v>
      </c>
      <c r="AC80" s="11">
        <f t="shared" si="60"/>
        <v>0</v>
      </c>
      <c r="AD80" s="11">
        <f t="shared" si="60"/>
        <v>2539677</v>
      </c>
      <c r="AE80" s="11">
        <f t="shared" si="60"/>
        <v>-3</v>
      </c>
      <c r="AF80" s="11">
        <f t="shared" si="60"/>
        <v>105</v>
      </c>
      <c r="AG80" s="11">
        <f t="shared" si="60"/>
        <v>13003</v>
      </c>
      <c r="AH80" s="11">
        <f t="shared" si="60"/>
        <v>0</v>
      </c>
      <c r="AI80" s="11">
        <f t="shared" si="60"/>
        <v>0</v>
      </c>
      <c r="AJ80" s="11">
        <f t="shared" si="60"/>
        <v>8795</v>
      </c>
      <c r="AK80" s="11">
        <f t="shared" si="60"/>
        <v>12217</v>
      </c>
      <c r="AL80" s="11">
        <f t="shared" si="60"/>
        <v>13158</v>
      </c>
      <c r="AM80" s="11">
        <f t="shared" si="60"/>
        <v>0</v>
      </c>
      <c r="AN80" s="11">
        <f t="shared" si="60"/>
        <v>0</v>
      </c>
      <c r="AO80" s="11">
        <f t="shared" si="60"/>
        <v>56799</v>
      </c>
      <c r="AP80" s="276">
        <f t="shared" si="60"/>
        <v>-508</v>
      </c>
      <c r="AQ80" s="11">
        <f t="shared" si="60"/>
        <v>0</v>
      </c>
      <c r="AR80" s="11">
        <f t="shared" si="60"/>
        <v>0</v>
      </c>
      <c r="AS80" s="11">
        <f t="shared" si="60"/>
        <v>0</v>
      </c>
      <c r="AT80" s="11">
        <f t="shared" si="60"/>
        <v>0</v>
      </c>
      <c r="AU80" s="11">
        <f t="shared" si="60"/>
        <v>0</v>
      </c>
      <c r="AV80" s="11">
        <f t="shared" si="60"/>
        <v>0</v>
      </c>
      <c r="AW80" s="11">
        <f t="shared" si="60"/>
        <v>0</v>
      </c>
      <c r="AX80" s="11">
        <f t="shared" si="60"/>
        <v>1</v>
      </c>
      <c r="AY80" s="11">
        <f t="shared" si="60"/>
        <v>0</v>
      </c>
      <c r="AZ80" s="11">
        <f t="shared" si="60"/>
        <v>0</v>
      </c>
      <c r="BA80" s="11">
        <f t="shared" si="60"/>
        <v>0</v>
      </c>
      <c r="BB80" s="11">
        <f t="shared" si="60"/>
        <v>0</v>
      </c>
      <c r="BC80" s="11">
        <f t="shared" si="60"/>
        <v>7480</v>
      </c>
      <c r="BD80" s="11">
        <f t="shared" si="60"/>
        <v>7553</v>
      </c>
      <c r="BE80" s="11">
        <f t="shared" si="60"/>
        <v>0</v>
      </c>
      <c r="BF80" s="11">
        <f t="shared" si="60"/>
        <v>3374</v>
      </c>
      <c r="BG80" s="11">
        <f t="shared" si="60"/>
        <v>5157</v>
      </c>
      <c r="BH80" s="11">
        <f t="shared" si="60"/>
        <v>127131</v>
      </c>
      <c r="BI80" s="11">
        <f t="shared" si="60"/>
        <v>2666808</v>
      </c>
      <c r="BJ80" s="11">
        <f t="shared" si="60"/>
        <v>0</v>
      </c>
      <c r="BK80" s="11">
        <f t="shared" si="60"/>
        <v>2666808</v>
      </c>
      <c r="BL80" s="11">
        <f>BL74-BL71</f>
        <v>694531</v>
      </c>
      <c r="BM80" s="11">
        <f>BM74-BM71</f>
        <v>-127131</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279"/>
      <c r="AQ81" s="6"/>
      <c r="AR81" s="5"/>
      <c r="AS81" s="5"/>
      <c r="AT81" s="5"/>
      <c r="AU81" s="5"/>
      <c r="AV81" s="5"/>
      <c r="AW81" s="6"/>
      <c r="AX81" s="5"/>
      <c r="AY81" s="5"/>
      <c r="AZ81" s="5"/>
      <c r="BA81" s="5"/>
      <c r="BB81" s="6"/>
      <c r="BC81" s="5"/>
      <c r="BD81" s="5"/>
      <c r="BE81" s="5"/>
      <c r="BF81" s="5"/>
      <c r="BG81" s="5"/>
      <c r="BH81" s="16"/>
      <c r="BI81" s="44"/>
      <c r="BJ81" s="5"/>
      <c r="BK81" s="50"/>
    </row>
    <row r="82" spans="1:65" s="179" customFormat="1" ht="15.75">
      <c r="A82" s="269" t="s">
        <v>32</v>
      </c>
      <c r="B82" s="9" t="s">
        <v>316</v>
      </c>
      <c r="C82" s="225">
        <v>2637</v>
      </c>
      <c r="D82" s="225">
        <v>1523</v>
      </c>
      <c r="E82" s="225">
        <v>0</v>
      </c>
      <c r="F82" s="225">
        <v>163</v>
      </c>
      <c r="G82" s="225">
        <v>228</v>
      </c>
      <c r="H82" s="225"/>
      <c r="I82" s="225"/>
      <c r="J82" s="225"/>
      <c r="K82" s="225">
        <v>11</v>
      </c>
      <c r="L82" s="225">
        <v>110</v>
      </c>
      <c r="M82" s="225">
        <v>95</v>
      </c>
      <c r="N82" s="225"/>
      <c r="O82" s="225"/>
      <c r="P82" s="225">
        <v>73</v>
      </c>
      <c r="Q82" s="225"/>
      <c r="R82" s="225">
        <v>17</v>
      </c>
      <c r="S82" s="225"/>
      <c r="T82" s="225"/>
      <c r="U82" s="225"/>
      <c r="V82" s="225"/>
      <c r="W82" s="225"/>
      <c r="X82" s="225"/>
      <c r="Y82" s="225">
        <v>104</v>
      </c>
      <c r="Z82" s="225">
        <v>29</v>
      </c>
      <c r="AA82" s="225">
        <v>5</v>
      </c>
      <c r="AB82" s="225"/>
      <c r="AC82" s="225"/>
      <c r="AD82" s="226">
        <f>SUM(C82:AC82)</f>
        <v>4995</v>
      </c>
      <c r="AE82" s="225"/>
      <c r="AF82" s="225"/>
      <c r="AG82" s="225"/>
      <c r="AH82" s="225"/>
      <c r="AI82" s="225"/>
      <c r="AJ82" s="225"/>
      <c r="AK82" s="225">
        <v>200</v>
      </c>
      <c r="AL82" s="225">
        <v>5</v>
      </c>
      <c r="AM82" s="225">
        <v>5234511</v>
      </c>
      <c r="AN82" s="225"/>
      <c r="AO82" s="225"/>
      <c r="AP82" s="274"/>
      <c r="AQ82" s="225"/>
      <c r="AR82" s="225">
        <v>5348</v>
      </c>
      <c r="AS82" s="225"/>
      <c r="AT82" s="225"/>
      <c r="AU82" s="225">
        <v>1318</v>
      </c>
      <c r="AV82" s="225"/>
      <c r="AW82" s="225"/>
      <c r="AX82" s="225"/>
      <c r="AY82" s="225"/>
      <c r="AZ82" s="225"/>
      <c r="BA82" s="225">
        <v>116099</v>
      </c>
      <c r="BB82" s="225"/>
      <c r="BC82" s="225"/>
      <c r="BD82" s="225"/>
      <c r="BE82" s="225"/>
      <c r="BF82" s="225">
        <v>6747</v>
      </c>
      <c r="BG82" s="225">
        <v>280</v>
      </c>
      <c r="BH82" s="229">
        <f>SUM(AE82:BG82)</f>
        <v>5364508</v>
      </c>
      <c r="BI82" s="125">
        <f>AD82+BH82</f>
        <v>5369503</v>
      </c>
      <c r="BJ82" s="283">
        <v>253785</v>
      </c>
      <c r="BK82" s="226">
        <f>BI82-BJ82</f>
        <v>5115718</v>
      </c>
      <c r="BM82" s="228">
        <f>BK82-AD82</f>
        <v>5110723</v>
      </c>
    </row>
    <row r="83" spans="1:65" s="41" customFormat="1" ht="15.75">
      <c r="A83" s="136"/>
      <c r="B83" s="234" t="s">
        <v>317</v>
      </c>
      <c r="C83" s="10">
        <v>501</v>
      </c>
      <c r="D83" s="10">
        <v>289</v>
      </c>
      <c r="E83" s="10">
        <v>0</v>
      </c>
      <c r="F83" s="10">
        <v>31</v>
      </c>
      <c r="G83" s="10">
        <v>43</v>
      </c>
      <c r="H83" s="10"/>
      <c r="I83" s="10"/>
      <c r="J83" s="10"/>
      <c r="K83" s="10">
        <v>2</v>
      </c>
      <c r="L83" s="10">
        <v>21</v>
      </c>
      <c r="M83" s="10">
        <v>18</v>
      </c>
      <c r="N83" s="10"/>
      <c r="O83" s="10"/>
      <c r="P83" s="10">
        <v>14</v>
      </c>
      <c r="Q83" s="10"/>
      <c r="R83" s="10">
        <v>3</v>
      </c>
      <c r="S83" s="10"/>
      <c r="T83" s="10"/>
      <c r="U83" s="10"/>
      <c r="V83" s="10"/>
      <c r="W83" s="10"/>
      <c r="X83" s="10"/>
      <c r="Y83" s="10">
        <v>20</v>
      </c>
      <c r="Z83" s="10">
        <v>6</v>
      </c>
      <c r="AA83" s="10">
        <v>1</v>
      </c>
      <c r="AB83" s="10"/>
      <c r="AC83" s="10"/>
      <c r="AD83" s="123">
        <f>SUM(C83:AC83)</f>
        <v>949</v>
      </c>
      <c r="AE83" s="10"/>
      <c r="AF83" s="10"/>
      <c r="AG83" s="10"/>
      <c r="AH83" s="10"/>
      <c r="AI83" s="10"/>
      <c r="AJ83" s="10"/>
      <c r="AK83" s="10">
        <v>48</v>
      </c>
      <c r="AL83" s="10">
        <v>1</v>
      </c>
      <c r="AM83" s="10">
        <v>1256283</v>
      </c>
      <c r="AN83" s="10"/>
      <c r="AO83" s="10"/>
      <c r="AP83" s="250"/>
      <c r="AQ83" s="10"/>
      <c r="AR83" s="10">
        <v>1284</v>
      </c>
      <c r="AS83" s="10"/>
      <c r="AT83" s="10"/>
      <c r="AU83" s="10">
        <v>316</v>
      </c>
      <c r="AV83" s="10"/>
      <c r="AW83" s="10"/>
      <c r="AX83" s="10"/>
      <c r="AY83" s="10"/>
      <c r="AZ83" s="10"/>
      <c r="BA83" s="10">
        <v>27864</v>
      </c>
      <c r="BB83" s="10"/>
      <c r="BC83" s="10"/>
      <c r="BD83" s="10"/>
      <c r="BE83" s="10"/>
      <c r="BF83" s="10">
        <v>1619</v>
      </c>
      <c r="BG83" s="10">
        <v>68</v>
      </c>
      <c r="BH83" s="10">
        <f>SUM(AE83:BG83)</f>
        <v>1287483</v>
      </c>
      <c r="BI83" s="219">
        <f>AD83+BH83</f>
        <v>1288432</v>
      </c>
      <c r="BJ83" s="284">
        <v>60908</v>
      </c>
      <c r="BK83" s="10">
        <f>BI83-BJ83</f>
        <v>1227524</v>
      </c>
      <c r="BL83" s="41">
        <f>'[1]Upto Month Current'!$I$61</f>
        <v>862518</v>
      </c>
      <c r="BM83" s="218">
        <f>BK83-AD83</f>
        <v>1226575</v>
      </c>
    </row>
    <row r="84" spans="1:65" ht="15.75">
      <c r="A84" s="130"/>
      <c r="B84" s="12" t="s">
        <v>318</v>
      </c>
      <c r="C84" s="9">
        <f>IF('Upto Month COPPY'!$I$4="",0,'Upto Month COPPY'!$I$4)</f>
        <v>461</v>
      </c>
      <c r="D84" s="9">
        <f>IF('Upto Month COPPY'!$I$5="",0,'Upto Month COPPY'!$I$5)</f>
        <v>252</v>
      </c>
      <c r="E84" s="9">
        <f>IF('Upto Month COPPY'!$I$6="",0,'Upto Month COPPY'!$I$6)</f>
        <v>0</v>
      </c>
      <c r="F84" s="9">
        <f>IF('Upto Month COPPY'!$I$7="",0,'Upto Month COPPY'!$I$7)</f>
        <v>23</v>
      </c>
      <c r="G84" s="9">
        <f>IF('Upto Month COPPY'!$I$8="",0,'Upto Month COPPY'!$I$8)</f>
        <v>38</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45</v>
      </c>
      <c r="M84" s="9">
        <f>IF('Upto Month COPPY'!$I$14="",0,'Upto Month COPPY'!$I$14)</f>
        <v>22</v>
      </c>
      <c r="N84" s="9">
        <f>IF('Upto Month COPPY'!$I$15="",0,'Upto Month COPPY'!$I$15)</f>
        <v>0</v>
      </c>
      <c r="O84" s="9">
        <f>IF('Upto Month COPPY'!$I$16="",0,'Upto Month COPPY'!$I$16)</f>
        <v>0</v>
      </c>
      <c r="P84" s="9">
        <f>IF('Upto Month COPPY'!$I$17="",0,'Upto Month COPPY'!$I$17)</f>
        <v>35</v>
      </c>
      <c r="Q84" s="9">
        <f>IF('Upto Month COPPY'!$I$18="",0,'Upto Month COPPY'!$I$18)</f>
        <v>0</v>
      </c>
      <c r="R84" s="9">
        <f>IF('Upto Month COPPY'!$I$21="",0,'Upto Month COPPY'!$I$21)</f>
        <v>14</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89</v>
      </c>
      <c r="Z84" s="9">
        <f>IF('Upto Month COPPY'!$I$43="",0,'Upto Month COPPY'!$I$43)</f>
        <v>25</v>
      </c>
      <c r="AA84" s="9">
        <f>IF('Upto Month COPPY'!$I$44="",0,'Upto Month COPPY'!$I$44)</f>
        <v>4</v>
      </c>
      <c r="AB84" s="9">
        <f>IF('Upto Month COPPY'!$I$48="",0,'Upto Month COPPY'!$I$48)</f>
        <v>0</v>
      </c>
      <c r="AC84" s="10">
        <f>IF('Upto Month COPPY'!$I$51="",0,'Upto Month COPPY'!$I$51)</f>
        <v>0</v>
      </c>
      <c r="AD84" s="123">
        <f>SUM(C84:AC84)</f>
        <v>1008</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184</v>
      </c>
      <c r="AL84" s="9">
        <f>IF('Upto Month COPPY'!$I$29="",0,'Upto Month COPPY'!$I$29)</f>
        <v>0</v>
      </c>
      <c r="AM84" s="9">
        <f>IF('Upto Month COPPY'!$I$31="",0,'Upto Month COPPY'!$I$31)</f>
        <v>617538</v>
      </c>
      <c r="AN84" s="9">
        <f>IF('Upto Month COPPY'!$I$32="",0,'Upto Month COPPY'!$I$32)</f>
        <v>0</v>
      </c>
      <c r="AO84" s="9">
        <f>IF('Upto Month COPPY'!$I$33="",0,'Upto Month COPPY'!$I$33)</f>
        <v>0</v>
      </c>
      <c r="AP84" s="275">
        <f>IF('Upto Month COPPY'!$I$34="",0,'Upto Month COPPY'!$I$34)</f>
        <v>0</v>
      </c>
      <c r="AQ84" s="10">
        <f>IF('Upto Month COPPY'!$I$36="",0,'Upto Month COPPY'!$I$36)</f>
        <v>0</v>
      </c>
      <c r="AR84" s="9">
        <f>IF('Upto Month COPPY'!$I$37="",0,'Upto Month COPPY'!$I$37)</f>
        <v>4474</v>
      </c>
      <c r="AS84" s="9">
        <v>0</v>
      </c>
      <c r="AT84" s="9">
        <f>IF('Upto Month COPPY'!$I$38="",0,'Upto Month COPPY'!$I$38)</f>
        <v>0</v>
      </c>
      <c r="AU84" s="9">
        <f>IF('Upto Month COPPY'!$I$41="",0,'Upto Month COPPY'!$I$41)</f>
        <v>3975</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37045</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43</v>
      </c>
      <c r="BG84" s="9">
        <f>IF('Upto Month COPPY'!$I$58="",0,'Upto Month COPPY'!$I$58)</f>
        <v>-73</v>
      </c>
      <c r="BH84" s="9">
        <f>SUM(AE84:BG84)</f>
        <v>663186</v>
      </c>
      <c r="BI84" s="127">
        <f>AD84+BH84</f>
        <v>664194</v>
      </c>
      <c r="BJ84" s="9">
        <f>IF('Upto Month COPPY'!$I$60="",0,'Upto Month COPPY'!$I$60)</f>
        <v>302</v>
      </c>
      <c r="BK84" s="51">
        <f>BI84-BJ84</f>
        <v>663892</v>
      </c>
      <c r="BL84">
        <f>'Upto Month COPPY'!$I$61</f>
        <v>663891</v>
      </c>
      <c r="BM84" s="30">
        <f>BK84-AD84</f>
        <v>662884</v>
      </c>
    </row>
    <row r="85" spans="1:65" ht="13.5" customHeight="1">
      <c r="A85" s="130"/>
      <c r="B85" s="183" t="s">
        <v>319</v>
      </c>
      <c r="C85" s="9">
        <f>IF('Upto Month Current'!$I$4="",0,'Upto Month Current'!$I$4)</f>
        <v>487</v>
      </c>
      <c r="D85" s="9">
        <f>IF('Upto Month Current'!$I$5="",0,'Upto Month Current'!$I$5)</f>
        <v>302</v>
      </c>
      <c r="E85" s="9">
        <f>IF('Upto Month Current'!$I$6="",0,'Upto Month Current'!$I$6)</f>
        <v>0</v>
      </c>
      <c r="F85" s="9">
        <f>IF('Upto Month Current'!$I$7="",0,'Upto Month Current'!$I$7)</f>
        <v>30</v>
      </c>
      <c r="G85" s="9">
        <f>IF('Upto Month Current'!$I$8="",0,'Upto Month Current'!$I$8)</f>
        <v>39</v>
      </c>
      <c r="H85" s="9">
        <f>IF('Upto Month Current'!$I$9="",0,'Upto Month Current'!$I$9)</f>
        <v>0</v>
      </c>
      <c r="I85" s="9">
        <f>IF('Upto Month Current'!$I$10="",0,'Upto Month Current'!$I$10)</f>
        <v>0</v>
      </c>
      <c r="J85" s="9">
        <f>IF('Upto Month Current'!$I$11="",0,'Upto Month Current'!$I$11)</f>
        <v>0</v>
      </c>
      <c r="K85" s="9">
        <f>IF('Upto Month Current'!$I$12="",0,'Upto Month Current'!$I$12)</f>
        <v>1</v>
      </c>
      <c r="L85" s="9">
        <f>IF('Upto Month Current'!$I$13="",0,'Upto Month Current'!$I$13)</f>
        <v>37</v>
      </c>
      <c r="M85" s="9">
        <f>IF('Upto Month Current'!$I$14="",0,'Upto Month Current'!$I$14)</f>
        <v>27</v>
      </c>
      <c r="N85" s="9">
        <f>IF('Upto Month Current'!$I$15="",0,'Upto Month Current'!$I$15)</f>
        <v>0</v>
      </c>
      <c r="O85" s="9">
        <f>IF('Upto Month Current'!$I$16="",0,'Upto Month Current'!$I$16)</f>
        <v>21</v>
      </c>
      <c r="P85" s="9">
        <f>IF('Upto Month Current'!$I$17="",0,'Upto Month Current'!$I$17)</f>
        <v>17</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3</v>
      </c>
      <c r="AB85" s="9">
        <f>IF('Upto Month Current'!$I$48="",0,'Upto Month Current'!$I$48)</f>
        <v>0</v>
      </c>
      <c r="AC85" s="10">
        <f>IF('Upto Month Current'!$I$51="",0,'Upto Month Current'!$I$51)</f>
        <v>0</v>
      </c>
      <c r="AD85" s="123">
        <f>SUM(C85:AC85)</f>
        <v>964</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261</v>
      </c>
      <c r="AL85" s="9">
        <f>IF('Upto Month Current'!$I$29="",0,'Upto Month Current'!$I$29)</f>
        <v>0</v>
      </c>
      <c r="AM85" s="9">
        <f>IF('Upto Month Current'!$I$31="",0,'Upto Month Current'!$I$31)</f>
        <v>1086661</v>
      </c>
      <c r="AN85" s="9">
        <f>IF('Upto Month Current'!$I$32="",0,'Upto Month Current'!$I$32)</f>
        <v>0</v>
      </c>
      <c r="AO85" s="9">
        <f>IF('Upto Month Current'!$I$33="",0,'Upto Month Current'!$I$33)</f>
        <v>0</v>
      </c>
      <c r="AP85" s="275">
        <f>IF('Upto Month Current'!$I$34="",0,'Upto Month Current'!$I$34)</f>
        <v>0</v>
      </c>
      <c r="AQ85" s="10">
        <f>IF('Upto Month Current'!$I$36="",0,'Upto Month Current'!$I$36)</f>
        <v>0</v>
      </c>
      <c r="AR85" s="9">
        <f>IF('Upto Month Current'!$I$37="",0,'Upto Month Current'!$I$37)</f>
        <v>2149</v>
      </c>
      <c r="AS85" s="9">
        <v>0</v>
      </c>
      <c r="AT85" s="9">
        <f>IF('Upto Month Current'!$I$38="",0,'Upto Month Current'!$I$38)</f>
        <v>0</v>
      </c>
      <c r="AU85" s="9">
        <f>IF('Upto Month Current'!$I$41="",0,'Upto Month Current'!$I$41)</f>
        <v>1523</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19663</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265</v>
      </c>
      <c r="BG85" s="9">
        <f>IF('Upto Month Current'!$I$58="",0,'Upto Month Current'!$I$58)</f>
        <v>229</v>
      </c>
      <c r="BH85" s="9">
        <f>SUM(AE85:BG85)</f>
        <v>1110751</v>
      </c>
      <c r="BI85" s="127">
        <f>AD85+BH85</f>
        <v>1111715</v>
      </c>
      <c r="BJ85" s="9">
        <f>IF('Upto Month Current'!$I$60="",0,'Upto Month Current'!$I$60)-'Upto Month Current'!I57</f>
        <v>203309</v>
      </c>
      <c r="BK85" s="51">
        <f>BI85-BJ85</f>
        <v>908406</v>
      </c>
      <c r="BL85" s="101">
        <f>'Upto Month Current'!$I$61</f>
        <v>908404</v>
      </c>
      <c r="BM85" s="30">
        <f>BK85-AD85</f>
        <v>907442</v>
      </c>
    </row>
    <row r="86" spans="1:65" ht="15.75">
      <c r="A86" s="130"/>
      <c r="B86" s="5" t="s">
        <v>124</v>
      </c>
      <c r="C86" s="11">
        <f t="shared" ref="C86:AH86" si="61">C85-C83</f>
        <v>-14</v>
      </c>
      <c r="D86" s="11">
        <f t="shared" si="61"/>
        <v>13</v>
      </c>
      <c r="E86" s="11">
        <f t="shared" si="61"/>
        <v>0</v>
      </c>
      <c r="F86" s="11">
        <f t="shared" si="61"/>
        <v>-1</v>
      </c>
      <c r="G86" s="11">
        <f t="shared" si="61"/>
        <v>-4</v>
      </c>
      <c r="H86" s="11">
        <f t="shared" si="61"/>
        <v>0</v>
      </c>
      <c r="I86" s="11">
        <f t="shared" si="61"/>
        <v>0</v>
      </c>
      <c r="J86" s="11">
        <f t="shared" si="61"/>
        <v>0</v>
      </c>
      <c r="K86" s="11">
        <f t="shared" si="61"/>
        <v>-1</v>
      </c>
      <c r="L86" s="11">
        <f t="shared" si="61"/>
        <v>16</v>
      </c>
      <c r="M86" s="11">
        <f t="shared" si="61"/>
        <v>9</v>
      </c>
      <c r="N86" s="11">
        <f t="shared" si="61"/>
        <v>0</v>
      </c>
      <c r="O86" s="11">
        <f t="shared" si="61"/>
        <v>21</v>
      </c>
      <c r="P86" s="11">
        <f t="shared" si="61"/>
        <v>3</v>
      </c>
      <c r="Q86" s="11">
        <f t="shared" si="61"/>
        <v>0</v>
      </c>
      <c r="R86" s="11">
        <f t="shared" si="61"/>
        <v>-3</v>
      </c>
      <c r="S86" s="11">
        <f t="shared" si="61"/>
        <v>0</v>
      </c>
      <c r="T86" s="11">
        <f t="shared" si="61"/>
        <v>0</v>
      </c>
      <c r="U86" s="11">
        <f t="shared" si="61"/>
        <v>0</v>
      </c>
      <c r="V86" s="9">
        <f t="shared" si="61"/>
        <v>0</v>
      </c>
      <c r="W86" s="11">
        <f t="shared" si="61"/>
        <v>0</v>
      </c>
      <c r="X86" s="11">
        <f t="shared" si="61"/>
        <v>0</v>
      </c>
      <c r="Y86" s="11">
        <f t="shared" si="61"/>
        <v>-20</v>
      </c>
      <c r="Z86" s="11">
        <f t="shared" si="61"/>
        <v>-6</v>
      </c>
      <c r="AA86" s="11">
        <f t="shared" si="61"/>
        <v>2</v>
      </c>
      <c r="AB86" s="11">
        <f t="shared" si="61"/>
        <v>0</v>
      </c>
      <c r="AC86" s="10">
        <f t="shared" si="61"/>
        <v>0</v>
      </c>
      <c r="AD86" s="11">
        <f t="shared" si="61"/>
        <v>15</v>
      </c>
      <c r="AE86" s="11">
        <f t="shared" si="61"/>
        <v>0</v>
      </c>
      <c r="AF86" s="11">
        <f t="shared" si="61"/>
        <v>0</v>
      </c>
      <c r="AG86" s="11">
        <f t="shared" si="61"/>
        <v>0</v>
      </c>
      <c r="AH86" s="11">
        <f t="shared" si="61"/>
        <v>0</v>
      </c>
      <c r="AI86" s="11">
        <f t="shared" ref="AI86:BK86" si="62">AI85-AI83</f>
        <v>0</v>
      </c>
      <c r="AJ86" s="11">
        <f t="shared" si="62"/>
        <v>0</v>
      </c>
      <c r="AK86" s="11">
        <f t="shared" si="62"/>
        <v>213</v>
      </c>
      <c r="AL86" s="11">
        <f t="shared" si="62"/>
        <v>-1</v>
      </c>
      <c r="AM86" s="11">
        <f t="shared" si="62"/>
        <v>-169622</v>
      </c>
      <c r="AN86" s="11">
        <f t="shared" si="62"/>
        <v>0</v>
      </c>
      <c r="AO86" s="9">
        <f t="shared" si="62"/>
        <v>0</v>
      </c>
      <c r="AP86" s="276">
        <f t="shared" si="62"/>
        <v>0</v>
      </c>
      <c r="AQ86" s="10">
        <f t="shared" si="62"/>
        <v>0</v>
      </c>
      <c r="AR86" s="11">
        <f t="shared" si="62"/>
        <v>865</v>
      </c>
      <c r="AS86" s="11">
        <f t="shared" si="62"/>
        <v>0</v>
      </c>
      <c r="AT86" s="11">
        <f t="shared" si="62"/>
        <v>0</v>
      </c>
      <c r="AU86" s="11">
        <f t="shared" si="62"/>
        <v>1207</v>
      </c>
      <c r="AV86" s="11">
        <f t="shared" si="62"/>
        <v>0</v>
      </c>
      <c r="AW86" s="11">
        <f t="shared" si="62"/>
        <v>0</v>
      </c>
      <c r="AX86" s="11">
        <f t="shared" si="62"/>
        <v>0</v>
      </c>
      <c r="AY86" s="11">
        <f t="shared" si="62"/>
        <v>0</v>
      </c>
      <c r="AZ86" s="11">
        <f t="shared" si="62"/>
        <v>0</v>
      </c>
      <c r="BA86" s="11">
        <f t="shared" si="62"/>
        <v>-8201</v>
      </c>
      <c r="BB86" s="10">
        <f t="shared" si="62"/>
        <v>0</v>
      </c>
      <c r="BC86" s="11">
        <f t="shared" si="62"/>
        <v>0</v>
      </c>
      <c r="BD86" s="11">
        <f t="shared" si="62"/>
        <v>0</v>
      </c>
      <c r="BE86" s="11">
        <f t="shared" si="62"/>
        <v>0</v>
      </c>
      <c r="BF86" s="11">
        <f t="shared" si="62"/>
        <v>-1354</v>
      </c>
      <c r="BG86" s="11">
        <f t="shared" si="62"/>
        <v>161</v>
      </c>
      <c r="BH86" s="9">
        <f t="shared" si="62"/>
        <v>-176732</v>
      </c>
      <c r="BI86" s="45">
        <f t="shared" si="62"/>
        <v>-176717</v>
      </c>
      <c r="BJ86" s="11">
        <f t="shared" si="62"/>
        <v>142401</v>
      </c>
      <c r="BK86" s="51">
        <f t="shared" si="62"/>
        <v>-319118</v>
      </c>
      <c r="BM86" s="30">
        <f>BK86-AD86</f>
        <v>-319133</v>
      </c>
    </row>
    <row r="87" spans="1:65" ht="15.75">
      <c r="A87" s="130"/>
      <c r="B87" s="5" t="s">
        <v>125</v>
      </c>
      <c r="C87" s="13">
        <f t="shared" ref="C87:AH87" si="63">C86/C83</f>
        <v>-2.7944111776447105E-2</v>
      </c>
      <c r="D87" s="13">
        <f t="shared" si="63"/>
        <v>4.4982698961937718E-2</v>
      </c>
      <c r="E87" s="13" t="e">
        <f t="shared" si="63"/>
        <v>#DIV/0!</v>
      </c>
      <c r="F87" s="13">
        <f t="shared" si="63"/>
        <v>-3.2258064516129031E-2</v>
      </c>
      <c r="G87" s="13">
        <f t="shared" si="63"/>
        <v>-9.3023255813953487E-2</v>
      </c>
      <c r="H87" s="13" t="e">
        <f t="shared" si="63"/>
        <v>#DIV/0!</v>
      </c>
      <c r="I87" s="13" t="e">
        <f t="shared" si="63"/>
        <v>#DIV/0!</v>
      </c>
      <c r="J87" s="13" t="e">
        <f t="shared" si="63"/>
        <v>#DIV/0!</v>
      </c>
      <c r="K87" s="13">
        <f t="shared" si="63"/>
        <v>-0.5</v>
      </c>
      <c r="L87" s="13">
        <f t="shared" si="63"/>
        <v>0.76190476190476186</v>
      </c>
      <c r="M87" s="13">
        <f t="shared" si="63"/>
        <v>0.5</v>
      </c>
      <c r="N87" s="13" t="e">
        <f t="shared" si="63"/>
        <v>#DIV/0!</v>
      </c>
      <c r="O87" s="13" t="e">
        <f t="shared" si="63"/>
        <v>#DIV/0!</v>
      </c>
      <c r="P87" s="13">
        <f t="shared" si="63"/>
        <v>0.21428571428571427</v>
      </c>
      <c r="Q87" s="13" t="e">
        <f t="shared" si="63"/>
        <v>#DIV/0!</v>
      </c>
      <c r="R87" s="13">
        <f t="shared" si="63"/>
        <v>-1</v>
      </c>
      <c r="S87" s="13" t="e">
        <f t="shared" si="63"/>
        <v>#DIV/0!</v>
      </c>
      <c r="T87" s="13" t="e">
        <f t="shared" si="63"/>
        <v>#DIV/0!</v>
      </c>
      <c r="U87" s="13" t="e">
        <f t="shared" si="63"/>
        <v>#DIV/0!</v>
      </c>
      <c r="V87" s="163" t="e">
        <f t="shared" si="63"/>
        <v>#DIV/0!</v>
      </c>
      <c r="W87" s="13" t="e">
        <f t="shared" si="63"/>
        <v>#DIV/0!</v>
      </c>
      <c r="X87" s="13" t="e">
        <f t="shared" si="63"/>
        <v>#DIV/0!</v>
      </c>
      <c r="Y87" s="13">
        <f t="shared" si="63"/>
        <v>-1</v>
      </c>
      <c r="Z87" s="13">
        <f t="shared" si="63"/>
        <v>-1</v>
      </c>
      <c r="AA87" s="13">
        <f t="shared" si="63"/>
        <v>2</v>
      </c>
      <c r="AB87" s="13" t="e">
        <f t="shared" si="63"/>
        <v>#DIV/0!</v>
      </c>
      <c r="AC87" s="14" t="e">
        <f t="shared" si="63"/>
        <v>#DIV/0!</v>
      </c>
      <c r="AD87" s="13">
        <f t="shared" si="63"/>
        <v>1.5806111696522657E-2</v>
      </c>
      <c r="AE87" s="13" t="e">
        <f t="shared" si="63"/>
        <v>#DIV/0!</v>
      </c>
      <c r="AF87" s="13" t="e">
        <f t="shared" si="63"/>
        <v>#DIV/0!</v>
      </c>
      <c r="AG87" s="13" t="e">
        <f t="shared" si="63"/>
        <v>#DIV/0!</v>
      </c>
      <c r="AH87" s="13" t="e">
        <f t="shared" si="63"/>
        <v>#DIV/0!</v>
      </c>
      <c r="AI87" s="13" t="e">
        <f t="shared" ref="AI87:BK87" si="64">AI86/AI83</f>
        <v>#DIV/0!</v>
      </c>
      <c r="AJ87" s="13" t="e">
        <f t="shared" si="64"/>
        <v>#DIV/0!</v>
      </c>
      <c r="AK87" s="13">
        <f t="shared" si="64"/>
        <v>4.4375</v>
      </c>
      <c r="AL87" s="13">
        <f t="shared" si="64"/>
        <v>-1</v>
      </c>
      <c r="AM87" s="13">
        <f t="shared" si="64"/>
        <v>-0.13501894079598306</v>
      </c>
      <c r="AN87" s="13" t="e">
        <f t="shared" si="64"/>
        <v>#DIV/0!</v>
      </c>
      <c r="AO87" s="163" t="e">
        <f t="shared" si="64"/>
        <v>#DIV/0!</v>
      </c>
      <c r="AP87" s="277" t="e">
        <f t="shared" si="64"/>
        <v>#DIV/0!</v>
      </c>
      <c r="AQ87" s="14" t="e">
        <f t="shared" si="64"/>
        <v>#DIV/0!</v>
      </c>
      <c r="AR87" s="13">
        <f t="shared" si="64"/>
        <v>0.67367601246105924</v>
      </c>
      <c r="AS87" s="13" t="e">
        <f t="shared" si="64"/>
        <v>#DIV/0!</v>
      </c>
      <c r="AT87" s="13" t="e">
        <f t="shared" si="64"/>
        <v>#DIV/0!</v>
      </c>
      <c r="AU87" s="13">
        <f t="shared" si="64"/>
        <v>3.8196202531645569</v>
      </c>
      <c r="AV87" s="13" t="e">
        <f t="shared" si="64"/>
        <v>#DIV/0!</v>
      </c>
      <c r="AW87" s="13" t="e">
        <f t="shared" si="64"/>
        <v>#DIV/0!</v>
      </c>
      <c r="AX87" s="13" t="e">
        <f t="shared" si="64"/>
        <v>#DIV/0!</v>
      </c>
      <c r="AY87" s="13" t="e">
        <f t="shared" si="64"/>
        <v>#DIV/0!</v>
      </c>
      <c r="AZ87" s="13" t="e">
        <f t="shared" si="64"/>
        <v>#DIV/0!</v>
      </c>
      <c r="BA87" s="13">
        <f t="shared" si="64"/>
        <v>-0.29432242319839219</v>
      </c>
      <c r="BB87" s="14" t="e">
        <f t="shared" si="64"/>
        <v>#DIV/0!</v>
      </c>
      <c r="BC87" s="13" t="e">
        <f t="shared" si="64"/>
        <v>#DIV/0!</v>
      </c>
      <c r="BD87" s="13" t="e">
        <f t="shared" si="64"/>
        <v>#DIV/0!</v>
      </c>
      <c r="BE87" s="13" t="e">
        <f t="shared" si="64"/>
        <v>#DIV/0!</v>
      </c>
      <c r="BF87" s="13">
        <f t="shared" si="64"/>
        <v>-0.83631871525633106</v>
      </c>
      <c r="BG87" s="13">
        <f t="shared" si="64"/>
        <v>2.3676470588235294</v>
      </c>
      <c r="BH87" s="163">
        <f t="shared" si="64"/>
        <v>-0.137269385304505</v>
      </c>
      <c r="BI87" s="46">
        <f t="shared" si="64"/>
        <v>-0.13715663690439231</v>
      </c>
      <c r="BJ87" s="13">
        <f t="shared" si="64"/>
        <v>2.3379687397386224</v>
      </c>
      <c r="BK87" s="52">
        <f t="shared" si="64"/>
        <v>-0.25996884785959379</v>
      </c>
      <c r="BM87" s="163">
        <f>BM86/BM83</f>
        <v>-0.26018221470354441</v>
      </c>
    </row>
    <row r="88" spans="1:65" ht="15.75">
      <c r="A88" s="130"/>
      <c r="B88" s="5" t="s">
        <v>126</v>
      </c>
      <c r="C88" s="11">
        <f>C85-C84</f>
        <v>26</v>
      </c>
      <c r="D88" s="11">
        <f t="shared" ref="D88:BK88" si="65">D85-D84</f>
        <v>50</v>
      </c>
      <c r="E88" s="11">
        <f t="shared" si="65"/>
        <v>0</v>
      </c>
      <c r="F88" s="11">
        <f t="shared" si="65"/>
        <v>7</v>
      </c>
      <c r="G88" s="11">
        <f t="shared" si="65"/>
        <v>1</v>
      </c>
      <c r="H88" s="11">
        <f t="shared" si="65"/>
        <v>0</v>
      </c>
      <c r="I88" s="11">
        <f t="shared" si="65"/>
        <v>0</v>
      </c>
      <c r="J88" s="11">
        <f t="shared" si="65"/>
        <v>0</v>
      </c>
      <c r="K88" s="11">
        <f t="shared" si="65"/>
        <v>1</v>
      </c>
      <c r="L88" s="11">
        <f t="shared" si="65"/>
        <v>-8</v>
      </c>
      <c r="M88" s="11">
        <f t="shared" si="65"/>
        <v>5</v>
      </c>
      <c r="N88" s="11">
        <f t="shared" si="65"/>
        <v>0</v>
      </c>
      <c r="O88" s="11">
        <f t="shared" si="65"/>
        <v>21</v>
      </c>
      <c r="P88" s="11">
        <f t="shared" si="65"/>
        <v>-18</v>
      </c>
      <c r="Q88" s="11">
        <f t="shared" si="65"/>
        <v>0</v>
      </c>
      <c r="R88" s="11">
        <f t="shared" si="65"/>
        <v>-14</v>
      </c>
      <c r="S88" s="11">
        <f t="shared" si="65"/>
        <v>0</v>
      </c>
      <c r="T88" s="11">
        <f t="shared" si="65"/>
        <v>0</v>
      </c>
      <c r="U88" s="11">
        <f>U85-U84</f>
        <v>0</v>
      </c>
      <c r="V88" s="9">
        <f t="shared" si="65"/>
        <v>0</v>
      </c>
      <c r="W88" s="11">
        <f t="shared" si="65"/>
        <v>0</v>
      </c>
      <c r="X88" s="11">
        <f t="shared" si="65"/>
        <v>0</v>
      </c>
      <c r="Y88" s="11">
        <f t="shared" si="65"/>
        <v>-89</v>
      </c>
      <c r="Z88" s="11">
        <f t="shared" si="65"/>
        <v>-25</v>
      </c>
      <c r="AA88" s="11">
        <f t="shared" si="65"/>
        <v>-1</v>
      </c>
      <c r="AB88" s="11">
        <f>AB85-AB84</f>
        <v>0</v>
      </c>
      <c r="AC88" s="10">
        <f>AC85-AC84</f>
        <v>0</v>
      </c>
      <c r="AD88" s="11">
        <f>AD85-AD84</f>
        <v>-44</v>
      </c>
      <c r="AE88" s="11">
        <f t="shared" si="65"/>
        <v>0</v>
      </c>
      <c r="AF88" s="11">
        <f t="shared" si="65"/>
        <v>0</v>
      </c>
      <c r="AG88" s="11">
        <f t="shared" si="65"/>
        <v>0</v>
      </c>
      <c r="AH88" s="11">
        <f t="shared" si="65"/>
        <v>0</v>
      </c>
      <c r="AI88" s="11">
        <f t="shared" si="65"/>
        <v>0</v>
      </c>
      <c r="AJ88" s="11">
        <f t="shared" si="65"/>
        <v>0</v>
      </c>
      <c r="AK88" s="11">
        <f t="shared" si="65"/>
        <v>77</v>
      </c>
      <c r="AL88" s="11">
        <f t="shared" si="65"/>
        <v>0</v>
      </c>
      <c r="AM88" s="11">
        <f t="shared" si="65"/>
        <v>469123</v>
      </c>
      <c r="AN88" s="11">
        <f t="shared" si="65"/>
        <v>0</v>
      </c>
      <c r="AO88" s="9">
        <f t="shared" si="65"/>
        <v>0</v>
      </c>
      <c r="AP88" s="276">
        <f t="shared" si="65"/>
        <v>0</v>
      </c>
      <c r="AQ88" s="10">
        <f t="shared" si="65"/>
        <v>0</v>
      </c>
      <c r="AR88" s="11">
        <f t="shared" si="65"/>
        <v>-2325</v>
      </c>
      <c r="AS88" s="11">
        <f t="shared" si="65"/>
        <v>0</v>
      </c>
      <c r="AT88" s="11">
        <f t="shared" si="65"/>
        <v>0</v>
      </c>
      <c r="AU88" s="11">
        <f t="shared" si="65"/>
        <v>-2452</v>
      </c>
      <c r="AV88" s="11">
        <f t="shared" si="65"/>
        <v>0</v>
      </c>
      <c r="AW88" s="11">
        <f t="shared" si="65"/>
        <v>0</v>
      </c>
      <c r="AX88" s="11">
        <f t="shared" si="65"/>
        <v>0</v>
      </c>
      <c r="AY88" s="11">
        <f t="shared" si="65"/>
        <v>0</v>
      </c>
      <c r="AZ88" s="11">
        <f t="shared" si="65"/>
        <v>0</v>
      </c>
      <c r="BA88" s="11">
        <f t="shared" si="65"/>
        <v>-17382</v>
      </c>
      <c r="BB88" s="10">
        <f t="shared" si="65"/>
        <v>0</v>
      </c>
      <c r="BC88" s="11">
        <f t="shared" si="65"/>
        <v>0</v>
      </c>
      <c r="BD88" s="11">
        <f t="shared" si="65"/>
        <v>0</v>
      </c>
      <c r="BE88" s="11">
        <f t="shared" si="65"/>
        <v>0</v>
      </c>
      <c r="BF88" s="11">
        <f t="shared" si="65"/>
        <v>222</v>
      </c>
      <c r="BG88" s="11">
        <f t="shared" si="65"/>
        <v>302</v>
      </c>
      <c r="BH88" s="9">
        <f t="shared" si="65"/>
        <v>447565</v>
      </c>
      <c r="BI88" s="45">
        <f t="shared" si="65"/>
        <v>447521</v>
      </c>
      <c r="BJ88" s="11">
        <f t="shared" si="65"/>
        <v>203007</v>
      </c>
      <c r="BK88" s="51">
        <f t="shared" si="65"/>
        <v>244514</v>
      </c>
      <c r="BM88" s="30">
        <f>BK88-AD88</f>
        <v>244558</v>
      </c>
    </row>
    <row r="89" spans="1:65" ht="15.75">
      <c r="A89" s="130"/>
      <c r="B89" s="5" t="s">
        <v>127</v>
      </c>
      <c r="C89" s="13">
        <f t="shared" ref="C89:AH89" si="66">C88/C84</f>
        <v>5.6399132321041212E-2</v>
      </c>
      <c r="D89" s="13">
        <f t="shared" si="66"/>
        <v>0.1984126984126984</v>
      </c>
      <c r="E89" s="13" t="e">
        <f t="shared" si="66"/>
        <v>#DIV/0!</v>
      </c>
      <c r="F89" s="13">
        <f t="shared" si="66"/>
        <v>0.30434782608695654</v>
      </c>
      <c r="G89" s="13">
        <f t="shared" si="66"/>
        <v>2.6315789473684209E-2</v>
      </c>
      <c r="H89" s="13" t="e">
        <f t="shared" si="66"/>
        <v>#DIV/0!</v>
      </c>
      <c r="I89" s="13" t="e">
        <f t="shared" si="66"/>
        <v>#DIV/0!</v>
      </c>
      <c r="J89" s="13" t="e">
        <f t="shared" si="66"/>
        <v>#DIV/0!</v>
      </c>
      <c r="K89" s="13" t="e">
        <f t="shared" si="66"/>
        <v>#DIV/0!</v>
      </c>
      <c r="L89" s="13">
        <f t="shared" si="66"/>
        <v>-0.17777777777777778</v>
      </c>
      <c r="M89" s="13">
        <f t="shared" si="66"/>
        <v>0.22727272727272727</v>
      </c>
      <c r="N89" s="13" t="e">
        <f t="shared" si="66"/>
        <v>#DIV/0!</v>
      </c>
      <c r="O89" s="13" t="e">
        <f t="shared" si="66"/>
        <v>#DIV/0!</v>
      </c>
      <c r="P89" s="13">
        <f t="shared" si="66"/>
        <v>-0.51428571428571423</v>
      </c>
      <c r="Q89" s="13" t="e">
        <f t="shared" si="66"/>
        <v>#DIV/0!</v>
      </c>
      <c r="R89" s="13">
        <f t="shared" si="66"/>
        <v>-1</v>
      </c>
      <c r="S89" s="13" t="e">
        <f t="shared" si="66"/>
        <v>#DIV/0!</v>
      </c>
      <c r="T89" s="13" t="e">
        <f t="shared" si="66"/>
        <v>#DIV/0!</v>
      </c>
      <c r="U89" s="13" t="e">
        <f t="shared" si="66"/>
        <v>#DIV/0!</v>
      </c>
      <c r="V89" s="163" t="e">
        <f t="shared" si="66"/>
        <v>#DIV/0!</v>
      </c>
      <c r="W89" s="13" t="e">
        <f t="shared" si="66"/>
        <v>#DIV/0!</v>
      </c>
      <c r="X89" s="13" t="e">
        <f t="shared" si="66"/>
        <v>#DIV/0!</v>
      </c>
      <c r="Y89" s="13">
        <f t="shared" si="66"/>
        <v>-1</v>
      </c>
      <c r="Z89" s="13">
        <f t="shared" si="66"/>
        <v>-1</v>
      </c>
      <c r="AA89" s="13">
        <f t="shared" si="66"/>
        <v>-0.25</v>
      </c>
      <c r="AB89" s="13" t="e">
        <f t="shared" si="66"/>
        <v>#DIV/0!</v>
      </c>
      <c r="AC89" s="14" t="e">
        <f t="shared" si="66"/>
        <v>#DIV/0!</v>
      </c>
      <c r="AD89" s="13">
        <f t="shared" si="66"/>
        <v>-4.3650793650793648E-2</v>
      </c>
      <c r="AE89" s="13" t="e">
        <f t="shared" si="66"/>
        <v>#DIV/0!</v>
      </c>
      <c r="AF89" s="13" t="e">
        <f t="shared" si="66"/>
        <v>#DIV/0!</v>
      </c>
      <c r="AG89" s="13" t="e">
        <f t="shared" si="66"/>
        <v>#DIV/0!</v>
      </c>
      <c r="AH89" s="13" t="e">
        <f t="shared" si="66"/>
        <v>#DIV/0!</v>
      </c>
      <c r="AI89" s="13" t="e">
        <f t="shared" ref="AI89:BK89" si="67">AI88/AI84</f>
        <v>#DIV/0!</v>
      </c>
      <c r="AJ89" s="13" t="e">
        <f t="shared" si="67"/>
        <v>#DIV/0!</v>
      </c>
      <c r="AK89" s="13">
        <f t="shared" si="67"/>
        <v>0.41847826086956524</v>
      </c>
      <c r="AL89" s="13" t="e">
        <f t="shared" si="67"/>
        <v>#DIV/0!</v>
      </c>
      <c r="AM89" s="13">
        <f t="shared" si="67"/>
        <v>0.75966661160932603</v>
      </c>
      <c r="AN89" s="13" t="e">
        <f t="shared" si="67"/>
        <v>#DIV/0!</v>
      </c>
      <c r="AO89" s="163" t="e">
        <f t="shared" si="67"/>
        <v>#DIV/0!</v>
      </c>
      <c r="AP89" s="277" t="e">
        <f t="shared" si="67"/>
        <v>#DIV/0!</v>
      </c>
      <c r="AQ89" s="14" t="e">
        <f t="shared" si="67"/>
        <v>#DIV/0!</v>
      </c>
      <c r="AR89" s="13">
        <f t="shared" si="67"/>
        <v>-0.51966919982118909</v>
      </c>
      <c r="AS89" s="13" t="e">
        <f t="shared" si="67"/>
        <v>#DIV/0!</v>
      </c>
      <c r="AT89" s="13" t="e">
        <f t="shared" si="67"/>
        <v>#DIV/0!</v>
      </c>
      <c r="AU89" s="13">
        <f t="shared" si="67"/>
        <v>-0.61685534591194968</v>
      </c>
      <c r="AV89" s="13" t="e">
        <f t="shared" si="67"/>
        <v>#DIV/0!</v>
      </c>
      <c r="AW89" s="13" t="e">
        <f t="shared" si="67"/>
        <v>#DIV/0!</v>
      </c>
      <c r="AX89" s="13" t="e">
        <f t="shared" si="67"/>
        <v>#DIV/0!</v>
      </c>
      <c r="AY89" s="13" t="e">
        <f t="shared" si="67"/>
        <v>#DIV/0!</v>
      </c>
      <c r="AZ89" s="13" t="e">
        <f t="shared" si="67"/>
        <v>#DIV/0!</v>
      </c>
      <c r="BA89" s="13">
        <f t="shared" si="67"/>
        <v>-0.46921311917937641</v>
      </c>
      <c r="BB89" s="14" t="e">
        <f t="shared" si="67"/>
        <v>#DIV/0!</v>
      </c>
      <c r="BC89" s="13" t="e">
        <f t="shared" si="67"/>
        <v>#DIV/0!</v>
      </c>
      <c r="BD89" s="13" t="e">
        <f t="shared" si="67"/>
        <v>#DIV/0!</v>
      </c>
      <c r="BE89" s="13" t="e">
        <f t="shared" si="67"/>
        <v>#DIV/0!</v>
      </c>
      <c r="BF89" s="13">
        <f t="shared" si="67"/>
        <v>5.1627906976744189</v>
      </c>
      <c r="BG89" s="13">
        <f t="shared" si="67"/>
        <v>-4.1369863013698627</v>
      </c>
      <c r="BH89" s="163">
        <f t="shared" si="67"/>
        <v>0.6748710014988254</v>
      </c>
      <c r="BI89" s="46">
        <f t="shared" si="67"/>
        <v>0.67378055206761878</v>
      </c>
      <c r="BJ89" s="13">
        <f t="shared" si="67"/>
        <v>672.20860927152319</v>
      </c>
      <c r="BK89" s="52">
        <f t="shared" si="67"/>
        <v>0.36830388075168852</v>
      </c>
      <c r="BM89" s="14">
        <f>BM88/BM84</f>
        <v>0.36893031058224363</v>
      </c>
    </row>
    <row r="90" spans="1:65" ht="15.75">
      <c r="A90" s="130"/>
      <c r="B90" s="5" t="s">
        <v>323</v>
      </c>
      <c r="C90" s="128">
        <f>C85/C82</f>
        <v>0.18467956010618128</v>
      </c>
      <c r="D90" s="128">
        <f t="shared" ref="D90:BK90" si="68">D85/D82</f>
        <v>0.19829284307288247</v>
      </c>
      <c r="E90" s="128" t="e">
        <f t="shared" si="68"/>
        <v>#DIV/0!</v>
      </c>
      <c r="F90" s="128">
        <f t="shared" si="68"/>
        <v>0.18404907975460122</v>
      </c>
      <c r="G90" s="128">
        <f t="shared" si="68"/>
        <v>0.17105263157894737</v>
      </c>
      <c r="H90" s="128" t="e">
        <f t="shared" si="68"/>
        <v>#DIV/0!</v>
      </c>
      <c r="I90" s="128" t="e">
        <f t="shared" si="68"/>
        <v>#DIV/0!</v>
      </c>
      <c r="J90" s="128" t="e">
        <f t="shared" si="68"/>
        <v>#DIV/0!</v>
      </c>
      <c r="K90" s="128">
        <f t="shared" si="68"/>
        <v>9.0909090909090912E-2</v>
      </c>
      <c r="L90" s="128">
        <f t="shared" si="68"/>
        <v>0.33636363636363636</v>
      </c>
      <c r="M90" s="128">
        <f t="shared" si="68"/>
        <v>0.28421052631578947</v>
      </c>
      <c r="N90" s="128" t="e">
        <f t="shared" si="68"/>
        <v>#DIV/0!</v>
      </c>
      <c r="O90" s="128" t="e">
        <f t="shared" si="68"/>
        <v>#DIV/0!</v>
      </c>
      <c r="P90" s="128">
        <f t="shared" si="68"/>
        <v>0.23287671232876711</v>
      </c>
      <c r="Q90" s="128" t="e">
        <f t="shared" si="68"/>
        <v>#DIV/0!</v>
      </c>
      <c r="R90" s="128">
        <f t="shared" si="68"/>
        <v>0</v>
      </c>
      <c r="S90" s="128" t="e">
        <f t="shared" si="68"/>
        <v>#DIV/0!</v>
      </c>
      <c r="T90" s="128" t="e">
        <f t="shared" si="68"/>
        <v>#DIV/0!</v>
      </c>
      <c r="U90" s="128" t="e">
        <f t="shared" si="68"/>
        <v>#DIV/0!</v>
      </c>
      <c r="V90" s="178" t="e">
        <f t="shared" si="68"/>
        <v>#DIV/0!</v>
      </c>
      <c r="W90" s="128" t="e">
        <f t="shared" si="68"/>
        <v>#DIV/0!</v>
      </c>
      <c r="X90" s="128" t="e">
        <f t="shared" si="68"/>
        <v>#DIV/0!</v>
      </c>
      <c r="Y90" s="128">
        <f t="shared" si="68"/>
        <v>0</v>
      </c>
      <c r="Z90" s="128">
        <f t="shared" si="68"/>
        <v>0</v>
      </c>
      <c r="AA90" s="128">
        <f t="shared" si="68"/>
        <v>0.6</v>
      </c>
      <c r="AB90" s="128" t="e">
        <f>AB85/AB82</f>
        <v>#DIV/0!</v>
      </c>
      <c r="AC90" s="217" t="e">
        <f t="shared" si="68"/>
        <v>#DIV/0!</v>
      </c>
      <c r="AD90" s="128">
        <f t="shared" si="68"/>
        <v>0.192992992992993</v>
      </c>
      <c r="AE90" s="128" t="e">
        <f t="shared" si="68"/>
        <v>#DIV/0!</v>
      </c>
      <c r="AF90" s="128" t="e">
        <f t="shared" si="68"/>
        <v>#DIV/0!</v>
      </c>
      <c r="AG90" s="128" t="e">
        <f t="shared" si="68"/>
        <v>#DIV/0!</v>
      </c>
      <c r="AH90" s="128" t="e">
        <f t="shared" si="68"/>
        <v>#DIV/0!</v>
      </c>
      <c r="AI90" s="128" t="e">
        <f t="shared" si="68"/>
        <v>#DIV/0!</v>
      </c>
      <c r="AJ90" s="128" t="e">
        <f t="shared" si="68"/>
        <v>#DIV/0!</v>
      </c>
      <c r="AK90" s="128">
        <f t="shared" si="68"/>
        <v>1.3049999999999999</v>
      </c>
      <c r="AL90" s="128">
        <f t="shared" si="68"/>
        <v>0</v>
      </c>
      <c r="AM90" s="128">
        <f t="shared" si="68"/>
        <v>0.20759551369745904</v>
      </c>
      <c r="AN90" s="128" t="e">
        <f t="shared" si="68"/>
        <v>#DIV/0!</v>
      </c>
      <c r="AO90" s="178" t="e">
        <f t="shared" si="68"/>
        <v>#DIV/0!</v>
      </c>
      <c r="AP90" s="278" t="e">
        <f t="shared" si="68"/>
        <v>#DIV/0!</v>
      </c>
      <c r="AQ90" s="217" t="e">
        <f t="shared" si="68"/>
        <v>#DIV/0!</v>
      </c>
      <c r="AR90" s="128">
        <f t="shared" si="68"/>
        <v>0.40183246073298429</v>
      </c>
      <c r="AS90" s="128" t="e">
        <f t="shared" si="68"/>
        <v>#DIV/0!</v>
      </c>
      <c r="AT90" s="128" t="e">
        <f t="shared" si="68"/>
        <v>#DIV/0!</v>
      </c>
      <c r="AU90" s="128">
        <f t="shared" si="68"/>
        <v>1.1555386949924127</v>
      </c>
      <c r="AV90" s="128" t="e">
        <f t="shared" si="68"/>
        <v>#DIV/0!</v>
      </c>
      <c r="AW90" s="128" t="e">
        <f t="shared" si="68"/>
        <v>#DIV/0!</v>
      </c>
      <c r="AX90" s="128" t="e">
        <f t="shared" si="68"/>
        <v>#DIV/0!</v>
      </c>
      <c r="AY90" s="128" t="e">
        <f t="shared" si="68"/>
        <v>#DIV/0!</v>
      </c>
      <c r="AZ90" s="128" t="e">
        <f t="shared" si="68"/>
        <v>#DIV/0!</v>
      </c>
      <c r="BA90" s="128">
        <f t="shared" si="68"/>
        <v>0.16936407720996735</v>
      </c>
      <c r="BB90" s="217" t="e">
        <f t="shared" si="68"/>
        <v>#DIV/0!</v>
      </c>
      <c r="BC90" s="128" t="e">
        <f t="shared" si="68"/>
        <v>#DIV/0!</v>
      </c>
      <c r="BD90" s="128" t="e">
        <f t="shared" si="68"/>
        <v>#DIV/0!</v>
      </c>
      <c r="BE90" s="128" t="e">
        <f t="shared" si="68"/>
        <v>#DIV/0!</v>
      </c>
      <c r="BF90" s="128">
        <f t="shared" si="68"/>
        <v>3.9276715577293612E-2</v>
      </c>
      <c r="BG90" s="128">
        <f t="shared" si="68"/>
        <v>0.81785714285714284</v>
      </c>
      <c r="BH90" s="178">
        <f t="shared" si="68"/>
        <v>0.20705552121462023</v>
      </c>
      <c r="BI90" s="128">
        <f t="shared" si="68"/>
        <v>0.2070424394957969</v>
      </c>
      <c r="BJ90" s="128">
        <f t="shared" si="68"/>
        <v>0.80110723644029391</v>
      </c>
      <c r="BK90" s="128">
        <f t="shared" si="68"/>
        <v>0.17757155496061355</v>
      </c>
      <c r="BM90" s="128">
        <f>BM85/BM82</f>
        <v>0.17755648271291558</v>
      </c>
    </row>
    <row r="91" spans="1:65" s="181" customFormat="1" ht="15.75">
      <c r="A91" s="130"/>
      <c r="B91" s="5" t="s">
        <v>322</v>
      </c>
      <c r="C91" s="11">
        <f>C82-C85</f>
        <v>2150</v>
      </c>
      <c r="D91" s="11">
        <f t="shared" ref="D91:BK91" si="69">D82-D85</f>
        <v>1221</v>
      </c>
      <c r="E91" s="11">
        <f t="shared" si="69"/>
        <v>0</v>
      </c>
      <c r="F91" s="11">
        <f t="shared" si="69"/>
        <v>133</v>
      </c>
      <c r="G91" s="11">
        <f t="shared" si="69"/>
        <v>189</v>
      </c>
      <c r="H91" s="11">
        <f t="shared" si="69"/>
        <v>0</v>
      </c>
      <c r="I91" s="11">
        <f t="shared" si="69"/>
        <v>0</v>
      </c>
      <c r="J91" s="11">
        <f t="shared" si="69"/>
        <v>0</v>
      </c>
      <c r="K91" s="11">
        <f t="shared" si="69"/>
        <v>10</v>
      </c>
      <c r="L91" s="11">
        <f t="shared" si="69"/>
        <v>73</v>
      </c>
      <c r="M91" s="11">
        <f t="shared" si="69"/>
        <v>68</v>
      </c>
      <c r="N91" s="11">
        <f t="shared" si="69"/>
        <v>0</v>
      </c>
      <c r="O91" s="11">
        <f t="shared" si="69"/>
        <v>-21</v>
      </c>
      <c r="P91" s="11">
        <f t="shared" si="69"/>
        <v>56</v>
      </c>
      <c r="Q91" s="11">
        <f t="shared" si="69"/>
        <v>0</v>
      </c>
      <c r="R91" s="11">
        <f t="shared" si="69"/>
        <v>17</v>
      </c>
      <c r="S91" s="11">
        <f t="shared" si="69"/>
        <v>0</v>
      </c>
      <c r="T91" s="11">
        <f t="shared" si="69"/>
        <v>0</v>
      </c>
      <c r="U91" s="11">
        <f t="shared" si="69"/>
        <v>0</v>
      </c>
      <c r="V91" s="11">
        <f t="shared" si="69"/>
        <v>0</v>
      </c>
      <c r="W91" s="11">
        <f t="shared" si="69"/>
        <v>0</v>
      </c>
      <c r="X91" s="11">
        <f t="shared" si="69"/>
        <v>0</v>
      </c>
      <c r="Y91" s="11">
        <f t="shared" si="69"/>
        <v>104</v>
      </c>
      <c r="Z91" s="11">
        <f t="shared" si="69"/>
        <v>29</v>
      </c>
      <c r="AA91" s="11">
        <f t="shared" si="69"/>
        <v>2</v>
      </c>
      <c r="AB91" s="11">
        <f t="shared" si="69"/>
        <v>0</v>
      </c>
      <c r="AC91" s="11">
        <f t="shared" si="69"/>
        <v>0</v>
      </c>
      <c r="AD91" s="11">
        <f t="shared" si="69"/>
        <v>4031</v>
      </c>
      <c r="AE91" s="11">
        <f t="shared" si="69"/>
        <v>0</v>
      </c>
      <c r="AF91" s="11">
        <f t="shared" si="69"/>
        <v>0</v>
      </c>
      <c r="AG91" s="11">
        <f t="shared" si="69"/>
        <v>0</v>
      </c>
      <c r="AH91" s="11">
        <f t="shared" si="69"/>
        <v>0</v>
      </c>
      <c r="AI91" s="11">
        <f t="shared" si="69"/>
        <v>0</v>
      </c>
      <c r="AJ91" s="11">
        <f t="shared" si="69"/>
        <v>0</v>
      </c>
      <c r="AK91" s="11">
        <f t="shared" si="69"/>
        <v>-61</v>
      </c>
      <c r="AL91" s="11">
        <f t="shared" si="69"/>
        <v>5</v>
      </c>
      <c r="AM91" s="11">
        <f t="shared" si="69"/>
        <v>4147850</v>
      </c>
      <c r="AN91" s="11">
        <f t="shared" si="69"/>
        <v>0</v>
      </c>
      <c r="AO91" s="11">
        <f t="shared" si="69"/>
        <v>0</v>
      </c>
      <c r="AP91" s="276">
        <f t="shared" si="69"/>
        <v>0</v>
      </c>
      <c r="AQ91" s="11">
        <f t="shared" si="69"/>
        <v>0</v>
      </c>
      <c r="AR91" s="11">
        <f t="shared" si="69"/>
        <v>3199</v>
      </c>
      <c r="AS91" s="11">
        <f t="shared" si="69"/>
        <v>0</v>
      </c>
      <c r="AT91" s="11">
        <f t="shared" si="69"/>
        <v>0</v>
      </c>
      <c r="AU91" s="11">
        <f t="shared" si="69"/>
        <v>-205</v>
      </c>
      <c r="AV91" s="11">
        <f t="shared" si="69"/>
        <v>0</v>
      </c>
      <c r="AW91" s="11">
        <f t="shared" si="69"/>
        <v>0</v>
      </c>
      <c r="AX91" s="11">
        <f t="shared" si="69"/>
        <v>0</v>
      </c>
      <c r="AY91" s="11">
        <f t="shared" si="69"/>
        <v>0</v>
      </c>
      <c r="AZ91" s="11">
        <f t="shared" si="69"/>
        <v>0</v>
      </c>
      <c r="BA91" s="11">
        <f t="shared" si="69"/>
        <v>96436</v>
      </c>
      <c r="BB91" s="11">
        <f t="shared" si="69"/>
        <v>0</v>
      </c>
      <c r="BC91" s="11">
        <f t="shared" si="69"/>
        <v>0</v>
      </c>
      <c r="BD91" s="11">
        <f t="shared" si="69"/>
        <v>0</v>
      </c>
      <c r="BE91" s="11">
        <f t="shared" si="69"/>
        <v>0</v>
      </c>
      <c r="BF91" s="11">
        <f t="shared" si="69"/>
        <v>6482</v>
      </c>
      <c r="BG91" s="11">
        <f t="shared" si="69"/>
        <v>51</v>
      </c>
      <c r="BH91" s="11">
        <f t="shared" si="69"/>
        <v>4253757</v>
      </c>
      <c r="BI91" s="11">
        <f t="shared" si="69"/>
        <v>4257788</v>
      </c>
      <c r="BJ91" s="11">
        <f t="shared" si="69"/>
        <v>50476</v>
      </c>
      <c r="BK91" s="11">
        <f t="shared" si="69"/>
        <v>4207312</v>
      </c>
      <c r="BL91" s="11">
        <f>BL85-BL82</f>
        <v>908404</v>
      </c>
      <c r="BM91" s="11">
        <f>BM85-BM82</f>
        <v>-4203281</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279"/>
      <c r="AQ92" s="6"/>
      <c r="AR92" s="5"/>
      <c r="AS92" s="5"/>
      <c r="AT92" s="5"/>
      <c r="AU92" s="5"/>
      <c r="AV92" s="5"/>
      <c r="AW92" s="6"/>
      <c r="AX92" s="5"/>
      <c r="AY92" s="5"/>
      <c r="AZ92" s="5"/>
      <c r="BA92" s="5"/>
      <c r="BB92" s="6"/>
      <c r="BC92" s="5"/>
      <c r="BD92" s="5"/>
      <c r="BE92" s="5"/>
      <c r="BF92" s="5"/>
      <c r="BG92" s="5"/>
      <c r="BH92" s="16"/>
      <c r="BI92" s="44"/>
      <c r="BJ92" s="5"/>
      <c r="BK92" s="50"/>
    </row>
    <row r="93" spans="1:65" s="179" customFormat="1" ht="15.75">
      <c r="A93" s="269" t="s">
        <v>134</v>
      </c>
      <c r="B93" s="9" t="s">
        <v>316</v>
      </c>
      <c r="C93" s="225">
        <v>180087</v>
      </c>
      <c r="D93" s="225">
        <v>99385</v>
      </c>
      <c r="E93" s="225"/>
      <c r="F93" s="225">
        <v>18769</v>
      </c>
      <c r="G93" s="225">
        <v>16508</v>
      </c>
      <c r="H93" s="225"/>
      <c r="I93" s="225"/>
      <c r="J93" s="225"/>
      <c r="K93" s="225">
        <v>803</v>
      </c>
      <c r="L93" s="225">
        <v>99</v>
      </c>
      <c r="M93" s="225">
        <v>22155</v>
      </c>
      <c r="N93" s="225">
        <v>16</v>
      </c>
      <c r="O93" s="225">
        <v>402</v>
      </c>
      <c r="P93" s="225">
        <v>2435</v>
      </c>
      <c r="Q93" s="225"/>
      <c r="R93" s="225">
        <v>599</v>
      </c>
      <c r="S93" s="225">
        <v>443425</v>
      </c>
      <c r="T93" s="225">
        <v>227345</v>
      </c>
      <c r="U93" s="225"/>
      <c r="V93" s="225"/>
      <c r="W93" s="225"/>
      <c r="X93" s="225"/>
      <c r="Y93" s="225">
        <v>315</v>
      </c>
      <c r="Z93" s="225">
        <v>79</v>
      </c>
      <c r="AA93" s="225">
        <v>105</v>
      </c>
      <c r="AB93" s="225">
        <v>687</v>
      </c>
      <c r="AC93" s="225">
        <v>0</v>
      </c>
      <c r="AD93" s="226">
        <f>SUM(C93:AC93)</f>
        <v>1013214</v>
      </c>
      <c r="AE93" s="225">
        <v>-8</v>
      </c>
      <c r="AF93" s="225">
        <v>29</v>
      </c>
      <c r="AG93" s="225">
        <v>103</v>
      </c>
      <c r="AH93" s="225"/>
      <c r="AI93" s="225"/>
      <c r="AJ93" s="225"/>
      <c r="AK93" s="225">
        <v>640</v>
      </c>
      <c r="AL93" s="225">
        <v>50611</v>
      </c>
      <c r="AM93" s="225">
        <v>25276</v>
      </c>
      <c r="AN93" s="225"/>
      <c r="AO93" s="225">
        <v>131025</v>
      </c>
      <c r="AP93" s="274"/>
      <c r="AQ93" s="225"/>
      <c r="AR93" s="225"/>
      <c r="AS93" s="225"/>
      <c r="AT93" s="225"/>
      <c r="AU93" s="225"/>
      <c r="AV93" s="225"/>
      <c r="AW93" s="225"/>
      <c r="AX93" s="225">
        <v>1</v>
      </c>
      <c r="AY93" s="225"/>
      <c r="AZ93" s="225"/>
      <c r="BA93" s="225"/>
      <c r="BB93" s="225"/>
      <c r="BC93" s="225">
        <v>9432</v>
      </c>
      <c r="BD93" s="225">
        <v>9632</v>
      </c>
      <c r="BE93" s="225">
        <v>26</v>
      </c>
      <c r="BF93" s="225">
        <v>2791</v>
      </c>
      <c r="BG93" s="225">
        <v>-94191</v>
      </c>
      <c r="BH93" s="229">
        <f>SUM(AE93:BG93)</f>
        <v>135367</v>
      </c>
      <c r="BI93" s="125">
        <f>AD93+BH93</f>
        <v>1148581</v>
      </c>
      <c r="BJ93" s="230">
        <v>0</v>
      </c>
      <c r="BK93" s="226">
        <f>BI93-BJ93</f>
        <v>1148581</v>
      </c>
      <c r="BM93" s="228">
        <f>BK93-AD93</f>
        <v>135367</v>
      </c>
    </row>
    <row r="94" spans="1:65" s="41" customFormat="1" ht="15.75">
      <c r="A94" s="136"/>
      <c r="B94" s="234" t="s">
        <v>317</v>
      </c>
      <c r="C94" s="10">
        <v>34217</v>
      </c>
      <c r="D94" s="10">
        <v>18883</v>
      </c>
      <c r="E94" s="10"/>
      <c r="F94" s="10">
        <v>3565</v>
      </c>
      <c r="G94" s="10">
        <v>3137</v>
      </c>
      <c r="H94" s="10"/>
      <c r="I94" s="10"/>
      <c r="J94" s="10"/>
      <c r="K94" s="10">
        <v>153</v>
      </c>
      <c r="L94" s="10">
        <v>18</v>
      </c>
      <c r="M94" s="10">
        <v>4209</v>
      </c>
      <c r="N94" s="10">
        <v>3</v>
      </c>
      <c r="O94" s="10">
        <v>77</v>
      </c>
      <c r="P94" s="10">
        <v>462</v>
      </c>
      <c r="Q94" s="10"/>
      <c r="R94" s="10">
        <v>115</v>
      </c>
      <c r="S94" s="10">
        <v>221711</v>
      </c>
      <c r="T94" s="10">
        <v>43195</v>
      </c>
      <c r="U94" s="10"/>
      <c r="V94" s="10"/>
      <c r="W94" s="10"/>
      <c r="X94" s="10"/>
      <c r="Y94" s="10">
        <v>60</v>
      </c>
      <c r="Z94" s="10">
        <v>15</v>
      </c>
      <c r="AA94" s="10">
        <v>20</v>
      </c>
      <c r="AB94" s="10">
        <v>131</v>
      </c>
      <c r="AC94" s="10">
        <f>IF('[1]Upto Month Current'!$J$51="",0,'[1]Upto Month Current'!$J$51)</f>
        <v>0</v>
      </c>
      <c r="AD94" s="123">
        <f>SUM(C94:AC94)</f>
        <v>329971</v>
      </c>
      <c r="AE94" s="10">
        <v>-2</v>
      </c>
      <c r="AF94" s="10">
        <v>7</v>
      </c>
      <c r="AG94" s="10">
        <v>25</v>
      </c>
      <c r="AH94" s="10"/>
      <c r="AI94" s="10"/>
      <c r="AJ94" s="10"/>
      <c r="AK94" s="10">
        <v>154</v>
      </c>
      <c r="AL94" s="10">
        <v>12146</v>
      </c>
      <c r="AM94" s="10">
        <v>6067</v>
      </c>
      <c r="AN94" s="10"/>
      <c r="AO94" s="10">
        <v>31448</v>
      </c>
      <c r="AP94" s="250"/>
      <c r="AQ94" s="10"/>
      <c r="AR94" s="10"/>
      <c r="AS94" s="10"/>
      <c r="AT94" s="10"/>
      <c r="AU94" s="10"/>
      <c r="AV94" s="10"/>
      <c r="AW94" s="10"/>
      <c r="AX94" s="10">
        <v>0</v>
      </c>
      <c r="AY94" s="10"/>
      <c r="AZ94" s="10"/>
      <c r="BA94" s="10"/>
      <c r="BB94" s="10"/>
      <c r="BC94" s="10">
        <v>2263</v>
      </c>
      <c r="BD94" s="10">
        <v>2311</v>
      </c>
      <c r="BE94" s="10">
        <v>6</v>
      </c>
      <c r="BF94" s="10">
        <v>670</v>
      </c>
      <c r="BG94" s="10">
        <v>-22604</v>
      </c>
      <c r="BH94" s="10">
        <f>SUM(AE94:BG94)</f>
        <v>32491</v>
      </c>
      <c r="BI94" s="219">
        <f>AD94+BH94</f>
        <v>362462</v>
      </c>
      <c r="BJ94" s="10">
        <f>IF('[1]Upto Month Current'!$J$60="",0,'[1]Upto Month Current'!$J$60)</f>
        <v>0</v>
      </c>
      <c r="BK94" s="10">
        <f>BI94-BJ94</f>
        <v>362462</v>
      </c>
      <c r="BL94" s="41">
        <f>'[1]Upto Month Current'!$J$61</f>
        <v>201386</v>
      </c>
      <c r="BM94" s="218">
        <f>BK94-AD94</f>
        <v>32491</v>
      </c>
    </row>
    <row r="95" spans="1:65" ht="15.75">
      <c r="A95" s="130"/>
      <c r="B95" s="12" t="s">
        <v>318</v>
      </c>
      <c r="C95" s="9">
        <f>IF('Upto Month COPPY'!$J$4="",0,'Upto Month COPPY'!$J$4)</f>
        <v>33408</v>
      </c>
      <c r="D95" s="9">
        <f>IF('Upto Month COPPY'!$J$5="",0,'Upto Month COPPY'!$J$5)</f>
        <v>17462</v>
      </c>
      <c r="E95" s="9">
        <f>IF('Upto Month COPPY'!$J$6="",0,'Upto Month COPPY'!$J$6)</f>
        <v>0</v>
      </c>
      <c r="F95" s="9">
        <f>IF('Upto Month COPPY'!$J$7="",0,'Upto Month COPPY'!$J$7)</f>
        <v>2757</v>
      </c>
      <c r="G95" s="9">
        <f>IF('Upto Month COPPY'!$J$8="",0,'Upto Month COPPY'!$J$8)</f>
        <v>2881</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24</v>
      </c>
      <c r="M95" s="9">
        <f>IF('Upto Month COPPY'!$J$14="",0,'Upto Month COPPY'!$J$14)</f>
        <v>2940</v>
      </c>
      <c r="N95" s="9">
        <f>IF('Upto Month COPPY'!$J$15="",0,'Upto Month COPPY'!$J$15)</f>
        <v>0</v>
      </c>
      <c r="O95" s="9">
        <f>IF('Upto Month COPPY'!$J$16="",0,'Upto Month COPPY'!$J$16)</f>
        <v>270</v>
      </c>
      <c r="P95" s="9">
        <f>IF('Upto Month COPPY'!$J$17="",0,'Upto Month COPPY'!$J$17)</f>
        <v>692</v>
      </c>
      <c r="Q95" s="9">
        <f>IF('Upto Month COPPY'!$J$18="",0,'Upto Month COPPY'!$J$18)</f>
        <v>0</v>
      </c>
      <c r="R95" s="9">
        <f>IF('Upto Month COPPY'!$J$21="",0,'Upto Month COPPY'!$J$21)</f>
        <v>38</v>
      </c>
      <c r="S95" s="9">
        <f>IF('Upto Month COPPY'!$J$26="",0,'Upto Month COPPY'!$J$26)</f>
        <v>51684</v>
      </c>
      <c r="T95" s="9">
        <f>IF('Upto Month COPPY'!$J$27="",0,'Upto Month COPPY'!$J$27)</f>
        <v>133465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10">
        <f>IF('Upto Month COPPY'!$J$51="",0,'Upto Month COPPY'!$J$51)</f>
        <v>0</v>
      </c>
      <c r="AD95" s="123">
        <f>SUM(C95:AC95)</f>
        <v>245621</v>
      </c>
      <c r="AE95" s="9">
        <f>IF('Upto Month COPPY'!$J$19="",0,'Upto Month COPPY'!$J$19)</f>
        <v>0</v>
      </c>
      <c r="AF95" s="9">
        <f>IF('Upto Month COPPY'!$J$20="",0,'Upto Month COPPY'!$J$20)</f>
        <v>10</v>
      </c>
      <c r="AG95" s="9">
        <f>IF('Upto Month COPPY'!$J$22="",0,'Upto Month COPPY'!$J$22)</f>
        <v>0</v>
      </c>
      <c r="AH95" s="9">
        <f>IF('Upto Month COPPY'!$J$23="",0,'Upto Month COPPY'!$J$23)</f>
        <v>0</v>
      </c>
      <c r="AI95" s="9">
        <f>IF('Upto Month COPPY'!$J$24="",0,'Upto Month COPPY'!$J$24)</f>
        <v>0</v>
      </c>
      <c r="AJ95" s="9">
        <f>IF('Upto Month COPPY'!$J$25="",0,'Upto Month COPPY'!$J$25)</f>
        <v>0</v>
      </c>
      <c r="AK95" s="9">
        <f>IF('Upto Month COPPY'!$J$28="",0,'Upto Month COPPY'!$J$28)</f>
        <v>0</v>
      </c>
      <c r="AL95" s="9">
        <f>IF('Upto Month COPPY'!$J$29="",0,'Upto Month COPPY'!$J$29)</f>
        <v>12312</v>
      </c>
      <c r="AM95" s="9">
        <f>IF('Upto Month COPPY'!$J$31="",0,'Upto Month COPPY'!$J$31)</f>
        <v>-7242</v>
      </c>
      <c r="AN95" s="9">
        <f>IF('Upto Month COPPY'!$J$32="",0,'Upto Month COPPY'!$J$32)</f>
        <v>0</v>
      </c>
      <c r="AO95" s="9">
        <f>IF('Upto Month COPPY'!$J$33="",0,'Upto Month COPPY'!$J$33)</f>
        <v>31207</v>
      </c>
      <c r="AP95" s="275">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36</v>
      </c>
      <c r="AZ95" s="9">
        <f>IF('Upto Month COPPY'!$J$49="",0,'Upto Month COPPY'!$J$49)</f>
        <v>0</v>
      </c>
      <c r="BA95" s="9">
        <f>IF('Upto Month COPPY'!$J$50="",0,'Upto Month COPPY'!$J$50)</f>
        <v>0</v>
      </c>
      <c r="BB95" s="10">
        <f>IF('Upto Month COPPY'!$J$52="",0,'Upto Month COPPY'!$J$52)</f>
        <v>0</v>
      </c>
      <c r="BC95" s="9">
        <f>IF('Upto Month COPPY'!$J$53="",0,'Upto Month COPPY'!$J$53)</f>
        <v>2503</v>
      </c>
      <c r="BD95" s="9">
        <f>IF('Upto Month COPPY'!$J$54="",0,'Upto Month COPPY'!$J$54)</f>
        <v>2503</v>
      </c>
      <c r="BE95" s="9">
        <f>IF('Upto Month COPPY'!$J$55="",0,'Upto Month COPPY'!$J$55)</f>
        <v>0</v>
      </c>
      <c r="BF95" s="9">
        <f>IF('Upto Month COPPY'!$J$56="",0,'Upto Month COPPY'!$J$56)</f>
        <v>614</v>
      </c>
      <c r="BG95" s="9">
        <f>IF('Upto Month COPPY'!$J$58="",0,'Upto Month COPPY'!$J$58)</f>
        <v>-4716</v>
      </c>
      <c r="BH95" s="9">
        <f>SUM(AE95:BG95)</f>
        <v>37227</v>
      </c>
      <c r="BI95" s="127">
        <f>AD95+BH95</f>
        <v>282848</v>
      </c>
      <c r="BJ95" s="9">
        <f>IF('Upto Month COPPY'!$J$60="",0,'Upto Month COPPY'!$J$60)</f>
        <v>0</v>
      </c>
      <c r="BK95" s="51">
        <f>BI95-BJ95</f>
        <v>282848</v>
      </c>
      <c r="BL95">
        <f>'Upto Month COPPY'!$J$61</f>
        <v>282849</v>
      </c>
      <c r="BM95" s="30">
        <f>BK95-AD95</f>
        <v>37227</v>
      </c>
    </row>
    <row r="96" spans="1:65" ht="17.25" customHeight="1">
      <c r="A96" s="130"/>
      <c r="B96" s="183" t="s">
        <v>319</v>
      </c>
      <c r="C96" s="9">
        <f>IF('Upto Month Current'!$J$4="",0,'Upto Month Current'!$J$4)</f>
        <v>29263</v>
      </c>
      <c r="D96" s="9">
        <f>IF('Upto Month Current'!$J$5="",0,'Upto Month Current'!$J$5)</f>
        <v>18420</v>
      </c>
      <c r="E96" s="9">
        <f>IF('Upto Month Current'!$J$6="",0,'Upto Month Current'!$J$6)</f>
        <v>0</v>
      </c>
      <c r="F96" s="9">
        <f>IF('Upto Month Current'!$J$7="",0,'Upto Month Current'!$J$7)</f>
        <v>2588</v>
      </c>
      <c r="G96" s="9">
        <f>IF('Upto Month Current'!$J$8="",0,'Upto Month Current'!$J$8)</f>
        <v>2724</v>
      </c>
      <c r="H96" s="9">
        <f>IF('Upto Month Current'!$J$9="",0,'Upto Month Current'!$J$9)</f>
        <v>0</v>
      </c>
      <c r="I96" s="9">
        <f>IF('Upto Month Current'!$J$10="",0,'Upto Month Current'!$J$10)</f>
        <v>0</v>
      </c>
      <c r="J96" s="9">
        <f>IF('Upto Month Current'!$J$11="",0,'Upto Month Current'!$J$11)</f>
        <v>0</v>
      </c>
      <c r="K96" s="9">
        <f>IF('Upto Month Current'!$J$12="",0,'Upto Month Current'!$J$12)</f>
        <v>196</v>
      </c>
      <c r="L96" s="9">
        <f>IF('Upto Month Current'!$J$13="",0,'Upto Month Current'!$J$13)</f>
        <v>0</v>
      </c>
      <c r="M96" s="9">
        <f>IF('Upto Month Current'!$J$14="",0,'Upto Month Current'!$J$14)</f>
        <v>3056</v>
      </c>
      <c r="N96" s="9">
        <f>IF('Upto Month Current'!$J$15="",0,'Upto Month Current'!$J$15)</f>
        <v>0</v>
      </c>
      <c r="O96" s="9">
        <f>IF('Upto Month Current'!$J$16="",0,'Upto Month Current'!$J$16)</f>
        <v>138</v>
      </c>
      <c r="P96" s="9">
        <f>IF('Upto Month Current'!$J$17="",0,'Upto Month Current'!$J$17)</f>
        <v>621</v>
      </c>
      <c r="Q96" s="9">
        <f>IF('Upto Month Current'!$J$18="",0,'Upto Month Current'!$J$18)</f>
        <v>0</v>
      </c>
      <c r="R96" s="9">
        <f>IF('Upto Month Current'!$J$21="",0,'Upto Month Current'!$J$21)</f>
        <v>190</v>
      </c>
      <c r="S96" s="9">
        <f>IF('Upto Month Current'!$J$26="",0,'Upto Month Current'!$J$26)</f>
        <v>14462</v>
      </c>
      <c r="T96" s="9">
        <f>IF('Upto Month Current'!$J$27="",0,'Upto Month Current'!$J$27)</f>
        <v>231825</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43</v>
      </c>
      <c r="Z96" s="9">
        <f>IF('Upto Month Current'!$J$43="",0,'Upto Month Current'!$J$43)</f>
        <v>20</v>
      </c>
      <c r="AA96" s="9">
        <f>IF('Upto Month Current'!$J$44="",0,'Upto Month Current'!$J$44)</f>
        <v>0</v>
      </c>
      <c r="AB96" s="9">
        <f>IF('Upto Month Current'!$J$48="",0,'Upto Month Current'!$J$48)</f>
        <v>0</v>
      </c>
      <c r="AC96" s="10">
        <f>IF('Upto Month Current'!$J$51="",0,'Upto Month Current'!$J$51)</f>
        <v>0</v>
      </c>
      <c r="AD96" s="123">
        <f>SUM(C96:AC96)</f>
        <v>303546</v>
      </c>
      <c r="AE96" s="9">
        <f>IF('Upto Month Current'!$J$19="",0,'Upto Month Current'!$J$19)</f>
        <v>0</v>
      </c>
      <c r="AF96" s="9">
        <f>IF('Upto Month Current'!$J$20="",0,'Upto Month Current'!$J$20)</f>
        <v>5</v>
      </c>
      <c r="AG96" s="9">
        <f>IF('Upto Month Current'!$J$22="",0,'Upto Month Current'!$J$22)</f>
        <v>479</v>
      </c>
      <c r="AH96" s="9">
        <f>IF('Upto Month Current'!$J$23="",0,'Upto Month Current'!$J$23)</f>
        <v>0</v>
      </c>
      <c r="AI96" s="9">
        <f>IF('Upto Month Current'!$J$24="",0,'Upto Month Current'!$J$24)</f>
        <v>0</v>
      </c>
      <c r="AJ96" s="9">
        <f>IF('Upto Month Current'!$J$25="",0,'Upto Month Current'!$J$25)</f>
        <v>0</v>
      </c>
      <c r="AK96" s="9">
        <f>IF('Upto Month Current'!$J$28="",0,'Upto Month Current'!$J$28)</f>
        <v>2</v>
      </c>
      <c r="AL96" s="9">
        <f>IF('Upto Month Current'!$J$29="",0,'Upto Month Current'!$J$29)</f>
        <v>13200</v>
      </c>
      <c r="AM96" s="9">
        <f>IF('Upto Month Current'!$J$31="",0,'Upto Month Current'!$J$31)</f>
        <v>1801</v>
      </c>
      <c r="AN96" s="9">
        <f>IF('Upto Month Current'!$J$32="",0,'Upto Month Current'!$J$32)</f>
        <v>0</v>
      </c>
      <c r="AO96" s="9">
        <f>IF('Upto Month Current'!$J$33="",0,'Upto Month Current'!$J$33)</f>
        <v>64365</v>
      </c>
      <c r="AP96" s="275">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0</v>
      </c>
      <c r="AZ96" s="9">
        <f>IF('Upto Month Current'!$J$49="",0,'Upto Month Current'!$J$49)</f>
        <v>0</v>
      </c>
      <c r="BA96" s="9">
        <f>IF('Upto Month Current'!$J$50="",0,'Upto Month Current'!$J$50)</f>
        <v>0</v>
      </c>
      <c r="BB96" s="10">
        <f>IF('Upto Month Current'!$J$52="",0,'Upto Month Current'!$J$52)</f>
        <v>0</v>
      </c>
      <c r="BC96" s="9">
        <f>IF('Upto Month Current'!$J$53="",0,'Upto Month Current'!$J$53)</f>
        <v>4898</v>
      </c>
      <c r="BD96" s="9">
        <f>IF('Upto Month Current'!$J$54="",0,'Upto Month Current'!$J$54)</f>
        <v>4898</v>
      </c>
      <c r="BE96" s="9">
        <f>IF('Upto Month Current'!$J$55="",0,'Upto Month Current'!$J$55)</f>
        <v>0</v>
      </c>
      <c r="BF96" s="9">
        <f>IF('Upto Month Current'!$J$56="",0,'Upto Month Current'!$J$56)</f>
        <v>479</v>
      </c>
      <c r="BG96" s="9">
        <f>IF('Upto Month Current'!$J$58="",0,'Upto Month Current'!$J$58)</f>
        <v>-2671</v>
      </c>
      <c r="BH96" s="9">
        <f>SUM(AE96:BG96)</f>
        <v>87456</v>
      </c>
      <c r="BI96" s="127">
        <f>AD96+BH96</f>
        <v>391002</v>
      </c>
      <c r="BJ96" s="9">
        <f>IF('Upto Month Current'!$J$60="",0,'Upto Month Current'!$J$60)</f>
        <v>0</v>
      </c>
      <c r="BK96" s="51">
        <f>BI96-BJ96</f>
        <v>391002</v>
      </c>
      <c r="BL96">
        <f>'Upto Month Current'!$J$61</f>
        <v>391001</v>
      </c>
      <c r="BM96" s="30">
        <f>BK96-AD96</f>
        <v>87456</v>
      </c>
    </row>
    <row r="97" spans="1:65" ht="15.75">
      <c r="A97" s="130"/>
      <c r="B97" s="5" t="s">
        <v>124</v>
      </c>
      <c r="C97" s="11">
        <f t="shared" ref="C97:AH97" si="70">C96-C94</f>
        <v>-4954</v>
      </c>
      <c r="D97" s="11">
        <f t="shared" si="70"/>
        <v>-463</v>
      </c>
      <c r="E97" s="11">
        <f t="shared" si="70"/>
        <v>0</v>
      </c>
      <c r="F97" s="11">
        <f t="shared" si="70"/>
        <v>-977</v>
      </c>
      <c r="G97" s="11">
        <f t="shared" si="70"/>
        <v>-413</v>
      </c>
      <c r="H97" s="11">
        <f t="shared" si="70"/>
        <v>0</v>
      </c>
      <c r="I97" s="11">
        <f t="shared" si="70"/>
        <v>0</v>
      </c>
      <c r="J97" s="11">
        <f t="shared" si="70"/>
        <v>0</v>
      </c>
      <c r="K97" s="11">
        <f t="shared" si="70"/>
        <v>43</v>
      </c>
      <c r="L97" s="11">
        <f t="shared" si="70"/>
        <v>-18</v>
      </c>
      <c r="M97" s="11">
        <f t="shared" si="70"/>
        <v>-1153</v>
      </c>
      <c r="N97" s="11">
        <f t="shared" si="70"/>
        <v>-3</v>
      </c>
      <c r="O97" s="11">
        <f t="shared" si="70"/>
        <v>61</v>
      </c>
      <c r="P97" s="11">
        <f t="shared" si="70"/>
        <v>159</v>
      </c>
      <c r="Q97" s="11">
        <f t="shared" si="70"/>
        <v>0</v>
      </c>
      <c r="R97" s="11">
        <f t="shared" si="70"/>
        <v>75</v>
      </c>
      <c r="S97" s="11">
        <f t="shared" si="70"/>
        <v>-207249</v>
      </c>
      <c r="T97" s="11">
        <f t="shared" si="70"/>
        <v>188630</v>
      </c>
      <c r="U97" s="11">
        <f t="shared" si="70"/>
        <v>0</v>
      </c>
      <c r="V97" s="9">
        <f t="shared" si="70"/>
        <v>0</v>
      </c>
      <c r="W97" s="11">
        <f t="shared" si="70"/>
        <v>0</v>
      </c>
      <c r="X97" s="11">
        <f t="shared" si="70"/>
        <v>0</v>
      </c>
      <c r="Y97" s="11">
        <f t="shared" si="70"/>
        <v>-17</v>
      </c>
      <c r="Z97" s="11">
        <f t="shared" si="70"/>
        <v>5</v>
      </c>
      <c r="AA97" s="11">
        <f t="shared" si="70"/>
        <v>-20</v>
      </c>
      <c r="AB97" s="11">
        <f t="shared" si="70"/>
        <v>-131</v>
      </c>
      <c r="AC97" s="10">
        <f t="shared" si="70"/>
        <v>0</v>
      </c>
      <c r="AD97" s="11">
        <f t="shared" si="70"/>
        <v>-26425</v>
      </c>
      <c r="AE97" s="11">
        <f t="shared" si="70"/>
        <v>2</v>
      </c>
      <c r="AF97" s="11">
        <f t="shared" si="70"/>
        <v>-2</v>
      </c>
      <c r="AG97" s="11">
        <f t="shared" si="70"/>
        <v>454</v>
      </c>
      <c r="AH97" s="11">
        <f t="shared" si="70"/>
        <v>0</v>
      </c>
      <c r="AI97" s="11">
        <f t="shared" ref="AI97:BK97" si="71">AI96-AI94</f>
        <v>0</v>
      </c>
      <c r="AJ97" s="11">
        <f t="shared" si="71"/>
        <v>0</v>
      </c>
      <c r="AK97" s="11">
        <f t="shared" si="71"/>
        <v>-152</v>
      </c>
      <c r="AL97" s="11">
        <f t="shared" si="71"/>
        <v>1054</v>
      </c>
      <c r="AM97" s="11">
        <f t="shared" si="71"/>
        <v>-4266</v>
      </c>
      <c r="AN97" s="11">
        <f t="shared" si="71"/>
        <v>0</v>
      </c>
      <c r="AO97" s="9">
        <f t="shared" si="71"/>
        <v>32917</v>
      </c>
      <c r="AP97" s="276">
        <f t="shared" si="71"/>
        <v>0</v>
      </c>
      <c r="AQ97" s="10">
        <f t="shared" si="71"/>
        <v>0</v>
      </c>
      <c r="AR97" s="11">
        <f t="shared" si="71"/>
        <v>0</v>
      </c>
      <c r="AS97" s="11">
        <f t="shared" si="71"/>
        <v>0</v>
      </c>
      <c r="AT97" s="11">
        <f t="shared" si="71"/>
        <v>0</v>
      </c>
      <c r="AU97" s="11">
        <f t="shared" si="71"/>
        <v>0</v>
      </c>
      <c r="AV97" s="11">
        <f t="shared" si="71"/>
        <v>0</v>
      </c>
      <c r="AW97" s="11">
        <f t="shared" si="71"/>
        <v>0</v>
      </c>
      <c r="AX97" s="11">
        <f t="shared" si="71"/>
        <v>0</v>
      </c>
      <c r="AY97" s="11">
        <f t="shared" si="71"/>
        <v>0</v>
      </c>
      <c r="AZ97" s="11">
        <f t="shared" si="71"/>
        <v>0</v>
      </c>
      <c r="BA97" s="11">
        <f t="shared" si="71"/>
        <v>0</v>
      </c>
      <c r="BB97" s="10">
        <f t="shared" si="71"/>
        <v>0</v>
      </c>
      <c r="BC97" s="11">
        <f t="shared" si="71"/>
        <v>2635</v>
      </c>
      <c r="BD97" s="11">
        <f t="shared" si="71"/>
        <v>2587</v>
      </c>
      <c r="BE97" s="11">
        <f t="shared" si="71"/>
        <v>-6</v>
      </c>
      <c r="BF97" s="11">
        <f t="shared" si="71"/>
        <v>-191</v>
      </c>
      <c r="BG97" s="11">
        <f t="shared" si="71"/>
        <v>19933</v>
      </c>
      <c r="BH97" s="9">
        <f t="shared" si="71"/>
        <v>54965</v>
      </c>
      <c r="BI97" s="45">
        <f t="shared" si="71"/>
        <v>28540</v>
      </c>
      <c r="BJ97" s="11">
        <f t="shared" si="71"/>
        <v>0</v>
      </c>
      <c r="BK97" s="51">
        <f t="shared" si="71"/>
        <v>28540</v>
      </c>
      <c r="BM97" s="30">
        <f>BK97-AD97</f>
        <v>54965</v>
      </c>
    </row>
    <row r="98" spans="1:65" ht="15.75">
      <c r="A98" s="130"/>
      <c r="B98" s="5" t="s">
        <v>125</v>
      </c>
      <c r="C98" s="13">
        <f t="shared" ref="C98:AH98" si="72">C97/C94</f>
        <v>-0.14478183359148961</v>
      </c>
      <c r="D98" s="13">
        <f t="shared" si="72"/>
        <v>-2.4519408992215219E-2</v>
      </c>
      <c r="E98" s="13" t="e">
        <f t="shared" si="72"/>
        <v>#DIV/0!</v>
      </c>
      <c r="F98" s="13">
        <f t="shared" si="72"/>
        <v>-0.2740532959326788</v>
      </c>
      <c r="G98" s="13">
        <f t="shared" si="72"/>
        <v>-0.13165444692381256</v>
      </c>
      <c r="H98" s="13" t="e">
        <f t="shared" si="72"/>
        <v>#DIV/0!</v>
      </c>
      <c r="I98" s="13" t="e">
        <f t="shared" si="72"/>
        <v>#DIV/0!</v>
      </c>
      <c r="J98" s="13" t="e">
        <f t="shared" si="72"/>
        <v>#DIV/0!</v>
      </c>
      <c r="K98" s="13">
        <f t="shared" si="72"/>
        <v>0.28104575163398693</v>
      </c>
      <c r="L98" s="13">
        <f t="shared" si="72"/>
        <v>-1</v>
      </c>
      <c r="M98" s="13">
        <f t="shared" si="72"/>
        <v>-0.27393680209075788</v>
      </c>
      <c r="N98" s="13">
        <f t="shared" si="72"/>
        <v>-1</v>
      </c>
      <c r="O98" s="13">
        <f t="shared" si="72"/>
        <v>0.79220779220779225</v>
      </c>
      <c r="P98" s="13">
        <f t="shared" si="72"/>
        <v>0.34415584415584416</v>
      </c>
      <c r="Q98" s="13" t="e">
        <f t="shared" si="72"/>
        <v>#DIV/0!</v>
      </c>
      <c r="R98" s="13">
        <f t="shared" si="72"/>
        <v>0.65217391304347827</v>
      </c>
      <c r="S98" s="13">
        <f t="shared" si="72"/>
        <v>-0.93477094054873233</v>
      </c>
      <c r="T98" s="13">
        <f t="shared" si="72"/>
        <v>4.3669406181270984</v>
      </c>
      <c r="U98" s="13" t="e">
        <f t="shared" si="72"/>
        <v>#DIV/0!</v>
      </c>
      <c r="V98" s="163" t="e">
        <f t="shared" si="72"/>
        <v>#DIV/0!</v>
      </c>
      <c r="W98" s="13" t="e">
        <f t="shared" si="72"/>
        <v>#DIV/0!</v>
      </c>
      <c r="X98" s="13" t="e">
        <f t="shared" si="72"/>
        <v>#DIV/0!</v>
      </c>
      <c r="Y98" s="13">
        <f t="shared" si="72"/>
        <v>-0.28333333333333333</v>
      </c>
      <c r="Z98" s="13">
        <f t="shared" si="72"/>
        <v>0.33333333333333331</v>
      </c>
      <c r="AA98" s="13">
        <f t="shared" si="72"/>
        <v>-1</v>
      </c>
      <c r="AB98" s="13">
        <f t="shared" si="72"/>
        <v>-1</v>
      </c>
      <c r="AC98" s="14" t="e">
        <f t="shared" si="72"/>
        <v>#DIV/0!</v>
      </c>
      <c r="AD98" s="13">
        <f t="shared" si="72"/>
        <v>-8.0082795154725717E-2</v>
      </c>
      <c r="AE98" s="13">
        <f t="shared" si="72"/>
        <v>-1</v>
      </c>
      <c r="AF98" s="13">
        <f t="shared" si="72"/>
        <v>-0.2857142857142857</v>
      </c>
      <c r="AG98" s="13">
        <f t="shared" si="72"/>
        <v>18.16</v>
      </c>
      <c r="AH98" s="13" t="e">
        <f t="shared" si="72"/>
        <v>#DIV/0!</v>
      </c>
      <c r="AI98" s="13" t="e">
        <f t="shared" ref="AI98:BK98" si="73">AI97/AI94</f>
        <v>#DIV/0!</v>
      </c>
      <c r="AJ98" s="13" t="e">
        <f t="shared" si="73"/>
        <v>#DIV/0!</v>
      </c>
      <c r="AK98" s="13">
        <f t="shared" si="73"/>
        <v>-0.98701298701298701</v>
      </c>
      <c r="AL98" s="13">
        <f t="shared" si="73"/>
        <v>8.6777539930841432E-2</v>
      </c>
      <c r="AM98" s="13">
        <f t="shared" si="73"/>
        <v>-0.70314817867150159</v>
      </c>
      <c r="AN98" s="13" t="e">
        <f t="shared" si="73"/>
        <v>#DIV/0!</v>
      </c>
      <c r="AO98" s="163">
        <f t="shared" si="73"/>
        <v>1.0467120325616892</v>
      </c>
      <c r="AP98" s="277" t="e">
        <f t="shared" si="73"/>
        <v>#DIV/0!</v>
      </c>
      <c r="AQ98" s="14" t="e">
        <f t="shared" si="73"/>
        <v>#DIV/0!</v>
      </c>
      <c r="AR98" s="13" t="e">
        <f t="shared" si="73"/>
        <v>#DIV/0!</v>
      </c>
      <c r="AS98" s="13" t="e">
        <f t="shared" si="73"/>
        <v>#DIV/0!</v>
      </c>
      <c r="AT98" s="13" t="e">
        <f t="shared" si="73"/>
        <v>#DIV/0!</v>
      </c>
      <c r="AU98" s="13" t="e">
        <f t="shared" si="73"/>
        <v>#DIV/0!</v>
      </c>
      <c r="AV98" s="13" t="e">
        <f t="shared" si="73"/>
        <v>#DIV/0!</v>
      </c>
      <c r="AW98" s="13" t="e">
        <f t="shared" si="73"/>
        <v>#DIV/0!</v>
      </c>
      <c r="AX98" s="13" t="e">
        <f t="shared" si="73"/>
        <v>#DIV/0!</v>
      </c>
      <c r="AY98" s="13" t="e">
        <f t="shared" si="73"/>
        <v>#DIV/0!</v>
      </c>
      <c r="AZ98" s="13" t="e">
        <f t="shared" si="73"/>
        <v>#DIV/0!</v>
      </c>
      <c r="BA98" s="13" t="e">
        <f t="shared" si="73"/>
        <v>#DIV/0!</v>
      </c>
      <c r="BB98" s="14" t="e">
        <f t="shared" si="73"/>
        <v>#DIV/0!</v>
      </c>
      <c r="BC98" s="13">
        <f t="shared" si="73"/>
        <v>1.1643835616438356</v>
      </c>
      <c r="BD98" s="13">
        <f t="shared" si="73"/>
        <v>1.1194288186932064</v>
      </c>
      <c r="BE98" s="13">
        <f t="shared" si="73"/>
        <v>-1</v>
      </c>
      <c r="BF98" s="13">
        <f t="shared" si="73"/>
        <v>-0.28507462686567164</v>
      </c>
      <c r="BG98" s="13">
        <f t="shared" si="73"/>
        <v>-0.88183507343832945</v>
      </c>
      <c r="BH98" s="163">
        <f t="shared" si="73"/>
        <v>1.6916992397894801</v>
      </c>
      <c r="BI98" s="46">
        <f t="shared" si="73"/>
        <v>7.8739288532315113E-2</v>
      </c>
      <c r="BJ98" s="13" t="e">
        <f t="shared" si="73"/>
        <v>#DIV/0!</v>
      </c>
      <c r="BK98" s="52">
        <f t="shared" si="73"/>
        <v>7.8739288532315113E-2</v>
      </c>
      <c r="BM98" s="163">
        <f>BM97/BM94</f>
        <v>1.6916992397894801</v>
      </c>
    </row>
    <row r="99" spans="1:65" ht="15.75">
      <c r="A99" s="130"/>
      <c r="B99" s="5" t="s">
        <v>126</v>
      </c>
      <c r="C99" s="11">
        <f>C96-C95</f>
        <v>-4145</v>
      </c>
      <c r="D99" s="11">
        <f t="shared" ref="D99:BK99" si="74">D96-D95</f>
        <v>958</v>
      </c>
      <c r="E99" s="11">
        <f t="shared" si="74"/>
        <v>0</v>
      </c>
      <c r="F99" s="11">
        <f t="shared" si="74"/>
        <v>-169</v>
      </c>
      <c r="G99" s="11">
        <f t="shared" si="74"/>
        <v>-157</v>
      </c>
      <c r="H99" s="11">
        <f t="shared" si="74"/>
        <v>0</v>
      </c>
      <c r="I99" s="11">
        <f t="shared" si="74"/>
        <v>0</v>
      </c>
      <c r="J99" s="11">
        <f t="shared" si="74"/>
        <v>0</v>
      </c>
      <c r="K99" s="11">
        <f t="shared" si="74"/>
        <v>196</v>
      </c>
      <c r="L99" s="11">
        <f t="shared" si="74"/>
        <v>-24</v>
      </c>
      <c r="M99" s="11">
        <f t="shared" si="74"/>
        <v>116</v>
      </c>
      <c r="N99" s="11">
        <f t="shared" si="74"/>
        <v>0</v>
      </c>
      <c r="O99" s="11">
        <f t="shared" si="74"/>
        <v>-132</v>
      </c>
      <c r="P99" s="11">
        <f t="shared" si="74"/>
        <v>-71</v>
      </c>
      <c r="Q99" s="11">
        <f t="shared" si="74"/>
        <v>0</v>
      </c>
      <c r="R99" s="11">
        <f t="shared" si="74"/>
        <v>152</v>
      </c>
      <c r="S99" s="11">
        <f t="shared" si="74"/>
        <v>-37222</v>
      </c>
      <c r="T99" s="11">
        <f t="shared" si="74"/>
        <v>98360</v>
      </c>
      <c r="U99" s="11">
        <f>U96-U95</f>
        <v>0</v>
      </c>
      <c r="V99" s="9">
        <f t="shared" si="74"/>
        <v>0</v>
      </c>
      <c r="W99" s="11">
        <f t="shared" si="74"/>
        <v>0</v>
      </c>
      <c r="X99" s="11">
        <f t="shared" si="74"/>
        <v>0</v>
      </c>
      <c r="Y99" s="11">
        <f t="shared" si="74"/>
        <v>43</v>
      </c>
      <c r="Z99" s="11">
        <f t="shared" si="74"/>
        <v>20</v>
      </c>
      <c r="AA99" s="11">
        <f t="shared" si="74"/>
        <v>0</v>
      </c>
      <c r="AB99" s="11">
        <f>AB96-AB95</f>
        <v>0</v>
      </c>
      <c r="AC99" s="10">
        <f>AC96-AC95</f>
        <v>0</v>
      </c>
      <c r="AD99" s="11">
        <f>AD96-AD95</f>
        <v>57925</v>
      </c>
      <c r="AE99" s="11">
        <f t="shared" si="74"/>
        <v>0</v>
      </c>
      <c r="AF99" s="11">
        <f t="shared" si="74"/>
        <v>-5</v>
      </c>
      <c r="AG99" s="11">
        <f t="shared" si="74"/>
        <v>479</v>
      </c>
      <c r="AH99" s="11">
        <f t="shared" si="74"/>
        <v>0</v>
      </c>
      <c r="AI99" s="11">
        <f t="shared" si="74"/>
        <v>0</v>
      </c>
      <c r="AJ99" s="11">
        <f t="shared" si="74"/>
        <v>0</v>
      </c>
      <c r="AK99" s="11">
        <f t="shared" si="74"/>
        <v>2</v>
      </c>
      <c r="AL99" s="11">
        <f t="shared" si="74"/>
        <v>888</v>
      </c>
      <c r="AM99" s="11">
        <f t="shared" si="74"/>
        <v>9043</v>
      </c>
      <c r="AN99" s="11">
        <f t="shared" si="74"/>
        <v>0</v>
      </c>
      <c r="AO99" s="9">
        <f t="shared" si="74"/>
        <v>33158</v>
      </c>
      <c r="AP99" s="276">
        <f t="shared" si="74"/>
        <v>0</v>
      </c>
      <c r="AQ99" s="10">
        <f t="shared" si="74"/>
        <v>0</v>
      </c>
      <c r="AR99" s="11">
        <f t="shared" si="74"/>
        <v>0</v>
      </c>
      <c r="AS99" s="11">
        <f t="shared" si="74"/>
        <v>0</v>
      </c>
      <c r="AT99" s="11">
        <f t="shared" si="74"/>
        <v>0</v>
      </c>
      <c r="AU99" s="11">
        <f t="shared" si="74"/>
        <v>0</v>
      </c>
      <c r="AV99" s="11">
        <f t="shared" si="74"/>
        <v>0</v>
      </c>
      <c r="AW99" s="11">
        <f t="shared" si="74"/>
        <v>0</v>
      </c>
      <c r="AX99" s="11">
        <f t="shared" si="74"/>
        <v>0</v>
      </c>
      <c r="AY99" s="11">
        <f t="shared" si="74"/>
        <v>-36</v>
      </c>
      <c r="AZ99" s="11">
        <f t="shared" si="74"/>
        <v>0</v>
      </c>
      <c r="BA99" s="11">
        <f t="shared" si="74"/>
        <v>0</v>
      </c>
      <c r="BB99" s="10">
        <f t="shared" si="74"/>
        <v>0</v>
      </c>
      <c r="BC99" s="11">
        <f t="shared" si="74"/>
        <v>2395</v>
      </c>
      <c r="BD99" s="11">
        <f t="shared" si="74"/>
        <v>2395</v>
      </c>
      <c r="BE99" s="11">
        <f t="shared" si="74"/>
        <v>0</v>
      </c>
      <c r="BF99" s="11">
        <f t="shared" si="74"/>
        <v>-135</v>
      </c>
      <c r="BG99" s="11">
        <f t="shared" si="74"/>
        <v>2045</v>
      </c>
      <c r="BH99" s="9">
        <f t="shared" si="74"/>
        <v>50229</v>
      </c>
      <c r="BI99" s="45">
        <f t="shared" si="74"/>
        <v>108154</v>
      </c>
      <c r="BJ99" s="11">
        <f t="shared" si="74"/>
        <v>0</v>
      </c>
      <c r="BK99" s="51">
        <f t="shared" si="74"/>
        <v>108154</v>
      </c>
      <c r="BM99" s="30">
        <f>BK99-AD99</f>
        <v>50229</v>
      </c>
    </row>
    <row r="100" spans="1:65" ht="15.75">
      <c r="A100" s="130"/>
      <c r="B100" s="5" t="s">
        <v>127</v>
      </c>
      <c r="C100" s="13">
        <f t="shared" ref="C100:AH100" si="75">C99/C95</f>
        <v>-0.1240720785440613</v>
      </c>
      <c r="D100" s="13">
        <f t="shared" si="75"/>
        <v>5.4861986026801056E-2</v>
      </c>
      <c r="E100" s="13" t="e">
        <f t="shared" si="75"/>
        <v>#DIV/0!</v>
      </c>
      <c r="F100" s="13">
        <f t="shared" si="75"/>
        <v>-6.1298512876314833E-2</v>
      </c>
      <c r="G100" s="13">
        <f t="shared" si="75"/>
        <v>-5.4494967025338424E-2</v>
      </c>
      <c r="H100" s="13" t="e">
        <f t="shared" si="75"/>
        <v>#DIV/0!</v>
      </c>
      <c r="I100" s="13" t="e">
        <f t="shared" si="75"/>
        <v>#DIV/0!</v>
      </c>
      <c r="J100" s="13" t="e">
        <f t="shared" si="75"/>
        <v>#DIV/0!</v>
      </c>
      <c r="K100" s="13" t="e">
        <f t="shared" si="75"/>
        <v>#DIV/0!</v>
      </c>
      <c r="L100" s="13">
        <f t="shared" si="75"/>
        <v>-1</v>
      </c>
      <c r="M100" s="13">
        <f t="shared" si="75"/>
        <v>3.9455782312925167E-2</v>
      </c>
      <c r="N100" s="13" t="e">
        <f t="shared" si="75"/>
        <v>#DIV/0!</v>
      </c>
      <c r="O100" s="13">
        <f t="shared" si="75"/>
        <v>-0.48888888888888887</v>
      </c>
      <c r="P100" s="13">
        <f t="shared" si="75"/>
        <v>-0.10260115606936417</v>
      </c>
      <c r="Q100" s="13" t="e">
        <f t="shared" si="75"/>
        <v>#DIV/0!</v>
      </c>
      <c r="R100" s="13">
        <f t="shared" si="75"/>
        <v>4</v>
      </c>
      <c r="S100" s="13">
        <f t="shared" si="75"/>
        <v>-0.72018419626963859</v>
      </c>
      <c r="T100" s="13">
        <f t="shared" si="75"/>
        <v>0.7369722399130858</v>
      </c>
      <c r="U100" s="13" t="e">
        <f t="shared" si="75"/>
        <v>#DIV/0!</v>
      </c>
      <c r="V100" s="163" t="e">
        <f t="shared" si="75"/>
        <v>#DIV/0!</v>
      </c>
      <c r="W100" s="13" t="e">
        <f t="shared" si="75"/>
        <v>#DIV/0!</v>
      </c>
      <c r="X100" s="13" t="e">
        <f t="shared" si="75"/>
        <v>#DIV/0!</v>
      </c>
      <c r="Y100" s="13" t="e">
        <f t="shared" si="75"/>
        <v>#DIV/0!</v>
      </c>
      <c r="Z100" s="13" t="e">
        <f t="shared" si="75"/>
        <v>#DIV/0!</v>
      </c>
      <c r="AA100" s="13" t="e">
        <f t="shared" si="75"/>
        <v>#DIV/0!</v>
      </c>
      <c r="AB100" s="13" t="e">
        <f t="shared" si="75"/>
        <v>#DIV/0!</v>
      </c>
      <c r="AC100" s="14" t="e">
        <f t="shared" si="75"/>
        <v>#DIV/0!</v>
      </c>
      <c r="AD100" s="13">
        <f t="shared" si="75"/>
        <v>0.23583081251195948</v>
      </c>
      <c r="AE100" s="13" t="e">
        <f t="shared" si="75"/>
        <v>#DIV/0!</v>
      </c>
      <c r="AF100" s="13">
        <f t="shared" si="75"/>
        <v>-0.5</v>
      </c>
      <c r="AG100" s="13" t="e">
        <f t="shared" si="75"/>
        <v>#DIV/0!</v>
      </c>
      <c r="AH100" s="13" t="e">
        <f t="shared" si="75"/>
        <v>#DIV/0!</v>
      </c>
      <c r="AI100" s="13" t="e">
        <f t="shared" ref="AI100:BK100" si="76">AI99/AI95</f>
        <v>#DIV/0!</v>
      </c>
      <c r="AJ100" s="13" t="e">
        <f t="shared" si="76"/>
        <v>#DIV/0!</v>
      </c>
      <c r="AK100" s="13" t="e">
        <f t="shared" si="76"/>
        <v>#DIV/0!</v>
      </c>
      <c r="AL100" s="13">
        <f t="shared" si="76"/>
        <v>7.2124756335282647E-2</v>
      </c>
      <c r="AM100" s="13">
        <f t="shared" si="76"/>
        <v>-1.2486882076774373</v>
      </c>
      <c r="AN100" s="13" t="e">
        <f t="shared" si="76"/>
        <v>#DIV/0!</v>
      </c>
      <c r="AO100" s="163">
        <f t="shared" si="76"/>
        <v>1.0625180248021278</v>
      </c>
      <c r="AP100" s="277" t="e">
        <f t="shared" si="76"/>
        <v>#DIV/0!</v>
      </c>
      <c r="AQ100" s="14" t="e">
        <f t="shared" si="76"/>
        <v>#DIV/0!</v>
      </c>
      <c r="AR100" s="13" t="e">
        <f t="shared" si="76"/>
        <v>#DIV/0!</v>
      </c>
      <c r="AS100" s="13" t="e">
        <f t="shared" si="76"/>
        <v>#DIV/0!</v>
      </c>
      <c r="AT100" s="13" t="e">
        <f t="shared" si="76"/>
        <v>#DIV/0!</v>
      </c>
      <c r="AU100" s="13" t="e">
        <f t="shared" si="76"/>
        <v>#DIV/0!</v>
      </c>
      <c r="AV100" s="13" t="e">
        <f t="shared" si="76"/>
        <v>#DIV/0!</v>
      </c>
      <c r="AW100" s="13" t="e">
        <f t="shared" si="76"/>
        <v>#DIV/0!</v>
      </c>
      <c r="AX100" s="13" t="e">
        <f t="shared" si="76"/>
        <v>#DIV/0!</v>
      </c>
      <c r="AY100" s="13">
        <f t="shared" si="76"/>
        <v>-1</v>
      </c>
      <c r="AZ100" s="13" t="e">
        <f t="shared" si="76"/>
        <v>#DIV/0!</v>
      </c>
      <c r="BA100" s="13" t="e">
        <f t="shared" si="76"/>
        <v>#DIV/0!</v>
      </c>
      <c r="BB100" s="14" t="e">
        <f t="shared" si="76"/>
        <v>#DIV/0!</v>
      </c>
      <c r="BC100" s="13">
        <f t="shared" si="76"/>
        <v>0.95685177786656017</v>
      </c>
      <c r="BD100" s="13">
        <f t="shared" si="76"/>
        <v>0.95685177786656017</v>
      </c>
      <c r="BE100" s="13" t="e">
        <f t="shared" si="76"/>
        <v>#DIV/0!</v>
      </c>
      <c r="BF100" s="13">
        <f t="shared" si="76"/>
        <v>-0.21986970684039087</v>
      </c>
      <c r="BG100" s="13">
        <f t="shared" si="76"/>
        <v>-0.43363019508057676</v>
      </c>
      <c r="BH100" s="163">
        <f t="shared" si="76"/>
        <v>1.3492626319606738</v>
      </c>
      <c r="BI100" s="46">
        <f t="shared" si="76"/>
        <v>0.38237498585812874</v>
      </c>
      <c r="BJ100" s="13" t="e">
        <f t="shared" si="76"/>
        <v>#DIV/0!</v>
      </c>
      <c r="BK100" s="52">
        <f t="shared" si="76"/>
        <v>0.38237498585812874</v>
      </c>
      <c r="BM100" s="14">
        <f>BM99/BM95</f>
        <v>1.3492626319606738</v>
      </c>
    </row>
    <row r="101" spans="1:65" ht="15.75">
      <c r="A101" s="130"/>
      <c r="B101" s="5" t="s">
        <v>323</v>
      </c>
      <c r="C101" s="128">
        <f>C96/C93</f>
        <v>0.16249368360847813</v>
      </c>
      <c r="D101" s="128">
        <f t="shared" ref="D101:BK101" si="77">D96/D93</f>
        <v>0.18533984001609902</v>
      </c>
      <c r="E101" s="128" t="e">
        <f t="shared" si="77"/>
        <v>#DIV/0!</v>
      </c>
      <c r="F101" s="128">
        <f t="shared" si="77"/>
        <v>0.137886941232884</v>
      </c>
      <c r="G101" s="128">
        <f t="shared" si="77"/>
        <v>0.16501090380421612</v>
      </c>
      <c r="H101" s="128" t="e">
        <f t="shared" si="77"/>
        <v>#DIV/0!</v>
      </c>
      <c r="I101" s="128" t="e">
        <f t="shared" si="77"/>
        <v>#DIV/0!</v>
      </c>
      <c r="J101" s="128" t="e">
        <f t="shared" si="77"/>
        <v>#DIV/0!</v>
      </c>
      <c r="K101" s="128">
        <f t="shared" si="77"/>
        <v>0.24408468244084683</v>
      </c>
      <c r="L101" s="128">
        <f t="shared" si="77"/>
        <v>0</v>
      </c>
      <c r="M101" s="128">
        <f t="shared" si="77"/>
        <v>0.13793726021214173</v>
      </c>
      <c r="N101" s="128">
        <f t="shared" si="77"/>
        <v>0</v>
      </c>
      <c r="O101" s="128">
        <f t="shared" si="77"/>
        <v>0.34328358208955223</v>
      </c>
      <c r="P101" s="128">
        <f t="shared" si="77"/>
        <v>0.25503080082135526</v>
      </c>
      <c r="Q101" s="128" t="e">
        <f t="shared" si="77"/>
        <v>#DIV/0!</v>
      </c>
      <c r="R101" s="128">
        <f t="shared" si="77"/>
        <v>0.31719532554257096</v>
      </c>
      <c r="S101" s="128">
        <f t="shared" si="77"/>
        <v>3.2614309071432597E-2</v>
      </c>
      <c r="T101" s="128">
        <f t="shared" si="77"/>
        <v>1.0197057335767226</v>
      </c>
      <c r="U101" s="128" t="e">
        <f t="shared" si="77"/>
        <v>#DIV/0!</v>
      </c>
      <c r="V101" s="178" t="e">
        <f t="shared" si="77"/>
        <v>#DIV/0!</v>
      </c>
      <c r="W101" s="128" t="e">
        <f t="shared" si="77"/>
        <v>#DIV/0!</v>
      </c>
      <c r="X101" s="128" t="e">
        <f t="shared" si="77"/>
        <v>#DIV/0!</v>
      </c>
      <c r="Y101" s="128">
        <f t="shared" si="77"/>
        <v>0.13650793650793649</v>
      </c>
      <c r="Z101" s="128">
        <f t="shared" si="77"/>
        <v>0.25316455696202533</v>
      </c>
      <c r="AA101" s="128">
        <f t="shared" si="77"/>
        <v>0</v>
      </c>
      <c r="AB101" s="128">
        <f>AB96/AB93</f>
        <v>0</v>
      </c>
      <c r="AC101" s="217" t="e">
        <f t="shared" si="77"/>
        <v>#DIV/0!</v>
      </c>
      <c r="AD101" s="128">
        <f t="shared" si="77"/>
        <v>0.29958725402530956</v>
      </c>
      <c r="AE101" s="128">
        <f t="shared" si="77"/>
        <v>0</v>
      </c>
      <c r="AF101" s="128">
        <f t="shared" si="77"/>
        <v>0.17241379310344829</v>
      </c>
      <c r="AG101" s="128">
        <f t="shared" si="77"/>
        <v>4.650485436893204</v>
      </c>
      <c r="AH101" s="128" t="e">
        <f t="shared" si="77"/>
        <v>#DIV/0!</v>
      </c>
      <c r="AI101" s="128" t="e">
        <f t="shared" si="77"/>
        <v>#DIV/0!</v>
      </c>
      <c r="AJ101" s="128" t="e">
        <f t="shared" si="77"/>
        <v>#DIV/0!</v>
      </c>
      <c r="AK101" s="128">
        <f t="shared" si="77"/>
        <v>3.1250000000000002E-3</v>
      </c>
      <c r="AL101" s="128">
        <f t="shared" si="77"/>
        <v>0.2608128667680939</v>
      </c>
      <c r="AM101" s="128">
        <f t="shared" si="77"/>
        <v>7.1253362873872447E-2</v>
      </c>
      <c r="AN101" s="128" t="e">
        <f t="shared" si="77"/>
        <v>#DIV/0!</v>
      </c>
      <c r="AO101" s="178">
        <f t="shared" si="77"/>
        <v>0.49124212936462508</v>
      </c>
      <c r="AP101" s="278" t="e">
        <f t="shared" si="77"/>
        <v>#DIV/0!</v>
      </c>
      <c r="AQ101" s="217" t="e">
        <f t="shared" si="77"/>
        <v>#DIV/0!</v>
      </c>
      <c r="AR101" s="128" t="e">
        <f t="shared" si="77"/>
        <v>#DIV/0!</v>
      </c>
      <c r="AS101" s="128" t="e">
        <f t="shared" si="77"/>
        <v>#DIV/0!</v>
      </c>
      <c r="AT101" s="128" t="e">
        <f t="shared" si="77"/>
        <v>#DIV/0!</v>
      </c>
      <c r="AU101" s="128" t="e">
        <f t="shared" si="77"/>
        <v>#DIV/0!</v>
      </c>
      <c r="AV101" s="128" t="e">
        <f t="shared" si="77"/>
        <v>#DIV/0!</v>
      </c>
      <c r="AW101" s="128" t="e">
        <f t="shared" si="77"/>
        <v>#DIV/0!</v>
      </c>
      <c r="AX101" s="128">
        <f t="shared" si="77"/>
        <v>0</v>
      </c>
      <c r="AY101" s="128" t="e">
        <f t="shared" si="77"/>
        <v>#DIV/0!</v>
      </c>
      <c r="AZ101" s="128" t="e">
        <f t="shared" si="77"/>
        <v>#DIV/0!</v>
      </c>
      <c r="BA101" s="128" t="e">
        <f t="shared" si="77"/>
        <v>#DIV/0!</v>
      </c>
      <c r="BB101" s="217" t="e">
        <f t="shared" si="77"/>
        <v>#DIV/0!</v>
      </c>
      <c r="BC101" s="128">
        <f t="shared" si="77"/>
        <v>0.51929601357082278</v>
      </c>
      <c r="BD101" s="128">
        <f t="shared" si="77"/>
        <v>0.5085132890365448</v>
      </c>
      <c r="BE101" s="128">
        <f t="shared" si="77"/>
        <v>0</v>
      </c>
      <c r="BF101" s="128">
        <f t="shared" si="77"/>
        <v>0.17162307416696523</v>
      </c>
      <c r="BG101" s="128">
        <f t="shared" si="77"/>
        <v>2.8357274049537643E-2</v>
      </c>
      <c r="BH101" s="178">
        <f t="shared" si="77"/>
        <v>0.64606588016281663</v>
      </c>
      <c r="BI101" s="128">
        <f t="shared" si="77"/>
        <v>0.34042179001742151</v>
      </c>
      <c r="BJ101" s="128" t="e">
        <f t="shared" si="77"/>
        <v>#DIV/0!</v>
      </c>
      <c r="BK101" s="128">
        <f t="shared" si="77"/>
        <v>0.34042179001742151</v>
      </c>
      <c r="BM101" s="128">
        <f>BM96/BM93</f>
        <v>0.64606588016281663</v>
      </c>
    </row>
    <row r="102" spans="1:65" s="181" customFormat="1" ht="15.75">
      <c r="A102" s="130"/>
      <c r="B102" s="5" t="s">
        <v>322</v>
      </c>
      <c r="C102" s="11">
        <f>C93-C96</f>
        <v>150824</v>
      </c>
      <c r="D102" s="11">
        <f t="shared" ref="D102:BK102" si="78">D93-D96</f>
        <v>80965</v>
      </c>
      <c r="E102" s="11">
        <f t="shared" si="78"/>
        <v>0</v>
      </c>
      <c r="F102" s="11">
        <f t="shared" si="78"/>
        <v>16181</v>
      </c>
      <c r="G102" s="11">
        <f t="shared" si="78"/>
        <v>13784</v>
      </c>
      <c r="H102" s="11">
        <f t="shared" si="78"/>
        <v>0</v>
      </c>
      <c r="I102" s="11">
        <f t="shared" si="78"/>
        <v>0</v>
      </c>
      <c r="J102" s="11">
        <f t="shared" si="78"/>
        <v>0</v>
      </c>
      <c r="K102" s="11">
        <f t="shared" si="78"/>
        <v>607</v>
      </c>
      <c r="L102" s="11">
        <f t="shared" si="78"/>
        <v>99</v>
      </c>
      <c r="M102" s="11">
        <f t="shared" si="78"/>
        <v>19099</v>
      </c>
      <c r="N102" s="11">
        <f t="shared" si="78"/>
        <v>16</v>
      </c>
      <c r="O102" s="11">
        <f t="shared" si="78"/>
        <v>264</v>
      </c>
      <c r="P102" s="11">
        <f t="shared" si="78"/>
        <v>1814</v>
      </c>
      <c r="Q102" s="11">
        <f t="shared" si="78"/>
        <v>0</v>
      </c>
      <c r="R102" s="11">
        <f t="shared" si="78"/>
        <v>409</v>
      </c>
      <c r="S102" s="11">
        <f t="shared" si="78"/>
        <v>428963</v>
      </c>
      <c r="T102" s="11">
        <f t="shared" si="78"/>
        <v>-4480</v>
      </c>
      <c r="U102" s="11">
        <f t="shared" si="78"/>
        <v>0</v>
      </c>
      <c r="V102" s="11">
        <f t="shared" si="78"/>
        <v>0</v>
      </c>
      <c r="W102" s="11">
        <f t="shared" si="78"/>
        <v>0</v>
      </c>
      <c r="X102" s="11">
        <f t="shared" si="78"/>
        <v>0</v>
      </c>
      <c r="Y102" s="11">
        <f t="shared" si="78"/>
        <v>272</v>
      </c>
      <c r="Z102" s="11">
        <f t="shared" si="78"/>
        <v>59</v>
      </c>
      <c r="AA102" s="11">
        <f t="shared" si="78"/>
        <v>105</v>
      </c>
      <c r="AB102" s="11">
        <f t="shared" si="78"/>
        <v>687</v>
      </c>
      <c r="AC102" s="11">
        <f t="shared" si="78"/>
        <v>0</v>
      </c>
      <c r="AD102" s="11">
        <f t="shared" si="78"/>
        <v>709668</v>
      </c>
      <c r="AE102" s="11">
        <f t="shared" si="78"/>
        <v>-8</v>
      </c>
      <c r="AF102" s="11">
        <f t="shared" si="78"/>
        <v>24</v>
      </c>
      <c r="AG102" s="11">
        <f t="shared" si="78"/>
        <v>-376</v>
      </c>
      <c r="AH102" s="11">
        <f t="shared" si="78"/>
        <v>0</v>
      </c>
      <c r="AI102" s="11">
        <f t="shared" si="78"/>
        <v>0</v>
      </c>
      <c r="AJ102" s="11">
        <f t="shared" si="78"/>
        <v>0</v>
      </c>
      <c r="AK102" s="11">
        <f t="shared" si="78"/>
        <v>638</v>
      </c>
      <c r="AL102" s="11">
        <f t="shared" si="78"/>
        <v>37411</v>
      </c>
      <c r="AM102" s="11">
        <f t="shared" si="78"/>
        <v>23475</v>
      </c>
      <c r="AN102" s="11">
        <f t="shared" si="78"/>
        <v>0</v>
      </c>
      <c r="AO102" s="11">
        <f t="shared" si="78"/>
        <v>66660</v>
      </c>
      <c r="AP102" s="276">
        <f t="shared" si="78"/>
        <v>0</v>
      </c>
      <c r="AQ102" s="11">
        <f t="shared" si="78"/>
        <v>0</v>
      </c>
      <c r="AR102" s="11">
        <f t="shared" si="78"/>
        <v>0</v>
      </c>
      <c r="AS102" s="11">
        <f t="shared" si="78"/>
        <v>0</v>
      </c>
      <c r="AT102" s="11">
        <f t="shared" si="78"/>
        <v>0</v>
      </c>
      <c r="AU102" s="11">
        <f t="shared" si="78"/>
        <v>0</v>
      </c>
      <c r="AV102" s="11">
        <f t="shared" si="78"/>
        <v>0</v>
      </c>
      <c r="AW102" s="11">
        <f t="shared" si="78"/>
        <v>0</v>
      </c>
      <c r="AX102" s="11">
        <f t="shared" si="78"/>
        <v>1</v>
      </c>
      <c r="AY102" s="11">
        <f t="shared" si="78"/>
        <v>0</v>
      </c>
      <c r="AZ102" s="11">
        <f t="shared" si="78"/>
        <v>0</v>
      </c>
      <c r="BA102" s="11">
        <f t="shared" si="78"/>
        <v>0</v>
      </c>
      <c r="BB102" s="11">
        <f t="shared" si="78"/>
        <v>0</v>
      </c>
      <c r="BC102" s="11">
        <f t="shared" si="78"/>
        <v>4534</v>
      </c>
      <c r="BD102" s="11">
        <f t="shared" si="78"/>
        <v>4734</v>
      </c>
      <c r="BE102" s="11">
        <f t="shared" si="78"/>
        <v>26</v>
      </c>
      <c r="BF102" s="11">
        <f t="shared" si="78"/>
        <v>2312</v>
      </c>
      <c r="BG102" s="11">
        <f t="shared" si="78"/>
        <v>-91520</v>
      </c>
      <c r="BH102" s="11">
        <f t="shared" si="78"/>
        <v>47911</v>
      </c>
      <c r="BI102" s="11">
        <f t="shared" si="78"/>
        <v>757579</v>
      </c>
      <c r="BJ102" s="11">
        <f t="shared" si="78"/>
        <v>0</v>
      </c>
      <c r="BK102" s="11">
        <f t="shared" si="78"/>
        <v>757579</v>
      </c>
      <c r="BL102" s="11">
        <f>BL96-BL93</f>
        <v>391001</v>
      </c>
      <c r="BM102" s="11">
        <f>BM96-BM93</f>
        <v>-47911</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279"/>
      <c r="AQ103" s="6"/>
      <c r="AR103" s="5"/>
      <c r="AS103" s="5"/>
      <c r="AT103" s="5"/>
      <c r="AU103" s="5"/>
      <c r="AV103" s="5"/>
      <c r="AW103" s="6"/>
      <c r="AX103" s="5"/>
      <c r="AY103" s="5"/>
      <c r="AZ103" s="5"/>
      <c r="BA103" s="5"/>
      <c r="BB103" s="6"/>
      <c r="BC103" s="5"/>
      <c r="BD103" s="5"/>
      <c r="BE103" s="5"/>
      <c r="BF103" s="5"/>
      <c r="BG103" s="5"/>
      <c r="BH103" s="16"/>
      <c r="BI103" s="44"/>
      <c r="BJ103" s="5"/>
      <c r="BK103" s="50"/>
    </row>
    <row r="104" spans="1:65" s="179" customFormat="1" ht="15.75">
      <c r="A104" s="269" t="s">
        <v>39</v>
      </c>
      <c r="B104" s="9" t="s">
        <v>316</v>
      </c>
      <c r="C104" s="225">
        <v>426652</v>
      </c>
      <c r="D104" s="225">
        <v>231427</v>
      </c>
      <c r="E104" s="225"/>
      <c r="F104" s="225">
        <v>56224</v>
      </c>
      <c r="G104" s="225">
        <v>36224</v>
      </c>
      <c r="H104" s="225"/>
      <c r="I104" s="225"/>
      <c r="J104" s="225"/>
      <c r="K104" s="225"/>
      <c r="L104" s="225">
        <v>626</v>
      </c>
      <c r="M104" s="225">
        <v>50623</v>
      </c>
      <c r="N104" s="225">
        <v>538</v>
      </c>
      <c r="O104" s="225">
        <v>2675</v>
      </c>
      <c r="P104" s="225">
        <v>49015</v>
      </c>
      <c r="Q104" s="225"/>
      <c r="R104" s="225">
        <v>1231</v>
      </c>
      <c r="S104" s="225"/>
      <c r="T104" s="225"/>
      <c r="U104" s="225"/>
      <c r="V104" s="225"/>
      <c r="W104" s="225"/>
      <c r="X104" s="225"/>
      <c r="Y104" s="225">
        <v>2795</v>
      </c>
      <c r="Z104" s="225">
        <v>879</v>
      </c>
      <c r="AA104" s="225">
        <v>932</v>
      </c>
      <c r="AB104" s="225">
        <v>6</v>
      </c>
      <c r="AC104" s="225"/>
      <c r="AD104" s="226">
        <f>SUM(C104:AC104)</f>
        <v>859847</v>
      </c>
      <c r="AE104" s="225">
        <v>158</v>
      </c>
      <c r="AF104" s="225">
        <v>137</v>
      </c>
      <c r="AG104" s="225">
        <v>1</v>
      </c>
      <c r="AH104" s="225"/>
      <c r="AI104" s="225"/>
      <c r="AJ104" s="225"/>
      <c r="AK104" s="225">
        <v>1353</v>
      </c>
      <c r="AL104" s="225">
        <v>5638</v>
      </c>
      <c r="AM104" s="225"/>
      <c r="AN104" s="225"/>
      <c r="AO104" s="225">
        <v>31261</v>
      </c>
      <c r="AP104" s="274"/>
      <c r="AQ104" s="225"/>
      <c r="AR104" s="225"/>
      <c r="AS104" s="225"/>
      <c r="AT104" s="225"/>
      <c r="AU104" s="225"/>
      <c r="AV104" s="225"/>
      <c r="AW104" s="225"/>
      <c r="AX104" s="225"/>
      <c r="AY104" s="225"/>
      <c r="AZ104" s="225"/>
      <c r="BA104" s="225"/>
      <c r="BB104" s="225"/>
      <c r="BC104" s="225">
        <v>299</v>
      </c>
      <c r="BD104" s="225">
        <v>308</v>
      </c>
      <c r="BE104" s="225">
        <v>22</v>
      </c>
      <c r="BF104" s="225">
        <v>1403</v>
      </c>
      <c r="BG104" s="231">
        <v>38371</v>
      </c>
      <c r="BH104" s="226">
        <f>SUM(AE104:BG104)</f>
        <v>78951</v>
      </c>
      <c r="BI104" s="125">
        <f>AD104+BH104</f>
        <v>938798</v>
      </c>
      <c r="BJ104" s="230">
        <v>0</v>
      </c>
      <c r="BK104" s="226">
        <f>BI104-BJ104</f>
        <v>938798</v>
      </c>
      <c r="BM104" s="228">
        <f>BK104-AD104</f>
        <v>78951</v>
      </c>
    </row>
    <row r="105" spans="1:65" s="41" customFormat="1" ht="15.75">
      <c r="A105" s="136"/>
      <c r="B105" s="234" t="s">
        <v>317</v>
      </c>
      <c r="C105" s="10">
        <v>81064</v>
      </c>
      <c r="D105" s="10">
        <v>43971</v>
      </c>
      <c r="E105" s="10"/>
      <c r="F105" s="10">
        <v>10683</v>
      </c>
      <c r="G105" s="10">
        <v>6882</v>
      </c>
      <c r="H105" s="10"/>
      <c r="I105" s="10"/>
      <c r="J105" s="10"/>
      <c r="K105" s="10"/>
      <c r="L105" s="10">
        <v>119</v>
      </c>
      <c r="M105" s="10">
        <v>9618</v>
      </c>
      <c r="N105" s="10">
        <v>103</v>
      </c>
      <c r="O105" s="10">
        <v>508</v>
      </c>
      <c r="P105" s="10">
        <v>9313</v>
      </c>
      <c r="Q105" s="10"/>
      <c r="R105" s="10">
        <v>234</v>
      </c>
      <c r="S105" s="10"/>
      <c r="T105" s="10"/>
      <c r="U105" s="10"/>
      <c r="V105" s="10"/>
      <c r="W105" s="10"/>
      <c r="X105" s="10"/>
      <c r="Y105" s="10">
        <v>531</v>
      </c>
      <c r="Z105" s="10">
        <v>167</v>
      </c>
      <c r="AA105" s="10">
        <v>177</v>
      </c>
      <c r="AB105" s="10">
        <v>1</v>
      </c>
      <c r="AC105" s="10"/>
      <c r="AD105" s="123">
        <f>SUM(C105:AC105)</f>
        <v>163371</v>
      </c>
      <c r="AE105" s="10">
        <v>38</v>
      </c>
      <c r="AF105" s="10">
        <v>33</v>
      </c>
      <c r="AG105" s="10">
        <v>0</v>
      </c>
      <c r="AH105" s="10"/>
      <c r="AI105" s="10"/>
      <c r="AJ105" s="10"/>
      <c r="AK105" s="10">
        <v>325</v>
      </c>
      <c r="AL105" s="10">
        <v>1354</v>
      </c>
      <c r="AM105" s="10"/>
      <c r="AN105" s="10"/>
      <c r="AO105" s="10">
        <v>7502</v>
      </c>
      <c r="AP105" s="250"/>
      <c r="AQ105" s="10"/>
      <c r="AR105" s="10"/>
      <c r="AS105" s="10"/>
      <c r="AT105" s="10"/>
      <c r="AU105" s="10"/>
      <c r="AV105" s="10"/>
      <c r="AW105" s="10"/>
      <c r="AX105" s="10"/>
      <c r="AY105" s="10"/>
      <c r="AZ105" s="10"/>
      <c r="BA105" s="10"/>
      <c r="BB105" s="10"/>
      <c r="BC105" s="10">
        <v>72</v>
      </c>
      <c r="BD105" s="10">
        <v>74</v>
      </c>
      <c r="BE105" s="10">
        <v>5</v>
      </c>
      <c r="BF105" s="10">
        <v>337</v>
      </c>
      <c r="BG105" s="10">
        <v>9209</v>
      </c>
      <c r="BH105" s="10">
        <f>SUM(AE105:BG105)</f>
        <v>18949</v>
      </c>
      <c r="BI105" s="219">
        <f>AD105+BH105</f>
        <v>182320</v>
      </c>
      <c r="BJ105" s="250">
        <v>0</v>
      </c>
      <c r="BK105" s="10">
        <f>BI105-BJ105</f>
        <v>182320</v>
      </c>
      <c r="BL105" s="41">
        <f>'[1]Upto Month Current'!$K$61</f>
        <v>225057</v>
      </c>
      <c r="BM105" s="218">
        <f>BK105-AD105</f>
        <v>18949</v>
      </c>
    </row>
    <row r="106" spans="1:65" ht="15.75">
      <c r="A106" s="130"/>
      <c r="B106" s="12" t="s">
        <v>318</v>
      </c>
      <c r="C106" s="9">
        <f>IF('Upto Month COPPY'!$K$4="",0,'Upto Month COPPY'!$K$4)</f>
        <v>72635</v>
      </c>
      <c r="D106" s="9">
        <f>IF('Upto Month COPPY'!$K$5="",0,'Upto Month COPPY'!$K$5)</f>
        <v>36580</v>
      </c>
      <c r="E106" s="9">
        <f>IF('Upto Month COPPY'!$K$6="",0,'Upto Month COPPY'!$K$6)</f>
        <v>23</v>
      </c>
      <c r="F106" s="9">
        <f>IF('Upto Month COPPY'!$K$7="",0,'Upto Month COPPY'!$K$7)</f>
        <v>7300</v>
      </c>
      <c r="G106" s="9">
        <f>IF('Upto Month COPPY'!$K$8="",0,'Upto Month COPPY'!$K$8)</f>
        <v>5324</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378</v>
      </c>
      <c r="M106" s="9">
        <f>IF('Upto Month COPPY'!$K$14="",0,'Upto Month COPPY'!$K$14)</f>
        <v>5535</v>
      </c>
      <c r="N106" s="9">
        <f>IF('Upto Month COPPY'!$K$15="",0,'Upto Month COPPY'!$K$15)</f>
        <v>15</v>
      </c>
      <c r="O106" s="9">
        <f>IF('Upto Month COPPY'!$K$16="",0,'Upto Month COPPY'!$K$16)</f>
        <v>1113</v>
      </c>
      <c r="P106" s="9">
        <f>IF('Upto Month COPPY'!$K$17="",0,'Upto Month COPPY'!$K$17)</f>
        <v>17682</v>
      </c>
      <c r="Q106" s="9">
        <f>IF('Upto Month COPPY'!$K$18="",0,'Upto Month COPPY'!$K$18)</f>
        <v>0</v>
      </c>
      <c r="R106" s="9">
        <f>IF('Upto Month COPPY'!$K$21="",0,'Upto Month COPPY'!$K$21)</f>
        <v>455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876</v>
      </c>
      <c r="Z106" s="9">
        <f>IF('Upto Month COPPY'!$K$43="",0,'Upto Month COPPY'!$K$43)</f>
        <v>268</v>
      </c>
      <c r="AA106" s="9">
        <f>IF('Upto Month COPPY'!$K$44="",0,'Upto Month COPPY'!$K$44)</f>
        <v>922</v>
      </c>
      <c r="AB106" s="9">
        <f>IF('Upto Month COPPY'!$K$48="",0,'Upto Month COPPY'!$K$48)</f>
        <v>0</v>
      </c>
      <c r="AC106" s="10">
        <f>IF('Upto Month COPPY'!$K$51="",0,'Upto Month COPPY'!$K$51)</f>
        <v>0</v>
      </c>
      <c r="AD106" s="123">
        <f>SUM(C106:AC106)</f>
        <v>149106</v>
      </c>
      <c r="AE106" s="9">
        <f>IF('Upto Month COPPY'!$K$19="",0,'Upto Month COPPY'!$K$19)</f>
        <v>0</v>
      </c>
      <c r="AF106" s="9">
        <f>IF('Upto Month COPPY'!$K$20="",0,'Upto Month COPPY'!$K$20)</f>
        <v>38</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0</v>
      </c>
      <c r="AL106" s="9">
        <f>IF('Upto Month COPPY'!$K$29="",0,'Upto Month COPPY'!$K$29)</f>
        <v>653</v>
      </c>
      <c r="AM106" s="9">
        <f>IF('Upto Month COPPY'!$K$31="",0,'Upto Month COPPY'!$K$31)</f>
        <v>0</v>
      </c>
      <c r="AN106" s="9">
        <f>IF('Upto Month COPPY'!$K$32="",0,'Upto Month COPPY'!$K$32)</f>
        <v>0</v>
      </c>
      <c r="AO106" s="9">
        <f>IF('Upto Month COPPY'!$K$33="",0,'Upto Month COPPY'!$K$33)</f>
        <v>3347</v>
      </c>
      <c r="AP106" s="275">
        <f>IF('Upto Month COPPY'!$K$34="",0,'Upto Month COPPY'!$K$34)</f>
        <v>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59</v>
      </c>
      <c r="BD106" s="9">
        <f>IF('Upto Month COPPY'!$K$54="",0,'Upto Month COPPY'!$K$54)</f>
        <v>59</v>
      </c>
      <c r="BE106" s="9">
        <f>IF('Upto Month COPPY'!$K$55="",0,'Upto Month COPPY'!$K$55)</f>
        <v>0</v>
      </c>
      <c r="BF106" s="9">
        <f>IF('Upto Month COPPY'!$K$56="",0,'Upto Month COPPY'!$K$56)</f>
        <v>5</v>
      </c>
      <c r="BG106" s="9">
        <f>IF('Upto Month COPPY'!$K$58="",0,'Upto Month COPPY'!$K$58)</f>
        <v>6108</v>
      </c>
      <c r="BH106" s="9">
        <f>SUM(AE106:BG106)</f>
        <v>10269</v>
      </c>
      <c r="BI106" s="127">
        <f>AD106+BH106</f>
        <v>159375</v>
      </c>
      <c r="BJ106" s="9">
        <f>IF('Upto Month COPPY'!$K$60="",0,'Upto Month COPPY'!$K$60)</f>
        <v>0</v>
      </c>
      <c r="BK106" s="51">
        <f>BI106-BJ106</f>
        <v>159375</v>
      </c>
      <c r="BL106">
        <f>'Upto Month COPPY'!$K$61</f>
        <v>159374</v>
      </c>
      <c r="BM106" s="30">
        <f>BK106-AD106</f>
        <v>10269</v>
      </c>
    </row>
    <row r="107" spans="1:65" ht="16.5" customHeight="1">
      <c r="A107" s="130"/>
      <c r="B107" s="183" t="s">
        <v>319</v>
      </c>
      <c r="C107" s="9">
        <f>IF('Upto Month Current'!$K$4="",0,'Upto Month Current'!$K$4)</f>
        <v>68271</v>
      </c>
      <c r="D107" s="9">
        <f>IF('Upto Month Current'!$K$5="",0,'Upto Month Current'!$K$5)</f>
        <v>40427</v>
      </c>
      <c r="E107" s="9">
        <f>IF('Upto Month Current'!$K$6="",0,'Upto Month Current'!$K$6)</f>
        <v>0</v>
      </c>
      <c r="F107" s="9">
        <f>IF('Upto Month Current'!$K$7="",0,'Upto Month Current'!$K$7)</f>
        <v>7441</v>
      </c>
      <c r="G107" s="9">
        <f>IF('Upto Month Current'!$K$8="",0,'Upto Month Current'!$K$8)</f>
        <v>5505</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6</v>
      </c>
      <c r="M107" s="9">
        <f>IF('Upto Month Current'!$K$14="",0,'Upto Month Current'!$K$14)</f>
        <v>5130</v>
      </c>
      <c r="N107" s="9">
        <f>IF('Upto Month Current'!$K$15="",0,'Upto Month Current'!$K$15)</f>
        <v>16</v>
      </c>
      <c r="O107" s="9">
        <f>IF('Upto Month Current'!$K$16="",0,'Upto Month Current'!$K$16)</f>
        <v>618</v>
      </c>
      <c r="P107" s="9">
        <f>IF('Upto Month Current'!$K$17="",0,'Upto Month Current'!$K$17)</f>
        <v>7098</v>
      </c>
      <c r="Q107" s="9">
        <f>IF('Upto Month Current'!$K$18="",0,'Upto Month Current'!$K$18)</f>
        <v>0</v>
      </c>
      <c r="R107" s="9">
        <f>IF('Upto Month Current'!$K$21="",0,'Upto Month Current'!$K$21)</f>
        <v>155</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417</v>
      </c>
      <c r="Z107" s="9">
        <f>IF('Upto Month Current'!$K$43="",0,'Upto Month Current'!$K$43)</f>
        <v>131</v>
      </c>
      <c r="AA107" s="9">
        <f>IF('Upto Month Current'!$K$44="",0,'Upto Month Current'!$K$44)</f>
        <v>67</v>
      </c>
      <c r="AB107" s="9">
        <f>IF('Upto Month Current'!$K$48="",0,'Upto Month Current'!$K$48)</f>
        <v>0</v>
      </c>
      <c r="AC107" s="10">
        <f>IF('Upto Month Current'!$K$51="",0,'Upto Month Current'!$K$51)</f>
        <v>0</v>
      </c>
      <c r="AD107" s="123">
        <f>SUM(C107:AC107)</f>
        <v>135282</v>
      </c>
      <c r="AE107" s="9">
        <f>IF('Upto Month Current'!$K$19="",0,'Upto Month Current'!$K$19)</f>
        <v>11</v>
      </c>
      <c r="AF107" s="9">
        <f>IF('Upto Month Current'!$K$20="",0,'Upto Month Current'!$K$20)</f>
        <v>50</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-40</v>
      </c>
      <c r="AL107" s="9">
        <f>IF('Upto Month Current'!$K$29="",0,'Upto Month Current'!$K$29)</f>
        <v>1905</v>
      </c>
      <c r="AM107" s="9">
        <f>IF('Upto Month Current'!$K$31="",0,'Upto Month Current'!$K$31)</f>
        <v>0</v>
      </c>
      <c r="AN107" s="9">
        <f>IF('Upto Month Current'!$K$32="",0,'Upto Month Current'!$K$32)</f>
        <v>0</v>
      </c>
      <c r="AO107" s="9">
        <f>IF('Upto Month Current'!$K$33="",0,'Upto Month Current'!$K$33)</f>
        <v>7614</v>
      </c>
      <c r="AP107" s="275">
        <f>IF('Upto Month Current'!$K$34="",0,'Upto Month Current'!$K$34)</f>
        <v>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118</v>
      </c>
      <c r="BD107" s="9">
        <f>IF('Upto Month Current'!$K$54="",0,'Upto Month Current'!$K$54)</f>
        <v>118</v>
      </c>
      <c r="BE107" s="9">
        <f>IF('Upto Month Current'!$K$55="",0,'Upto Month Current'!$K$55)</f>
        <v>0</v>
      </c>
      <c r="BF107" s="9">
        <f>IF('Upto Month Current'!$K$56="",0,'Upto Month Current'!$K$56)</f>
        <v>15</v>
      </c>
      <c r="BG107" s="9">
        <f>IF('Upto Month Current'!$K$58="",0,'Upto Month Current'!$K$58)</f>
        <v>4258</v>
      </c>
      <c r="BH107" s="9">
        <f>SUM(AE107:BG107)</f>
        <v>14049</v>
      </c>
      <c r="BI107" s="127">
        <f>AD107+BH107</f>
        <v>149331</v>
      </c>
      <c r="BJ107" s="9">
        <f>IF('Upto Month Current'!$K$60="",0,'Upto Month Current'!$K$60)</f>
        <v>0</v>
      </c>
      <c r="BK107" s="51">
        <f>BI107-BJ107</f>
        <v>149331</v>
      </c>
      <c r="BL107">
        <f>'Upto Month Current'!$K$61</f>
        <v>149332</v>
      </c>
      <c r="BM107" s="30">
        <f>BK107-AD107</f>
        <v>14049</v>
      </c>
    </row>
    <row r="108" spans="1:65" ht="15.75">
      <c r="A108" s="130"/>
      <c r="B108" s="5" t="s">
        <v>124</v>
      </c>
      <c r="C108" s="11">
        <f t="shared" ref="C108:AH108" si="79">C107-C105</f>
        <v>-12793</v>
      </c>
      <c r="D108" s="11">
        <f t="shared" si="79"/>
        <v>-3544</v>
      </c>
      <c r="E108" s="11">
        <f t="shared" si="79"/>
        <v>0</v>
      </c>
      <c r="F108" s="11">
        <f t="shared" si="79"/>
        <v>-3242</v>
      </c>
      <c r="G108" s="11">
        <f t="shared" si="79"/>
        <v>-1377</v>
      </c>
      <c r="H108" s="11">
        <f t="shared" si="79"/>
        <v>0</v>
      </c>
      <c r="I108" s="11">
        <f t="shared" si="79"/>
        <v>0</v>
      </c>
      <c r="J108" s="11">
        <f t="shared" si="79"/>
        <v>0</v>
      </c>
      <c r="K108" s="11">
        <f t="shared" si="79"/>
        <v>0</v>
      </c>
      <c r="L108" s="11">
        <f t="shared" si="79"/>
        <v>-113</v>
      </c>
      <c r="M108" s="11">
        <f t="shared" si="79"/>
        <v>-4488</v>
      </c>
      <c r="N108" s="11">
        <f t="shared" si="79"/>
        <v>-87</v>
      </c>
      <c r="O108" s="11">
        <f t="shared" si="79"/>
        <v>110</v>
      </c>
      <c r="P108" s="11">
        <f t="shared" si="79"/>
        <v>-2215</v>
      </c>
      <c r="Q108" s="11">
        <f t="shared" si="79"/>
        <v>0</v>
      </c>
      <c r="R108" s="11">
        <f t="shared" si="79"/>
        <v>-79</v>
      </c>
      <c r="S108" s="11">
        <f t="shared" si="79"/>
        <v>0</v>
      </c>
      <c r="T108" s="11">
        <f t="shared" si="79"/>
        <v>0</v>
      </c>
      <c r="U108" s="11">
        <f t="shared" si="79"/>
        <v>0</v>
      </c>
      <c r="V108" s="9">
        <f t="shared" si="79"/>
        <v>0</v>
      </c>
      <c r="W108" s="11">
        <f t="shared" si="79"/>
        <v>0</v>
      </c>
      <c r="X108" s="11">
        <f t="shared" si="79"/>
        <v>0</v>
      </c>
      <c r="Y108" s="11">
        <f t="shared" si="79"/>
        <v>-114</v>
      </c>
      <c r="Z108" s="11">
        <f t="shared" si="79"/>
        <v>-36</v>
      </c>
      <c r="AA108" s="11">
        <f t="shared" si="79"/>
        <v>-110</v>
      </c>
      <c r="AB108" s="11">
        <f t="shared" si="79"/>
        <v>-1</v>
      </c>
      <c r="AC108" s="10">
        <f t="shared" si="79"/>
        <v>0</v>
      </c>
      <c r="AD108" s="11">
        <f t="shared" si="79"/>
        <v>-28089</v>
      </c>
      <c r="AE108" s="11">
        <f t="shared" si="79"/>
        <v>-27</v>
      </c>
      <c r="AF108" s="11">
        <f t="shared" si="79"/>
        <v>17</v>
      </c>
      <c r="AG108" s="11">
        <f t="shared" si="79"/>
        <v>0</v>
      </c>
      <c r="AH108" s="11">
        <f t="shared" si="79"/>
        <v>0</v>
      </c>
      <c r="AI108" s="11">
        <f t="shared" ref="AI108:BK108" si="80">AI107-AI105</f>
        <v>0</v>
      </c>
      <c r="AJ108" s="11">
        <f t="shared" si="80"/>
        <v>0</v>
      </c>
      <c r="AK108" s="11">
        <f t="shared" si="80"/>
        <v>-365</v>
      </c>
      <c r="AL108" s="11">
        <f t="shared" si="80"/>
        <v>551</v>
      </c>
      <c r="AM108" s="11">
        <f t="shared" si="80"/>
        <v>0</v>
      </c>
      <c r="AN108" s="11">
        <f t="shared" si="80"/>
        <v>0</v>
      </c>
      <c r="AO108" s="9">
        <f t="shared" si="80"/>
        <v>112</v>
      </c>
      <c r="AP108" s="276">
        <f t="shared" si="80"/>
        <v>0</v>
      </c>
      <c r="AQ108" s="10">
        <f t="shared" si="80"/>
        <v>0</v>
      </c>
      <c r="AR108" s="11">
        <f t="shared" si="80"/>
        <v>0</v>
      </c>
      <c r="AS108" s="11">
        <f t="shared" si="80"/>
        <v>0</v>
      </c>
      <c r="AT108" s="11">
        <f t="shared" si="80"/>
        <v>0</v>
      </c>
      <c r="AU108" s="11">
        <f t="shared" si="80"/>
        <v>0</v>
      </c>
      <c r="AV108" s="11">
        <f t="shared" si="80"/>
        <v>0</v>
      </c>
      <c r="AW108" s="11">
        <f t="shared" si="80"/>
        <v>0</v>
      </c>
      <c r="AX108" s="11">
        <f t="shared" si="80"/>
        <v>0</v>
      </c>
      <c r="AY108" s="11">
        <f t="shared" si="80"/>
        <v>0</v>
      </c>
      <c r="AZ108" s="11">
        <f t="shared" si="80"/>
        <v>0</v>
      </c>
      <c r="BA108" s="11">
        <f t="shared" si="80"/>
        <v>0</v>
      </c>
      <c r="BB108" s="10">
        <f t="shared" si="80"/>
        <v>0</v>
      </c>
      <c r="BC108" s="11">
        <f t="shared" si="80"/>
        <v>46</v>
      </c>
      <c r="BD108" s="11">
        <f t="shared" si="80"/>
        <v>44</v>
      </c>
      <c r="BE108" s="11">
        <f t="shared" si="80"/>
        <v>-5</v>
      </c>
      <c r="BF108" s="11">
        <f t="shared" si="80"/>
        <v>-322</v>
      </c>
      <c r="BG108" s="11">
        <f t="shared" si="80"/>
        <v>-4951</v>
      </c>
      <c r="BH108" s="9">
        <f t="shared" si="80"/>
        <v>-4900</v>
      </c>
      <c r="BI108" s="45">
        <f t="shared" si="80"/>
        <v>-32989</v>
      </c>
      <c r="BJ108" s="11">
        <f t="shared" si="80"/>
        <v>0</v>
      </c>
      <c r="BK108" s="51">
        <f t="shared" si="80"/>
        <v>-32989</v>
      </c>
      <c r="BM108" s="30">
        <f>BK108-AD108</f>
        <v>-4900</v>
      </c>
    </row>
    <row r="109" spans="1:65" ht="15.75">
      <c r="A109" s="130"/>
      <c r="B109" s="5" t="s">
        <v>125</v>
      </c>
      <c r="C109" s="13">
        <f t="shared" ref="C109:AH109" si="81">C108/C105</f>
        <v>-0.15781357939405902</v>
      </c>
      <c r="D109" s="13">
        <f t="shared" si="81"/>
        <v>-8.0598576334402219E-2</v>
      </c>
      <c r="E109" s="13" t="e">
        <f t="shared" si="81"/>
        <v>#DIV/0!</v>
      </c>
      <c r="F109" s="13">
        <f t="shared" si="81"/>
        <v>-0.30347280726387721</v>
      </c>
      <c r="G109" s="13">
        <f t="shared" si="81"/>
        <v>-0.2000871839581517</v>
      </c>
      <c r="H109" s="13" t="e">
        <f t="shared" si="81"/>
        <v>#DIV/0!</v>
      </c>
      <c r="I109" s="13" t="e">
        <f t="shared" si="81"/>
        <v>#DIV/0!</v>
      </c>
      <c r="J109" s="13" t="e">
        <f t="shared" si="81"/>
        <v>#DIV/0!</v>
      </c>
      <c r="K109" s="13" t="e">
        <f t="shared" si="81"/>
        <v>#DIV/0!</v>
      </c>
      <c r="L109" s="13">
        <f t="shared" si="81"/>
        <v>-0.94957983193277307</v>
      </c>
      <c r="M109" s="13">
        <f t="shared" si="81"/>
        <v>-0.46662507797878977</v>
      </c>
      <c r="N109" s="13">
        <f t="shared" si="81"/>
        <v>-0.84466019417475724</v>
      </c>
      <c r="O109" s="13">
        <f t="shared" si="81"/>
        <v>0.21653543307086615</v>
      </c>
      <c r="P109" s="13">
        <f t="shared" si="81"/>
        <v>-0.23783957908300227</v>
      </c>
      <c r="Q109" s="13" t="e">
        <f t="shared" si="81"/>
        <v>#DIV/0!</v>
      </c>
      <c r="R109" s="13">
        <f t="shared" si="81"/>
        <v>-0.33760683760683763</v>
      </c>
      <c r="S109" s="13" t="e">
        <f t="shared" si="81"/>
        <v>#DIV/0!</v>
      </c>
      <c r="T109" s="13" t="e">
        <f t="shared" si="81"/>
        <v>#DIV/0!</v>
      </c>
      <c r="U109" s="13" t="e">
        <f t="shared" si="81"/>
        <v>#DIV/0!</v>
      </c>
      <c r="V109" s="163" t="e">
        <f t="shared" si="81"/>
        <v>#DIV/0!</v>
      </c>
      <c r="W109" s="13" t="e">
        <f t="shared" si="81"/>
        <v>#DIV/0!</v>
      </c>
      <c r="X109" s="13" t="e">
        <f t="shared" si="81"/>
        <v>#DIV/0!</v>
      </c>
      <c r="Y109" s="13">
        <f t="shared" si="81"/>
        <v>-0.21468926553672316</v>
      </c>
      <c r="Z109" s="13">
        <f t="shared" si="81"/>
        <v>-0.21556886227544911</v>
      </c>
      <c r="AA109" s="13">
        <f t="shared" si="81"/>
        <v>-0.62146892655367236</v>
      </c>
      <c r="AB109" s="13">
        <f t="shared" si="81"/>
        <v>-1</v>
      </c>
      <c r="AC109" s="14" t="e">
        <f t="shared" si="81"/>
        <v>#DIV/0!</v>
      </c>
      <c r="AD109" s="13">
        <f t="shared" si="81"/>
        <v>-0.17193381934370236</v>
      </c>
      <c r="AE109" s="13">
        <f t="shared" si="81"/>
        <v>-0.71052631578947367</v>
      </c>
      <c r="AF109" s="13">
        <f t="shared" si="81"/>
        <v>0.51515151515151514</v>
      </c>
      <c r="AG109" s="13" t="e">
        <f t="shared" si="81"/>
        <v>#DIV/0!</v>
      </c>
      <c r="AH109" s="13" t="e">
        <f t="shared" si="81"/>
        <v>#DIV/0!</v>
      </c>
      <c r="AI109" s="13" t="e">
        <f t="shared" ref="AI109:BK109" si="82">AI108/AI105</f>
        <v>#DIV/0!</v>
      </c>
      <c r="AJ109" s="13" t="e">
        <f t="shared" si="82"/>
        <v>#DIV/0!</v>
      </c>
      <c r="AK109" s="13">
        <f t="shared" si="82"/>
        <v>-1.1230769230769231</v>
      </c>
      <c r="AL109" s="13">
        <f t="shared" si="82"/>
        <v>0.40694239290989659</v>
      </c>
      <c r="AM109" s="13" t="e">
        <f t="shared" si="82"/>
        <v>#DIV/0!</v>
      </c>
      <c r="AN109" s="13" t="e">
        <f t="shared" si="82"/>
        <v>#DIV/0!</v>
      </c>
      <c r="AO109" s="163">
        <f t="shared" si="82"/>
        <v>1.4929352172753933E-2</v>
      </c>
      <c r="AP109" s="277" t="e">
        <f t="shared" si="82"/>
        <v>#DIV/0!</v>
      </c>
      <c r="AQ109" s="14" t="e">
        <f t="shared" si="82"/>
        <v>#DIV/0!</v>
      </c>
      <c r="AR109" s="13" t="e">
        <f t="shared" si="82"/>
        <v>#DIV/0!</v>
      </c>
      <c r="AS109" s="13" t="e">
        <f t="shared" si="82"/>
        <v>#DIV/0!</v>
      </c>
      <c r="AT109" s="13" t="e">
        <f t="shared" si="82"/>
        <v>#DIV/0!</v>
      </c>
      <c r="AU109" s="13" t="e">
        <f t="shared" si="82"/>
        <v>#DIV/0!</v>
      </c>
      <c r="AV109" s="13" t="e">
        <f t="shared" si="82"/>
        <v>#DIV/0!</v>
      </c>
      <c r="AW109" s="13" t="e">
        <f t="shared" si="82"/>
        <v>#DIV/0!</v>
      </c>
      <c r="AX109" s="13" t="e">
        <f t="shared" si="82"/>
        <v>#DIV/0!</v>
      </c>
      <c r="AY109" s="13" t="e">
        <f t="shared" si="82"/>
        <v>#DIV/0!</v>
      </c>
      <c r="AZ109" s="13" t="e">
        <f t="shared" si="82"/>
        <v>#DIV/0!</v>
      </c>
      <c r="BA109" s="13" t="e">
        <f t="shared" si="82"/>
        <v>#DIV/0!</v>
      </c>
      <c r="BB109" s="14" t="e">
        <f t="shared" si="82"/>
        <v>#DIV/0!</v>
      </c>
      <c r="BC109" s="13">
        <f t="shared" si="82"/>
        <v>0.63888888888888884</v>
      </c>
      <c r="BD109" s="13">
        <f t="shared" si="82"/>
        <v>0.59459459459459463</v>
      </c>
      <c r="BE109" s="13">
        <f t="shared" si="82"/>
        <v>-1</v>
      </c>
      <c r="BF109" s="13">
        <f t="shared" si="82"/>
        <v>-0.95548961424332346</v>
      </c>
      <c r="BG109" s="13">
        <f t="shared" si="82"/>
        <v>-0.53762623520469111</v>
      </c>
      <c r="BH109" s="163">
        <f t="shared" si="82"/>
        <v>-0.25858884373845586</v>
      </c>
      <c r="BI109" s="46">
        <f t="shared" si="82"/>
        <v>-0.18094010530934621</v>
      </c>
      <c r="BJ109" s="13" t="e">
        <f t="shared" si="82"/>
        <v>#DIV/0!</v>
      </c>
      <c r="BK109" s="52">
        <f t="shared" si="82"/>
        <v>-0.18094010530934621</v>
      </c>
      <c r="BM109" s="163">
        <f>BM108/BM105</f>
        <v>-0.25858884373845586</v>
      </c>
    </row>
    <row r="110" spans="1:65" ht="15.75">
      <c r="A110" s="130"/>
      <c r="B110" s="5" t="s">
        <v>126</v>
      </c>
      <c r="C110" s="11">
        <f>C107-C106</f>
        <v>-4364</v>
      </c>
      <c r="D110" s="11">
        <f t="shared" ref="D110:BK110" si="83">D107-D106</f>
        <v>3847</v>
      </c>
      <c r="E110" s="11">
        <f t="shared" si="83"/>
        <v>-23</v>
      </c>
      <c r="F110" s="11">
        <f t="shared" si="83"/>
        <v>141</v>
      </c>
      <c r="G110" s="11">
        <f t="shared" si="83"/>
        <v>181</v>
      </c>
      <c r="H110" s="11">
        <f t="shared" si="83"/>
        <v>0</v>
      </c>
      <c r="I110" s="11">
        <f t="shared" si="83"/>
        <v>0</v>
      </c>
      <c r="J110" s="11">
        <f t="shared" si="83"/>
        <v>0</v>
      </c>
      <c r="K110" s="11">
        <f t="shared" si="83"/>
        <v>0</v>
      </c>
      <c r="L110" s="11">
        <f t="shared" si="83"/>
        <v>-372</v>
      </c>
      <c r="M110" s="11">
        <f t="shared" si="83"/>
        <v>-405</v>
      </c>
      <c r="N110" s="11">
        <f t="shared" si="83"/>
        <v>1</v>
      </c>
      <c r="O110" s="11">
        <f t="shared" si="83"/>
        <v>-495</v>
      </c>
      <c r="P110" s="11">
        <f t="shared" si="83"/>
        <v>-10584</v>
      </c>
      <c r="Q110" s="11">
        <f t="shared" si="83"/>
        <v>0</v>
      </c>
      <c r="R110" s="11">
        <f t="shared" si="83"/>
        <v>-300</v>
      </c>
      <c r="S110" s="11">
        <f t="shared" si="83"/>
        <v>0</v>
      </c>
      <c r="T110" s="11">
        <f t="shared" si="83"/>
        <v>0</v>
      </c>
      <c r="U110" s="11">
        <f>U107-U106</f>
        <v>0</v>
      </c>
      <c r="V110" s="9">
        <f t="shared" si="83"/>
        <v>0</v>
      </c>
      <c r="W110" s="11">
        <f t="shared" si="83"/>
        <v>0</v>
      </c>
      <c r="X110" s="11">
        <f t="shared" si="83"/>
        <v>0</v>
      </c>
      <c r="Y110" s="11">
        <f t="shared" si="83"/>
        <v>-459</v>
      </c>
      <c r="Z110" s="11">
        <f t="shared" si="83"/>
        <v>-137</v>
      </c>
      <c r="AA110" s="11">
        <f t="shared" si="83"/>
        <v>-855</v>
      </c>
      <c r="AB110" s="11">
        <f>AB107-AB106</f>
        <v>0</v>
      </c>
      <c r="AC110" s="10">
        <f>AC107-AC106</f>
        <v>0</v>
      </c>
      <c r="AD110" s="11">
        <f>AD107-AD106</f>
        <v>-13824</v>
      </c>
      <c r="AE110" s="11">
        <f t="shared" si="83"/>
        <v>11</v>
      </c>
      <c r="AF110" s="11">
        <f t="shared" si="83"/>
        <v>12</v>
      </c>
      <c r="AG110" s="11">
        <f t="shared" si="83"/>
        <v>0</v>
      </c>
      <c r="AH110" s="11">
        <f t="shared" si="83"/>
        <v>0</v>
      </c>
      <c r="AI110" s="11">
        <f t="shared" si="83"/>
        <v>0</v>
      </c>
      <c r="AJ110" s="11">
        <f t="shared" si="83"/>
        <v>0</v>
      </c>
      <c r="AK110" s="11">
        <f t="shared" si="83"/>
        <v>-40</v>
      </c>
      <c r="AL110" s="11">
        <f t="shared" si="83"/>
        <v>1252</v>
      </c>
      <c r="AM110" s="11">
        <f t="shared" si="83"/>
        <v>0</v>
      </c>
      <c r="AN110" s="11">
        <f t="shared" si="83"/>
        <v>0</v>
      </c>
      <c r="AO110" s="9">
        <f t="shared" si="83"/>
        <v>4267</v>
      </c>
      <c r="AP110" s="276">
        <f t="shared" si="83"/>
        <v>0</v>
      </c>
      <c r="AQ110" s="10">
        <f t="shared" si="83"/>
        <v>0</v>
      </c>
      <c r="AR110" s="11">
        <f t="shared" si="83"/>
        <v>0</v>
      </c>
      <c r="AS110" s="11">
        <f t="shared" si="83"/>
        <v>0</v>
      </c>
      <c r="AT110" s="11">
        <f t="shared" si="83"/>
        <v>0</v>
      </c>
      <c r="AU110" s="11">
        <f t="shared" si="83"/>
        <v>0</v>
      </c>
      <c r="AV110" s="11">
        <f t="shared" si="83"/>
        <v>0</v>
      </c>
      <c r="AW110" s="11">
        <f t="shared" si="83"/>
        <v>0</v>
      </c>
      <c r="AX110" s="11">
        <f t="shared" si="83"/>
        <v>0</v>
      </c>
      <c r="AY110" s="11">
        <f t="shared" si="83"/>
        <v>0</v>
      </c>
      <c r="AZ110" s="11">
        <f t="shared" si="83"/>
        <v>0</v>
      </c>
      <c r="BA110" s="11">
        <f t="shared" si="83"/>
        <v>0</v>
      </c>
      <c r="BB110" s="10">
        <f t="shared" si="83"/>
        <v>0</v>
      </c>
      <c r="BC110" s="11">
        <f t="shared" si="83"/>
        <v>59</v>
      </c>
      <c r="BD110" s="11">
        <f t="shared" si="83"/>
        <v>59</v>
      </c>
      <c r="BE110" s="11">
        <f t="shared" si="83"/>
        <v>0</v>
      </c>
      <c r="BF110" s="11">
        <f t="shared" si="83"/>
        <v>10</v>
      </c>
      <c r="BG110" s="11">
        <f t="shared" si="83"/>
        <v>-1850</v>
      </c>
      <c r="BH110" s="9">
        <f t="shared" si="83"/>
        <v>3780</v>
      </c>
      <c r="BI110" s="45">
        <f t="shared" si="83"/>
        <v>-10044</v>
      </c>
      <c r="BJ110" s="11">
        <f t="shared" si="83"/>
        <v>0</v>
      </c>
      <c r="BK110" s="51">
        <f t="shared" si="83"/>
        <v>-10044</v>
      </c>
      <c r="BM110" s="30">
        <f>BK110-AD110</f>
        <v>3780</v>
      </c>
    </row>
    <row r="111" spans="1:65" ht="15.75">
      <c r="A111" s="130"/>
      <c r="B111" s="5" t="s">
        <v>127</v>
      </c>
      <c r="C111" s="13">
        <f t="shared" ref="C111:AH111" si="84">C110/C106</f>
        <v>-6.0081228058098714E-2</v>
      </c>
      <c r="D111" s="13">
        <f t="shared" si="84"/>
        <v>0.10516675779114271</v>
      </c>
      <c r="E111" s="13">
        <f t="shared" si="84"/>
        <v>-1</v>
      </c>
      <c r="F111" s="13">
        <f t="shared" si="84"/>
        <v>1.9315068493150685E-2</v>
      </c>
      <c r="G111" s="13">
        <f t="shared" si="84"/>
        <v>3.3996994740796392E-2</v>
      </c>
      <c r="H111" s="13" t="e">
        <f t="shared" si="84"/>
        <v>#DIV/0!</v>
      </c>
      <c r="I111" s="13" t="e">
        <f t="shared" si="84"/>
        <v>#DIV/0!</v>
      </c>
      <c r="J111" s="13" t="e">
        <f t="shared" si="84"/>
        <v>#DIV/0!</v>
      </c>
      <c r="K111" s="13" t="e">
        <f t="shared" si="84"/>
        <v>#DIV/0!</v>
      </c>
      <c r="L111" s="13">
        <f t="shared" si="84"/>
        <v>-0.98412698412698407</v>
      </c>
      <c r="M111" s="13">
        <f t="shared" si="84"/>
        <v>-7.3170731707317069E-2</v>
      </c>
      <c r="N111" s="13">
        <f t="shared" si="84"/>
        <v>6.6666666666666666E-2</v>
      </c>
      <c r="O111" s="13">
        <f t="shared" si="84"/>
        <v>-0.44474393530997303</v>
      </c>
      <c r="P111" s="13">
        <f t="shared" si="84"/>
        <v>-0.59857482185273159</v>
      </c>
      <c r="Q111" s="13" t="e">
        <f t="shared" si="84"/>
        <v>#DIV/0!</v>
      </c>
      <c r="R111" s="13">
        <f t="shared" si="84"/>
        <v>-0.65934065934065933</v>
      </c>
      <c r="S111" s="13" t="e">
        <f t="shared" si="84"/>
        <v>#DIV/0!</v>
      </c>
      <c r="T111" s="13" t="e">
        <f t="shared" si="84"/>
        <v>#DIV/0!</v>
      </c>
      <c r="U111" s="13" t="e">
        <f t="shared" si="84"/>
        <v>#DIV/0!</v>
      </c>
      <c r="V111" s="163" t="e">
        <f t="shared" si="84"/>
        <v>#DIV/0!</v>
      </c>
      <c r="W111" s="13" t="e">
        <f t="shared" si="84"/>
        <v>#DIV/0!</v>
      </c>
      <c r="X111" s="13" t="e">
        <f t="shared" si="84"/>
        <v>#DIV/0!</v>
      </c>
      <c r="Y111" s="13">
        <f t="shared" si="84"/>
        <v>-0.52397260273972601</v>
      </c>
      <c r="Z111" s="13">
        <f t="shared" si="84"/>
        <v>-0.51119402985074625</v>
      </c>
      <c r="AA111" s="13">
        <f t="shared" si="84"/>
        <v>-0.92733188720173532</v>
      </c>
      <c r="AB111" s="13" t="e">
        <f t="shared" si="84"/>
        <v>#DIV/0!</v>
      </c>
      <c r="AC111" s="14" t="e">
        <f t="shared" si="84"/>
        <v>#DIV/0!</v>
      </c>
      <c r="AD111" s="13">
        <f t="shared" si="84"/>
        <v>-9.2712566898716348E-2</v>
      </c>
      <c r="AE111" s="13" t="e">
        <f t="shared" si="84"/>
        <v>#DIV/0!</v>
      </c>
      <c r="AF111" s="13">
        <f t="shared" si="84"/>
        <v>0.31578947368421051</v>
      </c>
      <c r="AG111" s="13" t="e">
        <f t="shared" si="84"/>
        <v>#DIV/0!</v>
      </c>
      <c r="AH111" s="13" t="e">
        <f t="shared" si="84"/>
        <v>#DIV/0!</v>
      </c>
      <c r="AI111" s="13" t="e">
        <f t="shared" ref="AI111:BK111" si="85">AI110/AI106</f>
        <v>#DIV/0!</v>
      </c>
      <c r="AJ111" s="13" t="e">
        <f t="shared" si="85"/>
        <v>#DIV/0!</v>
      </c>
      <c r="AK111" s="13" t="e">
        <f t="shared" si="85"/>
        <v>#DIV/0!</v>
      </c>
      <c r="AL111" s="13">
        <f t="shared" si="85"/>
        <v>1.9173047473200613</v>
      </c>
      <c r="AM111" s="13" t="e">
        <f t="shared" si="85"/>
        <v>#DIV/0!</v>
      </c>
      <c r="AN111" s="13" t="e">
        <f t="shared" si="85"/>
        <v>#DIV/0!</v>
      </c>
      <c r="AO111" s="163">
        <f t="shared" si="85"/>
        <v>1.2748730206154766</v>
      </c>
      <c r="AP111" s="277" t="e">
        <f t="shared" si="85"/>
        <v>#DIV/0!</v>
      </c>
      <c r="AQ111" s="14" t="e">
        <f t="shared" si="85"/>
        <v>#DIV/0!</v>
      </c>
      <c r="AR111" s="13" t="e">
        <f t="shared" si="85"/>
        <v>#DIV/0!</v>
      </c>
      <c r="AS111" s="13" t="e">
        <f t="shared" si="85"/>
        <v>#DIV/0!</v>
      </c>
      <c r="AT111" s="13" t="e">
        <f t="shared" si="85"/>
        <v>#DIV/0!</v>
      </c>
      <c r="AU111" s="13" t="e">
        <f t="shared" si="85"/>
        <v>#DIV/0!</v>
      </c>
      <c r="AV111" s="13" t="e">
        <f t="shared" si="85"/>
        <v>#DIV/0!</v>
      </c>
      <c r="AW111" s="13" t="e">
        <f t="shared" si="85"/>
        <v>#DIV/0!</v>
      </c>
      <c r="AX111" s="13" t="e">
        <f t="shared" si="85"/>
        <v>#DIV/0!</v>
      </c>
      <c r="AY111" s="13" t="e">
        <f t="shared" si="85"/>
        <v>#DIV/0!</v>
      </c>
      <c r="AZ111" s="13" t="e">
        <f t="shared" si="85"/>
        <v>#DIV/0!</v>
      </c>
      <c r="BA111" s="13" t="e">
        <f t="shared" si="85"/>
        <v>#DIV/0!</v>
      </c>
      <c r="BB111" s="14" t="e">
        <f t="shared" si="85"/>
        <v>#DIV/0!</v>
      </c>
      <c r="BC111" s="13">
        <f t="shared" si="85"/>
        <v>1</v>
      </c>
      <c r="BD111" s="13">
        <f t="shared" si="85"/>
        <v>1</v>
      </c>
      <c r="BE111" s="13" t="e">
        <f t="shared" si="85"/>
        <v>#DIV/0!</v>
      </c>
      <c r="BF111" s="13">
        <f t="shared" si="85"/>
        <v>2</v>
      </c>
      <c r="BG111" s="13">
        <f t="shared" si="85"/>
        <v>-0.30288146692861823</v>
      </c>
      <c r="BH111" s="163">
        <f t="shared" si="85"/>
        <v>0.36809815950920244</v>
      </c>
      <c r="BI111" s="46">
        <f t="shared" si="85"/>
        <v>-6.3021176470588233E-2</v>
      </c>
      <c r="BJ111" s="13" t="e">
        <f t="shared" si="85"/>
        <v>#DIV/0!</v>
      </c>
      <c r="BK111" s="52">
        <f t="shared" si="85"/>
        <v>-6.3021176470588233E-2</v>
      </c>
      <c r="BM111" s="14">
        <f>BM110/BM106</f>
        <v>0.36809815950920244</v>
      </c>
    </row>
    <row r="112" spans="1:65" ht="15.75">
      <c r="A112" s="130"/>
      <c r="B112" s="5" t="s">
        <v>323</v>
      </c>
      <c r="C112" s="128">
        <f>C107/C104</f>
        <v>0.16001565678820209</v>
      </c>
      <c r="D112" s="128">
        <f t="shared" ref="D112:BK112" si="86">D107/D104</f>
        <v>0.17468575403907063</v>
      </c>
      <c r="E112" s="128" t="e">
        <f t="shared" si="86"/>
        <v>#DIV/0!</v>
      </c>
      <c r="F112" s="128">
        <f t="shared" si="86"/>
        <v>0.13234561752988047</v>
      </c>
      <c r="G112" s="128">
        <f t="shared" si="86"/>
        <v>0.15197106890459364</v>
      </c>
      <c r="H112" s="128" t="e">
        <f t="shared" si="86"/>
        <v>#DIV/0!</v>
      </c>
      <c r="I112" s="128" t="e">
        <f t="shared" si="86"/>
        <v>#DIV/0!</v>
      </c>
      <c r="J112" s="128" t="e">
        <f t="shared" si="86"/>
        <v>#DIV/0!</v>
      </c>
      <c r="K112" s="128" t="e">
        <f t="shared" si="86"/>
        <v>#DIV/0!</v>
      </c>
      <c r="L112" s="128">
        <f t="shared" si="86"/>
        <v>9.5846645367412137E-3</v>
      </c>
      <c r="M112" s="128">
        <f t="shared" si="86"/>
        <v>0.1013373367836754</v>
      </c>
      <c r="N112" s="128">
        <f t="shared" si="86"/>
        <v>2.9739776951672861E-2</v>
      </c>
      <c r="O112" s="128">
        <f t="shared" si="86"/>
        <v>0.23102803738317756</v>
      </c>
      <c r="P112" s="128">
        <f t="shared" si="86"/>
        <v>0.144812812404366</v>
      </c>
      <c r="Q112" s="128" t="e">
        <f t="shared" si="86"/>
        <v>#DIV/0!</v>
      </c>
      <c r="R112" s="128">
        <f t="shared" si="86"/>
        <v>0.12591389114541024</v>
      </c>
      <c r="S112" s="128" t="e">
        <f t="shared" si="86"/>
        <v>#DIV/0!</v>
      </c>
      <c r="T112" s="128" t="e">
        <f t="shared" si="86"/>
        <v>#DIV/0!</v>
      </c>
      <c r="U112" s="128" t="e">
        <f t="shared" si="86"/>
        <v>#DIV/0!</v>
      </c>
      <c r="V112" s="178" t="e">
        <f t="shared" si="86"/>
        <v>#DIV/0!</v>
      </c>
      <c r="W112" s="128" t="e">
        <f t="shared" si="86"/>
        <v>#DIV/0!</v>
      </c>
      <c r="X112" s="128" t="e">
        <f t="shared" si="86"/>
        <v>#DIV/0!</v>
      </c>
      <c r="Y112" s="128">
        <f t="shared" si="86"/>
        <v>0.14919499105545617</v>
      </c>
      <c r="Z112" s="128">
        <f t="shared" si="86"/>
        <v>0.14903299203640499</v>
      </c>
      <c r="AA112" s="128">
        <f t="shared" si="86"/>
        <v>7.1888412017167377E-2</v>
      </c>
      <c r="AB112" s="128">
        <f>AB107/AB104</f>
        <v>0</v>
      </c>
      <c r="AC112" s="217" t="e">
        <f t="shared" si="86"/>
        <v>#DIV/0!</v>
      </c>
      <c r="AD112" s="128">
        <f t="shared" si="86"/>
        <v>0.15733264173742537</v>
      </c>
      <c r="AE112" s="128">
        <f t="shared" si="86"/>
        <v>6.9620253164556958E-2</v>
      </c>
      <c r="AF112" s="128">
        <f t="shared" si="86"/>
        <v>0.36496350364963503</v>
      </c>
      <c r="AG112" s="128">
        <f t="shared" si="86"/>
        <v>0</v>
      </c>
      <c r="AH112" s="128" t="e">
        <f t="shared" si="86"/>
        <v>#DIV/0!</v>
      </c>
      <c r="AI112" s="128" t="e">
        <f t="shared" si="86"/>
        <v>#DIV/0!</v>
      </c>
      <c r="AJ112" s="128" t="e">
        <f t="shared" si="86"/>
        <v>#DIV/0!</v>
      </c>
      <c r="AK112" s="128">
        <f t="shared" si="86"/>
        <v>-2.9563932002956393E-2</v>
      </c>
      <c r="AL112" s="128">
        <f t="shared" si="86"/>
        <v>0.3378857750975523</v>
      </c>
      <c r="AM112" s="128" t="e">
        <f t="shared" si="86"/>
        <v>#DIV/0!</v>
      </c>
      <c r="AN112" s="128" t="e">
        <f t="shared" si="86"/>
        <v>#DIV/0!</v>
      </c>
      <c r="AO112" s="178">
        <f t="shared" si="86"/>
        <v>0.24356226608233902</v>
      </c>
      <c r="AP112" s="278" t="e">
        <f t="shared" si="86"/>
        <v>#DIV/0!</v>
      </c>
      <c r="AQ112" s="217" t="e">
        <f t="shared" si="86"/>
        <v>#DIV/0!</v>
      </c>
      <c r="AR112" s="128" t="e">
        <f t="shared" si="86"/>
        <v>#DIV/0!</v>
      </c>
      <c r="AS112" s="128" t="e">
        <f t="shared" si="86"/>
        <v>#DIV/0!</v>
      </c>
      <c r="AT112" s="128" t="e">
        <f t="shared" si="86"/>
        <v>#DIV/0!</v>
      </c>
      <c r="AU112" s="128" t="e">
        <f t="shared" si="86"/>
        <v>#DIV/0!</v>
      </c>
      <c r="AV112" s="128" t="e">
        <f t="shared" si="86"/>
        <v>#DIV/0!</v>
      </c>
      <c r="AW112" s="128" t="e">
        <f t="shared" si="86"/>
        <v>#DIV/0!</v>
      </c>
      <c r="AX112" s="128" t="e">
        <f t="shared" si="86"/>
        <v>#DIV/0!</v>
      </c>
      <c r="AY112" s="128" t="e">
        <f t="shared" si="86"/>
        <v>#DIV/0!</v>
      </c>
      <c r="AZ112" s="128" t="e">
        <f t="shared" si="86"/>
        <v>#DIV/0!</v>
      </c>
      <c r="BA112" s="128" t="e">
        <f t="shared" si="86"/>
        <v>#DIV/0!</v>
      </c>
      <c r="BB112" s="217" t="e">
        <f t="shared" si="86"/>
        <v>#DIV/0!</v>
      </c>
      <c r="BC112" s="128">
        <f t="shared" si="86"/>
        <v>0.39464882943143814</v>
      </c>
      <c r="BD112" s="128">
        <f t="shared" si="86"/>
        <v>0.38311688311688313</v>
      </c>
      <c r="BE112" s="128">
        <f t="shared" si="86"/>
        <v>0</v>
      </c>
      <c r="BF112" s="128">
        <f t="shared" si="86"/>
        <v>1.0691375623663579E-2</v>
      </c>
      <c r="BG112" s="128">
        <f t="shared" si="86"/>
        <v>0.11096922154752287</v>
      </c>
      <c r="BH112" s="178">
        <f t="shared" si="86"/>
        <v>0.17794581449253336</v>
      </c>
      <c r="BI112" s="128">
        <f t="shared" si="86"/>
        <v>0.15906616758876777</v>
      </c>
      <c r="BJ112" s="128" t="e">
        <f t="shared" si="86"/>
        <v>#DIV/0!</v>
      </c>
      <c r="BK112" s="128">
        <f t="shared" si="86"/>
        <v>0.15906616758876777</v>
      </c>
      <c r="BM112" s="128">
        <f>BM107/BM104</f>
        <v>0.17794581449253336</v>
      </c>
    </row>
    <row r="113" spans="1:65" s="181" customFormat="1" ht="15.75">
      <c r="A113" s="130"/>
      <c r="B113" s="5" t="s">
        <v>322</v>
      </c>
      <c r="C113" s="11">
        <f>C104-C107</f>
        <v>358381</v>
      </c>
      <c r="D113" s="11">
        <f t="shared" ref="D113:BK113" si="87">D104-D107</f>
        <v>191000</v>
      </c>
      <c r="E113" s="11">
        <f t="shared" si="87"/>
        <v>0</v>
      </c>
      <c r="F113" s="11">
        <f t="shared" si="87"/>
        <v>48783</v>
      </c>
      <c r="G113" s="11">
        <f t="shared" si="87"/>
        <v>30719</v>
      </c>
      <c r="H113" s="11">
        <f t="shared" si="87"/>
        <v>0</v>
      </c>
      <c r="I113" s="11">
        <f t="shared" si="87"/>
        <v>0</v>
      </c>
      <c r="J113" s="11">
        <f t="shared" si="87"/>
        <v>0</v>
      </c>
      <c r="K113" s="11">
        <f t="shared" si="87"/>
        <v>0</v>
      </c>
      <c r="L113" s="11">
        <f t="shared" si="87"/>
        <v>620</v>
      </c>
      <c r="M113" s="11">
        <f t="shared" si="87"/>
        <v>45493</v>
      </c>
      <c r="N113" s="11">
        <f t="shared" si="87"/>
        <v>522</v>
      </c>
      <c r="O113" s="11">
        <f t="shared" si="87"/>
        <v>2057</v>
      </c>
      <c r="P113" s="11">
        <f t="shared" si="87"/>
        <v>41917</v>
      </c>
      <c r="Q113" s="11">
        <f t="shared" si="87"/>
        <v>0</v>
      </c>
      <c r="R113" s="11">
        <f t="shared" si="87"/>
        <v>1076</v>
      </c>
      <c r="S113" s="11">
        <f t="shared" si="87"/>
        <v>0</v>
      </c>
      <c r="T113" s="11">
        <f t="shared" si="87"/>
        <v>0</v>
      </c>
      <c r="U113" s="11">
        <f t="shared" si="87"/>
        <v>0</v>
      </c>
      <c r="V113" s="11">
        <f t="shared" si="87"/>
        <v>0</v>
      </c>
      <c r="W113" s="11">
        <f t="shared" si="87"/>
        <v>0</v>
      </c>
      <c r="X113" s="11">
        <f t="shared" si="87"/>
        <v>0</v>
      </c>
      <c r="Y113" s="11">
        <f t="shared" si="87"/>
        <v>2378</v>
      </c>
      <c r="Z113" s="11">
        <f t="shared" si="87"/>
        <v>748</v>
      </c>
      <c r="AA113" s="11">
        <f t="shared" si="87"/>
        <v>865</v>
      </c>
      <c r="AB113" s="11">
        <f t="shared" si="87"/>
        <v>6</v>
      </c>
      <c r="AC113" s="11">
        <f t="shared" si="87"/>
        <v>0</v>
      </c>
      <c r="AD113" s="11">
        <f t="shared" si="87"/>
        <v>724565</v>
      </c>
      <c r="AE113" s="11">
        <f t="shared" si="87"/>
        <v>147</v>
      </c>
      <c r="AF113" s="11">
        <f t="shared" si="87"/>
        <v>87</v>
      </c>
      <c r="AG113" s="11">
        <f t="shared" si="87"/>
        <v>1</v>
      </c>
      <c r="AH113" s="11">
        <f t="shared" si="87"/>
        <v>0</v>
      </c>
      <c r="AI113" s="11">
        <f t="shared" si="87"/>
        <v>0</v>
      </c>
      <c r="AJ113" s="11">
        <f t="shared" si="87"/>
        <v>0</v>
      </c>
      <c r="AK113" s="11">
        <f t="shared" si="87"/>
        <v>1393</v>
      </c>
      <c r="AL113" s="11">
        <f t="shared" si="87"/>
        <v>3733</v>
      </c>
      <c r="AM113" s="11">
        <f t="shared" si="87"/>
        <v>0</v>
      </c>
      <c r="AN113" s="11">
        <f t="shared" si="87"/>
        <v>0</v>
      </c>
      <c r="AO113" s="11">
        <f t="shared" si="87"/>
        <v>23647</v>
      </c>
      <c r="AP113" s="276">
        <f t="shared" si="87"/>
        <v>0</v>
      </c>
      <c r="AQ113" s="11">
        <f t="shared" si="87"/>
        <v>0</v>
      </c>
      <c r="AR113" s="11">
        <f t="shared" si="87"/>
        <v>0</v>
      </c>
      <c r="AS113" s="11">
        <f t="shared" si="87"/>
        <v>0</v>
      </c>
      <c r="AT113" s="11">
        <f t="shared" si="87"/>
        <v>0</v>
      </c>
      <c r="AU113" s="11">
        <f t="shared" si="87"/>
        <v>0</v>
      </c>
      <c r="AV113" s="11">
        <f t="shared" si="87"/>
        <v>0</v>
      </c>
      <c r="AW113" s="11">
        <f t="shared" si="87"/>
        <v>0</v>
      </c>
      <c r="AX113" s="11">
        <f t="shared" si="87"/>
        <v>0</v>
      </c>
      <c r="AY113" s="11">
        <f t="shared" si="87"/>
        <v>0</v>
      </c>
      <c r="AZ113" s="11">
        <f t="shared" si="87"/>
        <v>0</v>
      </c>
      <c r="BA113" s="11">
        <f t="shared" si="87"/>
        <v>0</v>
      </c>
      <c r="BB113" s="11">
        <f t="shared" si="87"/>
        <v>0</v>
      </c>
      <c r="BC113" s="11">
        <f t="shared" si="87"/>
        <v>181</v>
      </c>
      <c r="BD113" s="11">
        <f t="shared" si="87"/>
        <v>190</v>
      </c>
      <c r="BE113" s="11">
        <f t="shared" si="87"/>
        <v>22</v>
      </c>
      <c r="BF113" s="11">
        <f t="shared" si="87"/>
        <v>1388</v>
      </c>
      <c r="BG113" s="11">
        <f t="shared" si="87"/>
        <v>34113</v>
      </c>
      <c r="BH113" s="11">
        <f t="shared" si="87"/>
        <v>64902</v>
      </c>
      <c r="BI113" s="11">
        <f t="shared" si="87"/>
        <v>789467</v>
      </c>
      <c r="BJ113" s="11">
        <f t="shared" si="87"/>
        <v>0</v>
      </c>
      <c r="BK113" s="11">
        <f t="shared" si="87"/>
        <v>789467</v>
      </c>
      <c r="BL113" s="11">
        <f>BL107-BL104</f>
        <v>149332</v>
      </c>
      <c r="BM113" s="11">
        <f>BM107-BM104</f>
        <v>-64902</v>
      </c>
    </row>
    <row r="114" spans="1:65"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279"/>
      <c r="AQ114" s="6"/>
      <c r="AR114" s="5"/>
      <c r="AS114" s="5"/>
      <c r="AT114" s="5"/>
      <c r="AU114" s="5"/>
      <c r="AV114" s="5"/>
      <c r="AW114" s="6"/>
      <c r="AX114" s="5"/>
      <c r="AY114" s="5"/>
      <c r="AZ114" s="5"/>
      <c r="BA114" s="5"/>
      <c r="BB114" s="6"/>
      <c r="BC114" s="5"/>
      <c r="BD114" s="5"/>
      <c r="BE114" s="5"/>
      <c r="BF114" s="5"/>
      <c r="BG114" s="5"/>
      <c r="BH114" s="16"/>
      <c r="BI114" s="44"/>
      <c r="BJ114" s="5"/>
      <c r="BK114" s="50"/>
    </row>
    <row r="115" spans="1:65" s="179" customFormat="1" ht="15.75">
      <c r="A115" s="269" t="s">
        <v>135</v>
      </c>
      <c r="B115" s="9" t="s">
        <v>316</v>
      </c>
      <c r="C115" s="225">
        <v>0</v>
      </c>
      <c r="D115" s="225">
        <v>0</v>
      </c>
      <c r="E115" s="225">
        <v>0</v>
      </c>
      <c r="F115" s="225">
        <v>0</v>
      </c>
      <c r="G115" s="225">
        <v>0</v>
      </c>
      <c r="H115" s="225">
        <v>809805</v>
      </c>
      <c r="I115" s="225">
        <v>0</v>
      </c>
      <c r="J115" s="225">
        <v>0</v>
      </c>
      <c r="K115" s="225">
        <v>0</v>
      </c>
      <c r="L115" s="225">
        <v>0</v>
      </c>
      <c r="M115" s="225">
        <v>0</v>
      </c>
      <c r="N115" s="225">
        <v>0</v>
      </c>
      <c r="O115" s="225">
        <v>0</v>
      </c>
      <c r="P115" s="225">
        <v>0</v>
      </c>
      <c r="Q115" s="225">
        <v>0</v>
      </c>
      <c r="R115" s="225">
        <v>0</v>
      </c>
      <c r="S115" s="225">
        <v>0</v>
      </c>
      <c r="T115" s="225">
        <v>0</v>
      </c>
      <c r="U115" s="225">
        <v>0</v>
      </c>
      <c r="V115" s="225">
        <v>0</v>
      </c>
      <c r="W115" s="225">
        <v>0</v>
      </c>
      <c r="X115" s="225">
        <v>0</v>
      </c>
      <c r="Y115" s="225">
        <v>0</v>
      </c>
      <c r="Z115" s="225">
        <v>0</v>
      </c>
      <c r="AA115" s="225">
        <v>0</v>
      </c>
      <c r="AB115" s="225">
        <v>0</v>
      </c>
      <c r="AC115" s="225">
        <v>0</v>
      </c>
      <c r="AD115" s="226">
        <f>SUM(C115:AC115)</f>
        <v>809805</v>
      </c>
      <c r="AE115" s="225">
        <v>0</v>
      </c>
      <c r="AF115" s="225">
        <v>0</v>
      </c>
      <c r="AG115" s="225">
        <v>0</v>
      </c>
      <c r="AH115" s="225">
        <v>0</v>
      </c>
      <c r="AI115" s="225">
        <v>0</v>
      </c>
      <c r="AJ115" s="225">
        <v>0</v>
      </c>
      <c r="AK115" s="225">
        <v>0</v>
      </c>
      <c r="AL115" s="225">
        <v>0</v>
      </c>
      <c r="AM115" s="225">
        <v>0</v>
      </c>
      <c r="AN115" s="225">
        <v>0</v>
      </c>
      <c r="AO115" s="225">
        <v>0</v>
      </c>
      <c r="AP115" s="274">
        <v>0</v>
      </c>
      <c r="AQ115" s="225">
        <v>0</v>
      </c>
      <c r="AR115" s="225">
        <v>0</v>
      </c>
      <c r="AS115" s="225">
        <v>0</v>
      </c>
      <c r="AT115" s="225">
        <v>0</v>
      </c>
      <c r="AU115" s="225">
        <v>0</v>
      </c>
      <c r="AV115" s="225">
        <v>0</v>
      </c>
      <c r="AW115" s="225">
        <v>0</v>
      </c>
      <c r="AX115" s="225">
        <v>0</v>
      </c>
      <c r="AY115" s="225">
        <v>0</v>
      </c>
      <c r="AZ115" s="225">
        <v>0</v>
      </c>
      <c r="BA115" s="225">
        <v>0</v>
      </c>
      <c r="BB115" s="225">
        <v>0</v>
      </c>
      <c r="BC115" s="225">
        <v>0</v>
      </c>
      <c r="BD115" s="225">
        <v>0</v>
      </c>
      <c r="BE115" s="225">
        <v>0</v>
      </c>
      <c r="BF115" s="225">
        <v>0</v>
      </c>
      <c r="BG115" s="225">
        <v>1139603</v>
      </c>
      <c r="BH115" s="229">
        <f>SUM(AE115:BG115)</f>
        <v>1139603</v>
      </c>
      <c r="BI115" s="125">
        <f>AD115+BH115</f>
        <v>1949408</v>
      </c>
      <c r="BJ115" s="230">
        <v>1137955</v>
      </c>
      <c r="BK115" s="226">
        <f>BI115-BJ115</f>
        <v>811453</v>
      </c>
      <c r="BM115" s="228">
        <f>BK115-AD115</f>
        <v>1648</v>
      </c>
    </row>
    <row r="116" spans="1:65" s="41" customFormat="1" ht="15.75">
      <c r="A116" s="136"/>
      <c r="B116" s="234" t="s">
        <v>317</v>
      </c>
      <c r="C116" s="10">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153863</v>
      </c>
      <c r="I116" s="10">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v>0</v>
      </c>
      <c r="R116" s="10">
        <f>IF('[1]Upto Month Current'!$L$21="",0,'[1]Upto Month Current'!$L$21)</f>
        <v>0</v>
      </c>
      <c r="S116" s="10">
        <f>IF('[1]Upto Month Current'!$L$26="",0,'[1]Upto Month Current'!$L$26)</f>
        <v>0</v>
      </c>
      <c r="T116" s="10">
        <f>IF('[1]Upto Month Current'!$L$27="",0,'[1]Upto Month Current'!$L$27)</f>
        <v>0</v>
      </c>
      <c r="U116" s="10">
        <f>IF('[1]Upto Month Current'!$L$30="",0,'[1]Upto Month Current'!$L$30)</f>
        <v>0</v>
      </c>
      <c r="V116" s="10">
        <v>0</v>
      </c>
      <c r="W116" s="10">
        <f>IF('[1]Upto Month Current'!$L$39="",0,'[1]Upto Month Current'!$L$39)</f>
        <v>0</v>
      </c>
      <c r="X116" s="10">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3">
        <f>SUM(C116:AC116)</f>
        <v>153863</v>
      </c>
      <c r="AE116" s="10">
        <f>IF('[1]Upto Month Current'!$L$19="",0,'[1]Upto Month Current'!$L$19)</f>
        <v>0</v>
      </c>
      <c r="AF116" s="10">
        <f>IF('[1]Upto Month Current'!$L$20="",0,'[1]Upto Month Current'!$L$20)</f>
        <v>0</v>
      </c>
      <c r="AG116" s="10">
        <f>IF('[1]Upto Month Current'!$L$22="",0,'[1]Upto Month Current'!$L$22)</f>
        <v>0</v>
      </c>
      <c r="AH116" s="10">
        <v>0</v>
      </c>
      <c r="AI116" s="10">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250">
        <f>IF('[1]Upto Month Current'!$L$34="",0,'[1]Upto Month Current'!$L$34)</f>
        <v>0</v>
      </c>
      <c r="AQ116" s="10">
        <v>0</v>
      </c>
      <c r="AR116" s="10">
        <f>IF('[1]Upto Month Current'!$L$37="",0,'[1]Upto Month Current'!$L$37)</f>
        <v>0</v>
      </c>
      <c r="AS116" s="10">
        <v>0</v>
      </c>
      <c r="AT116" s="10">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v>0</v>
      </c>
      <c r="BF116" s="10">
        <f>IF('[1]Upto Month Current'!$L$56="",0,'[1]Upto Month Current'!$L$56)</f>
        <v>0</v>
      </c>
      <c r="BG116" s="10">
        <v>-332</v>
      </c>
      <c r="BH116" s="10">
        <f>SUM(AE116:BG116)</f>
        <v>-332</v>
      </c>
      <c r="BI116" s="219">
        <f>AD116+BH116</f>
        <v>153531</v>
      </c>
      <c r="BJ116" s="10"/>
      <c r="BK116" s="10">
        <f>BI116-BJ116</f>
        <v>153531</v>
      </c>
      <c r="BL116" s="41">
        <f>'[1]Upto Month Current'!$L$61</f>
        <v>297912</v>
      </c>
      <c r="BM116" s="218">
        <f>BK116-AD116</f>
        <v>-332</v>
      </c>
    </row>
    <row r="117" spans="1:65" ht="15.75">
      <c r="A117" s="130"/>
      <c r="B117" s="12" t="s">
        <v>318</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153452</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SUM(C117:AC117)</f>
        <v>153452</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275">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193672</v>
      </c>
      <c r="BH117" s="9">
        <f>SUM(AE117:BG117)</f>
        <v>193672</v>
      </c>
      <c r="BI117" s="127">
        <f>AD117+BH117</f>
        <v>347124</v>
      </c>
      <c r="BJ117" s="9">
        <f>IF('Upto Month COPPY'!$L$60="",0,'Upto Month COPPY'!$L$60)</f>
        <v>193276</v>
      </c>
      <c r="BK117" s="51">
        <f>BI117-BJ117</f>
        <v>153848</v>
      </c>
      <c r="BL117">
        <f>'Upto Month COPPY'!$L$61</f>
        <v>153848</v>
      </c>
      <c r="BM117" s="30">
        <f>BK117-AD117</f>
        <v>396</v>
      </c>
    </row>
    <row r="118" spans="1:65" ht="17.25" customHeight="1">
      <c r="A118" s="130"/>
      <c r="B118" s="183" t="s">
        <v>319</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176599</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SUM(C118:AC118)</f>
        <v>176599</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275">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203219</v>
      </c>
      <c r="BH118" s="9">
        <f>SUM(AE118:BG118)</f>
        <v>203219</v>
      </c>
      <c r="BI118" s="127">
        <f>AD118+BH118</f>
        <v>379818</v>
      </c>
      <c r="BJ118" s="9">
        <f>IF('Upto Month Current'!$L$60="",0,'Upto Month Current'!$L$60)</f>
        <v>202499</v>
      </c>
      <c r="BK118" s="51">
        <f>BI118-BJ118</f>
        <v>177319</v>
      </c>
      <c r="BL118">
        <f>'Upto Month Current'!$L$61</f>
        <v>177319</v>
      </c>
      <c r="BM118" s="30">
        <f>BK118-AD118</f>
        <v>720</v>
      </c>
    </row>
    <row r="119" spans="1:65" ht="15.75">
      <c r="A119" s="130"/>
      <c r="B119" s="5" t="s">
        <v>124</v>
      </c>
      <c r="C119" s="11">
        <f t="shared" ref="C119:AH119" si="88">C118-C116</f>
        <v>0</v>
      </c>
      <c r="D119" s="11">
        <f t="shared" si="88"/>
        <v>0</v>
      </c>
      <c r="E119" s="11">
        <f t="shared" si="88"/>
        <v>0</v>
      </c>
      <c r="F119" s="11">
        <f t="shared" si="88"/>
        <v>0</v>
      </c>
      <c r="G119" s="11">
        <f t="shared" si="88"/>
        <v>0</v>
      </c>
      <c r="H119" s="11">
        <f t="shared" si="88"/>
        <v>22736</v>
      </c>
      <c r="I119" s="11">
        <f t="shared" si="88"/>
        <v>0</v>
      </c>
      <c r="J119" s="11">
        <f t="shared" si="88"/>
        <v>0</v>
      </c>
      <c r="K119" s="11">
        <f t="shared" si="88"/>
        <v>0</v>
      </c>
      <c r="L119" s="11">
        <f t="shared" si="88"/>
        <v>0</v>
      </c>
      <c r="M119" s="11">
        <f t="shared" si="88"/>
        <v>0</v>
      </c>
      <c r="N119" s="11">
        <f t="shared" si="88"/>
        <v>0</v>
      </c>
      <c r="O119" s="11">
        <f t="shared" si="88"/>
        <v>0</v>
      </c>
      <c r="P119" s="11">
        <f t="shared" si="88"/>
        <v>0</v>
      </c>
      <c r="Q119" s="11">
        <f t="shared" si="88"/>
        <v>0</v>
      </c>
      <c r="R119" s="11">
        <f t="shared" si="88"/>
        <v>0</v>
      </c>
      <c r="S119" s="11">
        <f t="shared" si="88"/>
        <v>0</v>
      </c>
      <c r="T119" s="11">
        <f t="shared" si="88"/>
        <v>0</v>
      </c>
      <c r="U119" s="11">
        <f t="shared" si="88"/>
        <v>0</v>
      </c>
      <c r="V119" s="9">
        <f t="shared" si="88"/>
        <v>0</v>
      </c>
      <c r="W119" s="11">
        <f t="shared" si="88"/>
        <v>0</v>
      </c>
      <c r="X119" s="11">
        <f t="shared" si="88"/>
        <v>0</v>
      </c>
      <c r="Y119" s="11">
        <f t="shared" si="88"/>
        <v>0</v>
      </c>
      <c r="Z119" s="11">
        <f t="shared" si="88"/>
        <v>0</v>
      </c>
      <c r="AA119" s="11">
        <f t="shared" si="88"/>
        <v>0</v>
      </c>
      <c r="AB119" s="11">
        <f t="shared" si="88"/>
        <v>0</v>
      </c>
      <c r="AC119" s="10">
        <f t="shared" si="88"/>
        <v>0</v>
      </c>
      <c r="AD119" s="11">
        <f t="shared" si="88"/>
        <v>22736</v>
      </c>
      <c r="AE119" s="11">
        <f t="shared" si="88"/>
        <v>0</v>
      </c>
      <c r="AF119" s="11">
        <f t="shared" si="88"/>
        <v>0</v>
      </c>
      <c r="AG119" s="11">
        <f t="shared" si="88"/>
        <v>0</v>
      </c>
      <c r="AH119" s="11">
        <f t="shared" si="88"/>
        <v>0</v>
      </c>
      <c r="AI119" s="11">
        <f t="shared" ref="AI119:BK119" si="89">AI118-AI116</f>
        <v>0</v>
      </c>
      <c r="AJ119" s="11">
        <f t="shared" si="89"/>
        <v>0</v>
      </c>
      <c r="AK119" s="11">
        <f t="shared" si="89"/>
        <v>0</v>
      </c>
      <c r="AL119" s="11">
        <f t="shared" si="89"/>
        <v>0</v>
      </c>
      <c r="AM119" s="11">
        <f t="shared" si="89"/>
        <v>0</v>
      </c>
      <c r="AN119" s="11">
        <f t="shared" si="89"/>
        <v>0</v>
      </c>
      <c r="AO119" s="9">
        <f t="shared" si="89"/>
        <v>0</v>
      </c>
      <c r="AP119" s="276">
        <f t="shared" si="89"/>
        <v>0</v>
      </c>
      <c r="AQ119" s="10">
        <f t="shared" si="89"/>
        <v>0</v>
      </c>
      <c r="AR119" s="11">
        <f t="shared" si="89"/>
        <v>0</v>
      </c>
      <c r="AS119" s="11">
        <f t="shared" si="89"/>
        <v>0</v>
      </c>
      <c r="AT119" s="11">
        <f t="shared" si="89"/>
        <v>0</v>
      </c>
      <c r="AU119" s="11">
        <f t="shared" si="89"/>
        <v>0</v>
      </c>
      <c r="AV119" s="11">
        <f t="shared" si="89"/>
        <v>0</v>
      </c>
      <c r="AW119" s="11">
        <f t="shared" si="89"/>
        <v>0</v>
      </c>
      <c r="AX119" s="11">
        <f t="shared" si="89"/>
        <v>0</v>
      </c>
      <c r="AY119" s="11">
        <f t="shared" si="89"/>
        <v>0</v>
      </c>
      <c r="AZ119" s="11">
        <f t="shared" si="89"/>
        <v>0</v>
      </c>
      <c r="BA119" s="11">
        <f t="shared" si="89"/>
        <v>0</v>
      </c>
      <c r="BB119" s="10">
        <f t="shared" si="89"/>
        <v>0</v>
      </c>
      <c r="BC119" s="11">
        <f t="shared" si="89"/>
        <v>0</v>
      </c>
      <c r="BD119" s="11">
        <f t="shared" si="89"/>
        <v>0</v>
      </c>
      <c r="BE119" s="11">
        <f t="shared" si="89"/>
        <v>0</v>
      </c>
      <c r="BF119" s="11">
        <f t="shared" si="89"/>
        <v>0</v>
      </c>
      <c r="BG119" s="11">
        <f t="shared" si="89"/>
        <v>203551</v>
      </c>
      <c r="BH119" s="9">
        <f t="shared" si="89"/>
        <v>203551</v>
      </c>
      <c r="BI119" s="45">
        <f t="shared" si="89"/>
        <v>226287</v>
      </c>
      <c r="BJ119" s="11">
        <f t="shared" si="89"/>
        <v>202499</v>
      </c>
      <c r="BK119" s="51">
        <f t="shared" si="89"/>
        <v>23788</v>
      </c>
      <c r="BM119" s="30">
        <f>BK119-AD119</f>
        <v>1052</v>
      </c>
    </row>
    <row r="120" spans="1:65" ht="15.75">
      <c r="A120" s="130"/>
      <c r="B120" s="5" t="s">
        <v>125</v>
      </c>
      <c r="C120" s="13" t="e">
        <f t="shared" ref="C120:AH120" si="90">C119/C116</f>
        <v>#DIV/0!</v>
      </c>
      <c r="D120" s="13" t="e">
        <f t="shared" si="90"/>
        <v>#DIV/0!</v>
      </c>
      <c r="E120" s="13" t="e">
        <f t="shared" si="90"/>
        <v>#DIV/0!</v>
      </c>
      <c r="F120" s="13" t="e">
        <f t="shared" si="90"/>
        <v>#DIV/0!</v>
      </c>
      <c r="G120" s="13" t="e">
        <f t="shared" si="90"/>
        <v>#DIV/0!</v>
      </c>
      <c r="H120" s="13">
        <f t="shared" si="90"/>
        <v>0.14776781942377309</v>
      </c>
      <c r="I120" s="13" t="e">
        <f t="shared" si="90"/>
        <v>#DIV/0!</v>
      </c>
      <c r="J120" s="13" t="e">
        <f t="shared" si="90"/>
        <v>#DIV/0!</v>
      </c>
      <c r="K120" s="13" t="e">
        <f t="shared" si="90"/>
        <v>#DIV/0!</v>
      </c>
      <c r="L120" s="13" t="e">
        <f t="shared" si="90"/>
        <v>#DIV/0!</v>
      </c>
      <c r="M120" s="13" t="e">
        <f t="shared" si="90"/>
        <v>#DIV/0!</v>
      </c>
      <c r="N120" s="13" t="e">
        <f t="shared" si="90"/>
        <v>#DIV/0!</v>
      </c>
      <c r="O120" s="13" t="e">
        <f t="shared" si="90"/>
        <v>#DIV/0!</v>
      </c>
      <c r="P120" s="13" t="e">
        <f t="shared" si="90"/>
        <v>#DIV/0!</v>
      </c>
      <c r="Q120" s="13" t="e">
        <f t="shared" si="90"/>
        <v>#DIV/0!</v>
      </c>
      <c r="R120" s="13" t="e">
        <f t="shared" si="90"/>
        <v>#DIV/0!</v>
      </c>
      <c r="S120" s="13" t="e">
        <f t="shared" si="90"/>
        <v>#DIV/0!</v>
      </c>
      <c r="T120" s="13" t="e">
        <f t="shared" si="90"/>
        <v>#DIV/0!</v>
      </c>
      <c r="U120" s="13" t="e">
        <f t="shared" si="90"/>
        <v>#DIV/0!</v>
      </c>
      <c r="V120" s="163" t="e">
        <f t="shared" si="90"/>
        <v>#DIV/0!</v>
      </c>
      <c r="W120" s="13" t="e">
        <f t="shared" si="90"/>
        <v>#DIV/0!</v>
      </c>
      <c r="X120" s="13" t="e">
        <f t="shared" si="90"/>
        <v>#DIV/0!</v>
      </c>
      <c r="Y120" s="13" t="e">
        <f t="shared" si="90"/>
        <v>#DIV/0!</v>
      </c>
      <c r="Z120" s="13" t="e">
        <f t="shared" si="90"/>
        <v>#DIV/0!</v>
      </c>
      <c r="AA120" s="13" t="e">
        <f t="shared" si="90"/>
        <v>#DIV/0!</v>
      </c>
      <c r="AB120" s="13" t="e">
        <f t="shared" si="90"/>
        <v>#DIV/0!</v>
      </c>
      <c r="AC120" s="14" t="e">
        <f t="shared" si="90"/>
        <v>#DIV/0!</v>
      </c>
      <c r="AD120" s="13">
        <f t="shared" si="90"/>
        <v>0.14776781942377309</v>
      </c>
      <c r="AE120" s="13" t="e">
        <f t="shared" si="90"/>
        <v>#DIV/0!</v>
      </c>
      <c r="AF120" s="13" t="e">
        <f t="shared" si="90"/>
        <v>#DIV/0!</v>
      </c>
      <c r="AG120" s="13" t="e">
        <f t="shared" si="90"/>
        <v>#DIV/0!</v>
      </c>
      <c r="AH120" s="13" t="e">
        <f t="shared" si="90"/>
        <v>#DIV/0!</v>
      </c>
      <c r="AI120" s="13" t="e">
        <f t="shared" ref="AI120:BK120" si="91">AI119/AI116</f>
        <v>#DIV/0!</v>
      </c>
      <c r="AJ120" s="13" t="e">
        <f t="shared" si="91"/>
        <v>#DIV/0!</v>
      </c>
      <c r="AK120" s="13" t="e">
        <f t="shared" si="91"/>
        <v>#DIV/0!</v>
      </c>
      <c r="AL120" s="13" t="e">
        <f t="shared" si="91"/>
        <v>#DIV/0!</v>
      </c>
      <c r="AM120" s="13" t="e">
        <f t="shared" si="91"/>
        <v>#DIV/0!</v>
      </c>
      <c r="AN120" s="13" t="e">
        <f t="shared" si="91"/>
        <v>#DIV/0!</v>
      </c>
      <c r="AO120" s="163" t="e">
        <f t="shared" si="91"/>
        <v>#DIV/0!</v>
      </c>
      <c r="AP120" s="277" t="e">
        <f t="shared" si="91"/>
        <v>#DIV/0!</v>
      </c>
      <c r="AQ120" s="14" t="e">
        <f t="shared" si="91"/>
        <v>#DIV/0!</v>
      </c>
      <c r="AR120" s="13" t="e">
        <f t="shared" si="91"/>
        <v>#DIV/0!</v>
      </c>
      <c r="AS120" s="13" t="e">
        <f t="shared" si="91"/>
        <v>#DIV/0!</v>
      </c>
      <c r="AT120" s="13" t="e">
        <f t="shared" si="91"/>
        <v>#DIV/0!</v>
      </c>
      <c r="AU120" s="13" t="e">
        <f t="shared" si="91"/>
        <v>#DIV/0!</v>
      </c>
      <c r="AV120" s="13" t="e">
        <f t="shared" si="91"/>
        <v>#DIV/0!</v>
      </c>
      <c r="AW120" s="13" t="e">
        <f t="shared" si="91"/>
        <v>#DIV/0!</v>
      </c>
      <c r="AX120" s="13" t="e">
        <f t="shared" si="91"/>
        <v>#DIV/0!</v>
      </c>
      <c r="AY120" s="13" t="e">
        <f t="shared" si="91"/>
        <v>#DIV/0!</v>
      </c>
      <c r="AZ120" s="13" t="e">
        <f t="shared" si="91"/>
        <v>#DIV/0!</v>
      </c>
      <c r="BA120" s="13" t="e">
        <f t="shared" si="91"/>
        <v>#DIV/0!</v>
      </c>
      <c r="BB120" s="14" t="e">
        <f t="shared" si="91"/>
        <v>#DIV/0!</v>
      </c>
      <c r="BC120" s="13" t="e">
        <f t="shared" si="91"/>
        <v>#DIV/0!</v>
      </c>
      <c r="BD120" s="13" t="e">
        <f t="shared" si="91"/>
        <v>#DIV/0!</v>
      </c>
      <c r="BE120" s="13" t="e">
        <f t="shared" si="91"/>
        <v>#DIV/0!</v>
      </c>
      <c r="BF120" s="13" t="e">
        <f t="shared" si="91"/>
        <v>#DIV/0!</v>
      </c>
      <c r="BG120" s="13">
        <f t="shared" si="91"/>
        <v>-613.10542168674704</v>
      </c>
      <c r="BH120" s="163">
        <f t="shared" si="91"/>
        <v>-613.10542168674704</v>
      </c>
      <c r="BI120" s="46">
        <f t="shared" si="91"/>
        <v>1.4738847529163492</v>
      </c>
      <c r="BJ120" s="13" t="e">
        <f t="shared" si="91"/>
        <v>#DIV/0!</v>
      </c>
      <c r="BK120" s="52">
        <f t="shared" si="91"/>
        <v>0.15493939334727189</v>
      </c>
      <c r="BM120" s="163">
        <f>BM119/BM116</f>
        <v>-3.1686746987951806</v>
      </c>
    </row>
    <row r="121" spans="1:65" ht="15.75">
      <c r="A121" s="130"/>
      <c r="B121" s="5" t="s">
        <v>126</v>
      </c>
      <c r="C121" s="11">
        <f>C118-C117</f>
        <v>0</v>
      </c>
      <c r="D121" s="11">
        <f t="shared" ref="D121:BK121" si="92">D118-D117</f>
        <v>0</v>
      </c>
      <c r="E121" s="11">
        <f t="shared" si="92"/>
        <v>0</v>
      </c>
      <c r="F121" s="11">
        <f t="shared" si="92"/>
        <v>0</v>
      </c>
      <c r="G121" s="11">
        <f t="shared" si="92"/>
        <v>0</v>
      </c>
      <c r="H121" s="11">
        <f t="shared" si="92"/>
        <v>23147</v>
      </c>
      <c r="I121" s="11">
        <f t="shared" si="92"/>
        <v>0</v>
      </c>
      <c r="J121" s="11">
        <f t="shared" si="92"/>
        <v>0</v>
      </c>
      <c r="K121" s="11">
        <f t="shared" si="92"/>
        <v>0</v>
      </c>
      <c r="L121" s="11">
        <f t="shared" si="92"/>
        <v>0</v>
      </c>
      <c r="M121" s="11">
        <f t="shared" si="92"/>
        <v>0</v>
      </c>
      <c r="N121" s="11">
        <f t="shared" si="92"/>
        <v>0</v>
      </c>
      <c r="O121" s="11">
        <f t="shared" si="92"/>
        <v>0</v>
      </c>
      <c r="P121" s="11">
        <f t="shared" si="92"/>
        <v>0</v>
      </c>
      <c r="Q121" s="11">
        <f t="shared" si="92"/>
        <v>0</v>
      </c>
      <c r="R121" s="11">
        <f t="shared" si="92"/>
        <v>0</v>
      </c>
      <c r="S121" s="11">
        <f t="shared" si="92"/>
        <v>0</v>
      </c>
      <c r="T121" s="11">
        <f t="shared" si="92"/>
        <v>0</v>
      </c>
      <c r="U121" s="11">
        <f>U118-U117</f>
        <v>0</v>
      </c>
      <c r="V121" s="9">
        <f t="shared" si="92"/>
        <v>0</v>
      </c>
      <c r="W121" s="11">
        <f t="shared" si="92"/>
        <v>0</v>
      </c>
      <c r="X121" s="11">
        <f t="shared" si="92"/>
        <v>0</v>
      </c>
      <c r="Y121" s="11">
        <f t="shared" si="92"/>
        <v>0</v>
      </c>
      <c r="Z121" s="11">
        <f t="shared" si="92"/>
        <v>0</v>
      </c>
      <c r="AA121" s="11">
        <f t="shared" si="92"/>
        <v>0</v>
      </c>
      <c r="AB121" s="11">
        <f>AB118-AB117</f>
        <v>0</v>
      </c>
      <c r="AC121" s="10">
        <f>AC118-AC117</f>
        <v>0</v>
      </c>
      <c r="AD121" s="11">
        <f>AD118-AD117</f>
        <v>23147</v>
      </c>
      <c r="AE121" s="11">
        <f t="shared" si="92"/>
        <v>0</v>
      </c>
      <c r="AF121" s="11">
        <f t="shared" si="92"/>
        <v>0</v>
      </c>
      <c r="AG121" s="11">
        <f t="shared" si="92"/>
        <v>0</v>
      </c>
      <c r="AH121" s="11">
        <f t="shared" si="92"/>
        <v>0</v>
      </c>
      <c r="AI121" s="11">
        <f t="shared" si="92"/>
        <v>0</v>
      </c>
      <c r="AJ121" s="11">
        <f t="shared" si="92"/>
        <v>0</v>
      </c>
      <c r="AK121" s="11">
        <f t="shared" si="92"/>
        <v>0</v>
      </c>
      <c r="AL121" s="11">
        <f t="shared" si="92"/>
        <v>0</v>
      </c>
      <c r="AM121" s="11">
        <f t="shared" si="92"/>
        <v>0</v>
      </c>
      <c r="AN121" s="11">
        <f t="shared" si="92"/>
        <v>0</v>
      </c>
      <c r="AO121" s="9">
        <f t="shared" si="92"/>
        <v>0</v>
      </c>
      <c r="AP121" s="276">
        <f t="shared" si="92"/>
        <v>0</v>
      </c>
      <c r="AQ121" s="10">
        <f t="shared" si="92"/>
        <v>0</v>
      </c>
      <c r="AR121" s="11">
        <f t="shared" si="92"/>
        <v>0</v>
      </c>
      <c r="AS121" s="11">
        <f t="shared" si="92"/>
        <v>0</v>
      </c>
      <c r="AT121" s="11">
        <f t="shared" si="92"/>
        <v>0</v>
      </c>
      <c r="AU121" s="11">
        <f t="shared" si="92"/>
        <v>0</v>
      </c>
      <c r="AV121" s="11">
        <f t="shared" si="92"/>
        <v>0</v>
      </c>
      <c r="AW121" s="11">
        <f t="shared" si="92"/>
        <v>0</v>
      </c>
      <c r="AX121" s="11">
        <f t="shared" si="92"/>
        <v>0</v>
      </c>
      <c r="AY121" s="11">
        <f t="shared" si="92"/>
        <v>0</v>
      </c>
      <c r="AZ121" s="11">
        <f t="shared" si="92"/>
        <v>0</v>
      </c>
      <c r="BA121" s="11">
        <f t="shared" si="92"/>
        <v>0</v>
      </c>
      <c r="BB121" s="10">
        <f t="shared" si="92"/>
        <v>0</v>
      </c>
      <c r="BC121" s="11">
        <f t="shared" si="92"/>
        <v>0</v>
      </c>
      <c r="BD121" s="11">
        <f t="shared" si="92"/>
        <v>0</v>
      </c>
      <c r="BE121" s="11">
        <f t="shared" si="92"/>
        <v>0</v>
      </c>
      <c r="BF121" s="11">
        <f t="shared" si="92"/>
        <v>0</v>
      </c>
      <c r="BG121" s="11">
        <f t="shared" si="92"/>
        <v>9547</v>
      </c>
      <c r="BH121" s="9">
        <f t="shared" si="92"/>
        <v>9547</v>
      </c>
      <c r="BI121" s="45">
        <f t="shared" si="92"/>
        <v>32694</v>
      </c>
      <c r="BJ121" s="11">
        <f t="shared" si="92"/>
        <v>9223</v>
      </c>
      <c r="BK121" s="51">
        <f t="shared" si="92"/>
        <v>23471</v>
      </c>
      <c r="BM121" s="30">
        <f>BK121-AD121</f>
        <v>324</v>
      </c>
    </row>
    <row r="122" spans="1:65" ht="15.75">
      <c r="A122" s="130"/>
      <c r="B122" s="5" t="s">
        <v>127</v>
      </c>
      <c r="C122" s="13" t="e">
        <f t="shared" ref="C122:AH122" si="93">C121/C117</f>
        <v>#DIV/0!</v>
      </c>
      <c r="D122" s="13" t="e">
        <f t="shared" si="93"/>
        <v>#DIV/0!</v>
      </c>
      <c r="E122" s="13" t="e">
        <f t="shared" si="93"/>
        <v>#DIV/0!</v>
      </c>
      <c r="F122" s="13" t="e">
        <f t="shared" si="93"/>
        <v>#DIV/0!</v>
      </c>
      <c r="G122" s="13" t="e">
        <f t="shared" si="93"/>
        <v>#DIV/0!</v>
      </c>
      <c r="H122" s="13">
        <f t="shared" si="93"/>
        <v>0.15084195709407502</v>
      </c>
      <c r="I122" s="13" t="e">
        <f t="shared" si="93"/>
        <v>#DIV/0!</v>
      </c>
      <c r="J122" s="13" t="e">
        <f t="shared" si="93"/>
        <v>#DIV/0!</v>
      </c>
      <c r="K122" s="13" t="e">
        <f t="shared" si="93"/>
        <v>#DIV/0!</v>
      </c>
      <c r="L122" s="13" t="e">
        <f t="shared" si="93"/>
        <v>#DIV/0!</v>
      </c>
      <c r="M122" s="13" t="e">
        <f t="shared" si="93"/>
        <v>#DIV/0!</v>
      </c>
      <c r="N122" s="13" t="e">
        <f t="shared" si="93"/>
        <v>#DIV/0!</v>
      </c>
      <c r="O122" s="13" t="e">
        <f t="shared" si="93"/>
        <v>#DIV/0!</v>
      </c>
      <c r="P122" s="13" t="e">
        <f t="shared" si="93"/>
        <v>#DIV/0!</v>
      </c>
      <c r="Q122" s="13" t="e">
        <f t="shared" si="93"/>
        <v>#DIV/0!</v>
      </c>
      <c r="R122" s="13" t="e">
        <f t="shared" si="93"/>
        <v>#DIV/0!</v>
      </c>
      <c r="S122" s="13" t="e">
        <f t="shared" si="93"/>
        <v>#DIV/0!</v>
      </c>
      <c r="T122" s="13" t="e">
        <f t="shared" si="93"/>
        <v>#DIV/0!</v>
      </c>
      <c r="U122" s="13" t="e">
        <f t="shared" si="93"/>
        <v>#DIV/0!</v>
      </c>
      <c r="V122" s="163" t="e">
        <f t="shared" si="93"/>
        <v>#DIV/0!</v>
      </c>
      <c r="W122" s="13" t="e">
        <f t="shared" si="93"/>
        <v>#DIV/0!</v>
      </c>
      <c r="X122" s="13" t="e">
        <f t="shared" si="93"/>
        <v>#DIV/0!</v>
      </c>
      <c r="Y122" s="13" t="e">
        <f t="shared" si="93"/>
        <v>#DIV/0!</v>
      </c>
      <c r="Z122" s="13" t="e">
        <f t="shared" si="93"/>
        <v>#DIV/0!</v>
      </c>
      <c r="AA122" s="13" t="e">
        <f t="shared" si="93"/>
        <v>#DIV/0!</v>
      </c>
      <c r="AB122" s="13" t="e">
        <f t="shared" si="93"/>
        <v>#DIV/0!</v>
      </c>
      <c r="AC122" s="14" t="e">
        <f t="shared" si="93"/>
        <v>#DIV/0!</v>
      </c>
      <c r="AD122" s="13">
        <f t="shared" si="93"/>
        <v>0.15084195709407502</v>
      </c>
      <c r="AE122" s="13" t="e">
        <f t="shared" si="93"/>
        <v>#DIV/0!</v>
      </c>
      <c r="AF122" s="13" t="e">
        <f t="shared" si="93"/>
        <v>#DIV/0!</v>
      </c>
      <c r="AG122" s="13" t="e">
        <f t="shared" si="93"/>
        <v>#DIV/0!</v>
      </c>
      <c r="AH122" s="13" t="e">
        <f t="shared" si="93"/>
        <v>#DIV/0!</v>
      </c>
      <c r="AI122" s="13" t="e">
        <f t="shared" ref="AI122:BK122" si="94">AI121/AI117</f>
        <v>#DIV/0!</v>
      </c>
      <c r="AJ122" s="13" t="e">
        <f t="shared" si="94"/>
        <v>#DIV/0!</v>
      </c>
      <c r="AK122" s="13" t="e">
        <f t="shared" si="94"/>
        <v>#DIV/0!</v>
      </c>
      <c r="AL122" s="13" t="e">
        <f t="shared" si="94"/>
        <v>#DIV/0!</v>
      </c>
      <c r="AM122" s="13" t="e">
        <f t="shared" si="94"/>
        <v>#DIV/0!</v>
      </c>
      <c r="AN122" s="13" t="e">
        <f t="shared" si="94"/>
        <v>#DIV/0!</v>
      </c>
      <c r="AO122" s="163" t="e">
        <f t="shared" si="94"/>
        <v>#DIV/0!</v>
      </c>
      <c r="AP122" s="277" t="e">
        <f t="shared" si="94"/>
        <v>#DIV/0!</v>
      </c>
      <c r="AQ122" s="14" t="e">
        <f t="shared" si="94"/>
        <v>#DIV/0!</v>
      </c>
      <c r="AR122" s="13" t="e">
        <f t="shared" si="94"/>
        <v>#DIV/0!</v>
      </c>
      <c r="AS122" s="13" t="e">
        <f t="shared" si="94"/>
        <v>#DIV/0!</v>
      </c>
      <c r="AT122" s="13" t="e">
        <f t="shared" si="94"/>
        <v>#DIV/0!</v>
      </c>
      <c r="AU122" s="13" t="e">
        <f t="shared" si="94"/>
        <v>#DIV/0!</v>
      </c>
      <c r="AV122" s="13" t="e">
        <f t="shared" si="94"/>
        <v>#DIV/0!</v>
      </c>
      <c r="AW122" s="13" t="e">
        <f t="shared" si="94"/>
        <v>#DIV/0!</v>
      </c>
      <c r="AX122" s="13" t="e">
        <f t="shared" si="94"/>
        <v>#DIV/0!</v>
      </c>
      <c r="AY122" s="13" t="e">
        <f t="shared" si="94"/>
        <v>#DIV/0!</v>
      </c>
      <c r="AZ122" s="13" t="e">
        <f t="shared" si="94"/>
        <v>#DIV/0!</v>
      </c>
      <c r="BA122" s="13" t="e">
        <f t="shared" si="94"/>
        <v>#DIV/0!</v>
      </c>
      <c r="BB122" s="14" t="e">
        <f t="shared" si="94"/>
        <v>#DIV/0!</v>
      </c>
      <c r="BC122" s="13" t="e">
        <f t="shared" si="94"/>
        <v>#DIV/0!</v>
      </c>
      <c r="BD122" s="13" t="e">
        <f t="shared" si="94"/>
        <v>#DIV/0!</v>
      </c>
      <c r="BE122" s="13" t="e">
        <f t="shared" si="94"/>
        <v>#DIV/0!</v>
      </c>
      <c r="BF122" s="13" t="e">
        <f t="shared" si="94"/>
        <v>#DIV/0!</v>
      </c>
      <c r="BG122" s="13">
        <f t="shared" si="94"/>
        <v>4.9294683795282748E-2</v>
      </c>
      <c r="BH122" s="163">
        <f t="shared" si="94"/>
        <v>4.9294683795282748E-2</v>
      </c>
      <c r="BI122" s="46">
        <f t="shared" si="94"/>
        <v>9.4185363155529431E-2</v>
      </c>
      <c r="BJ122" s="13">
        <f t="shared" si="94"/>
        <v>4.771932366149962E-2</v>
      </c>
      <c r="BK122" s="52">
        <f t="shared" si="94"/>
        <v>0.15255966928396858</v>
      </c>
      <c r="BM122" s="14">
        <f>BM121/BM117</f>
        <v>0.81818181818181823</v>
      </c>
    </row>
    <row r="123" spans="1:65" ht="15.75">
      <c r="A123" s="130"/>
      <c r="B123" s="5" t="s">
        <v>323</v>
      </c>
      <c r="C123" s="128" t="e">
        <f>C118/C115</f>
        <v>#DIV/0!</v>
      </c>
      <c r="D123" s="128" t="e">
        <f t="shared" ref="D123:BK123" si="95">D118/D115</f>
        <v>#DIV/0!</v>
      </c>
      <c r="E123" s="128" t="e">
        <f t="shared" si="95"/>
        <v>#DIV/0!</v>
      </c>
      <c r="F123" s="128" t="e">
        <f t="shared" si="95"/>
        <v>#DIV/0!</v>
      </c>
      <c r="G123" s="128" t="e">
        <f t="shared" si="95"/>
        <v>#DIV/0!</v>
      </c>
      <c r="H123" s="128">
        <f t="shared" si="95"/>
        <v>0.21807595655744283</v>
      </c>
      <c r="I123" s="128" t="e">
        <f t="shared" si="95"/>
        <v>#DIV/0!</v>
      </c>
      <c r="J123" s="128" t="e">
        <f t="shared" si="95"/>
        <v>#DIV/0!</v>
      </c>
      <c r="K123" s="128" t="e">
        <f t="shared" si="95"/>
        <v>#DIV/0!</v>
      </c>
      <c r="L123" s="128" t="e">
        <f t="shared" si="95"/>
        <v>#DIV/0!</v>
      </c>
      <c r="M123" s="128" t="e">
        <f t="shared" si="95"/>
        <v>#DIV/0!</v>
      </c>
      <c r="N123" s="128" t="e">
        <f t="shared" si="95"/>
        <v>#DIV/0!</v>
      </c>
      <c r="O123" s="128" t="e">
        <f t="shared" si="95"/>
        <v>#DIV/0!</v>
      </c>
      <c r="P123" s="128" t="e">
        <f t="shared" si="95"/>
        <v>#DIV/0!</v>
      </c>
      <c r="Q123" s="128" t="e">
        <f t="shared" si="95"/>
        <v>#DIV/0!</v>
      </c>
      <c r="R123" s="128" t="e">
        <f t="shared" si="95"/>
        <v>#DIV/0!</v>
      </c>
      <c r="S123" s="128" t="e">
        <f t="shared" si="95"/>
        <v>#DIV/0!</v>
      </c>
      <c r="T123" s="128" t="e">
        <f t="shared" si="95"/>
        <v>#DIV/0!</v>
      </c>
      <c r="U123" s="128" t="e">
        <f t="shared" si="95"/>
        <v>#DIV/0!</v>
      </c>
      <c r="V123" s="178" t="e">
        <f t="shared" si="95"/>
        <v>#DIV/0!</v>
      </c>
      <c r="W123" s="128" t="e">
        <f t="shared" si="95"/>
        <v>#DIV/0!</v>
      </c>
      <c r="X123" s="128" t="e">
        <f t="shared" si="95"/>
        <v>#DIV/0!</v>
      </c>
      <c r="Y123" s="128" t="e">
        <f t="shared" si="95"/>
        <v>#DIV/0!</v>
      </c>
      <c r="Z123" s="128" t="e">
        <f t="shared" si="95"/>
        <v>#DIV/0!</v>
      </c>
      <c r="AA123" s="128" t="e">
        <f t="shared" si="95"/>
        <v>#DIV/0!</v>
      </c>
      <c r="AB123" s="128" t="e">
        <f>AB118/AB115</f>
        <v>#DIV/0!</v>
      </c>
      <c r="AC123" s="217" t="e">
        <f t="shared" si="95"/>
        <v>#DIV/0!</v>
      </c>
      <c r="AD123" s="128">
        <f t="shared" si="95"/>
        <v>0.21807595655744283</v>
      </c>
      <c r="AE123" s="128" t="e">
        <f t="shared" si="95"/>
        <v>#DIV/0!</v>
      </c>
      <c r="AF123" s="128" t="e">
        <f t="shared" si="95"/>
        <v>#DIV/0!</v>
      </c>
      <c r="AG123" s="128" t="e">
        <f t="shared" si="95"/>
        <v>#DIV/0!</v>
      </c>
      <c r="AH123" s="128" t="e">
        <f t="shared" si="95"/>
        <v>#DIV/0!</v>
      </c>
      <c r="AI123" s="128" t="e">
        <f t="shared" si="95"/>
        <v>#DIV/0!</v>
      </c>
      <c r="AJ123" s="128" t="e">
        <f t="shared" si="95"/>
        <v>#DIV/0!</v>
      </c>
      <c r="AK123" s="128" t="e">
        <f t="shared" si="95"/>
        <v>#DIV/0!</v>
      </c>
      <c r="AL123" s="128" t="e">
        <f t="shared" si="95"/>
        <v>#DIV/0!</v>
      </c>
      <c r="AM123" s="128" t="e">
        <f t="shared" si="95"/>
        <v>#DIV/0!</v>
      </c>
      <c r="AN123" s="128" t="e">
        <f t="shared" si="95"/>
        <v>#DIV/0!</v>
      </c>
      <c r="AO123" s="178" t="e">
        <f t="shared" si="95"/>
        <v>#DIV/0!</v>
      </c>
      <c r="AP123" s="278" t="e">
        <f t="shared" si="95"/>
        <v>#DIV/0!</v>
      </c>
      <c r="AQ123" s="217" t="e">
        <f t="shared" si="95"/>
        <v>#DIV/0!</v>
      </c>
      <c r="AR123" s="128" t="e">
        <f t="shared" si="95"/>
        <v>#DIV/0!</v>
      </c>
      <c r="AS123" s="128" t="e">
        <f t="shared" si="95"/>
        <v>#DIV/0!</v>
      </c>
      <c r="AT123" s="128" t="e">
        <f t="shared" si="95"/>
        <v>#DIV/0!</v>
      </c>
      <c r="AU123" s="128" t="e">
        <f t="shared" si="95"/>
        <v>#DIV/0!</v>
      </c>
      <c r="AV123" s="128" t="e">
        <f t="shared" si="95"/>
        <v>#DIV/0!</v>
      </c>
      <c r="AW123" s="128" t="e">
        <f t="shared" si="95"/>
        <v>#DIV/0!</v>
      </c>
      <c r="AX123" s="128" t="e">
        <f t="shared" si="95"/>
        <v>#DIV/0!</v>
      </c>
      <c r="AY123" s="128" t="e">
        <f t="shared" si="95"/>
        <v>#DIV/0!</v>
      </c>
      <c r="AZ123" s="128" t="e">
        <f t="shared" si="95"/>
        <v>#DIV/0!</v>
      </c>
      <c r="BA123" s="128" t="e">
        <f t="shared" si="95"/>
        <v>#DIV/0!</v>
      </c>
      <c r="BB123" s="217" t="e">
        <f t="shared" si="95"/>
        <v>#DIV/0!</v>
      </c>
      <c r="BC123" s="128" t="e">
        <f t="shared" si="95"/>
        <v>#DIV/0!</v>
      </c>
      <c r="BD123" s="128" t="e">
        <f t="shared" si="95"/>
        <v>#DIV/0!</v>
      </c>
      <c r="BE123" s="128" t="e">
        <f t="shared" si="95"/>
        <v>#DIV/0!</v>
      </c>
      <c r="BF123" s="128" t="e">
        <f t="shared" si="95"/>
        <v>#DIV/0!</v>
      </c>
      <c r="BG123" s="128">
        <f t="shared" si="95"/>
        <v>0.1783243813854474</v>
      </c>
      <c r="BH123" s="178">
        <f t="shared" si="95"/>
        <v>0.1783243813854474</v>
      </c>
      <c r="BI123" s="128">
        <f t="shared" si="95"/>
        <v>0.19483761223920287</v>
      </c>
      <c r="BJ123" s="128">
        <f t="shared" si="95"/>
        <v>0.17794991893352549</v>
      </c>
      <c r="BK123" s="128">
        <f t="shared" si="95"/>
        <v>0.21852035792584412</v>
      </c>
      <c r="BM123" s="128">
        <f>BM118/BM115</f>
        <v>0.43689320388349512</v>
      </c>
    </row>
    <row r="124" spans="1:65" s="181" customFormat="1" ht="15.75">
      <c r="A124" s="130"/>
      <c r="B124" s="5" t="s">
        <v>322</v>
      </c>
      <c r="C124" s="11">
        <f>C115-C118</f>
        <v>0</v>
      </c>
      <c r="D124" s="11">
        <f t="shared" ref="D124:BK124" si="96">D115-D118</f>
        <v>0</v>
      </c>
      <c r="E124" s="11">
        <f t="shared" si="96"/>
        <v>0</v>
      </c>
      <c r="F124" s="11">
        <f t="shared" si="96"/>
        <v>0</v>
      </c>
      <c r="G124" s="11">
        <f t="shared" si="96"/>
        <v>0</v>
      </c>
      <c r="H124" s="11">
        <f t="shared" si="96"/>
        <v>633206</v>
      </c>
      <c r="I124" s="11">
        <f t="shared" si="96"/>
        <v>0</v>
      </c>
      <c r="J124" s="11">
        <f t="shared" si="96"/>
        <v>0</v>
      </c>
      <c r="K124" s="11">
        <f t="shared" si="96"/>
        <v>0</v>
      </c>
      <c r="L124" s="11">
        <f t="shared" si="96"/>
        <v>0</v>
      </c>
      <c r="M124" s="11">
        <f t="shared" si="96"/>
        <v>0</v>
      </c>
      <c r="N124" s="11">
        <f t="shared" si="96"/>
        <v>0</v>
      </c>
      <c r="O124" s="11">
        <f t="shared" si="96"/>
        <v>0</v>
      </c>
      <c r="P124" s="11">
        <f t="shared" si="96"/>
        <v>0</v>
      </c>
      <c r="Q124" s="11">
        <f t="shared" si="96"/>
        <v>0</v>
      </c>
      <c r="R124" s="11">
        <f t="shared" si="96"/>
        <v>0</v>
      </c>
      <c r="S124" s="11">
        <f t="shared" si="96"/>
        <v>0</v>
      </c>
      <c r="T124" s="11">
        <f t="shared" si="96"/>
        <v>0</v>
      </c>
      <c r="U124" s="11">
        <f t="shared" si="96"/>
        <v>0</v>
      </c>
      <c r="V124" s="11">
        <f t="shared" si="96"/>
        <v>0</v>
      </c>
      <c r="W124" s="11">
        <f t="shared" si="96"/>
        <v>0</v>
      </c>
      <c r="X124" s="11">
        <f t="shared" si="96"/>
        <v>0</v>
      </c>
      <c r="Y124" s="11">
        <f t="shared" si="96"/>
        <v>0</v>
      </c>
      <c r="Z124" s="11">
        <f t="shared" si="96"/>
        <v>0</v>
      </c>
      <c r="AA124" s="11">
        <f t="shared" si="96"/>
        <v>0</v>
      </c>
      <c r="AB124" s="11">
        <f t="shared" si="96"/>
        <v>0</v>
      </c>
      <c r="AC124" s="11">
        <f t="shared" si="96"/>
        <v>0</v>
      </c>
      <c r="AD124" s="11">
        <f t="shared" si="96"/>
        <v>633206</v>
      </c>
      <c r="AE124" s="11">
        <f t="shared" si="96"/>
        <v>0</v>
      </c>
      <c r="AF124" s="11">
        <f t="shared" si="96"/>
        <v>0</v>
      </c>
      <c r="AG124" s="11">
        <f t="shared" si="96"/>
        <v>0</v>
      </c>
      <c r="AH124" s="11">
        <f t="shared" si="96"/>
        <v>0</v>
      </c>
      <c r="AI124" s="11">
        <f t="shared" si="96"/>
        <v>0</v>
      </c>
      <c r="AJ124" s="11">
        <f t="shared" si="96"/>
        <v>0</v>
      </c>
      <c r="AK124" s="11">
        <f t="shared" si="96"/>
        <v>0</v>
      </c>
      <c r="AL124" s="11">
        <f t="shared" si="96"/>
        <v>0</v>
      </c>
      <c r="AM124" s="11">
        <f t="shared" si="96"/>
        <v>0</v>
      </c>
      <c r="AN124" s="11">
        <f t="shared" si="96"/>
        <v>0</v>
      </c>
      <c r="AO124" s="11">
        <f t="shared" si="96"/>
        <v>0</v>
      </c>
      <c r="AP124" s="276">
        <f t="shared" si="96"/>
        <v>0</v>
      </c>
      <c r="AQ124" s="11">
        <f t="shared" si="96"/>
        <v>0</v>
      </c>
      <c r="AR124" s="11">
        <f t="shared" si="96"/>
        <v>0</v>
      </c>
      <c r="AS124" s="11">
        <f t="shared" si="96"/>
        <v>0</v>
      </c>
      <c r="AT124" s="11">
        <f t="shared" si="96"/>
        <v>0</v>
      </c>
      <c r="AU124" s="11">
        <f t="shared" si="96"/>
        <v>0</v>
      </c>
      <c r="AV124" s="11">
        <f t="shared" si="96"/>
        <v>0</v>
      </c>
      <c r="AW124" s="11">
        <f t="shared" si="96"/>
        <v>0</v>
      </c>
      <c r="AX124" s="11">
        <f t="shared" si="96"/>
        <v>0</v>
      </c>
      <c r="AY124" s="11">
        <f t="shared" si="96"/>
        <v>0</v>
      </c>
      <c r="AZ124" s="11">
        <f t="shared" si="96"/>
        <v>0</v>
      </c>
      <c r="BA124" s="11">
        <f t="shared" si="96"/>
        <v>0</v>
      </c>
      <c r="BB124" s="11">
        <f t="shared" si="96"/>
        <v>0</v>
      </c>
      <c r="BC124" s="11">
        <f t="shared" si="96"/>
        <v>0</v>
      </c>
      <c r="BD124" s="11">
        <f t="shared" si="96"/>
        <v>0</v>
      </c>
      <c r="BE124" s="11">
        <f t="shared" si="96"/>
        <v>0</v>
      </c>
      <c r="BF124" s="11">
        <f t="shared" si="96"/>
        <v>0</v>
      </c>
      <c r="BG124" s="11">
        <f t="shared" si="96"/>
        <v>936384</v>
      </c>
      <c r="BH124" s="11">
        <f t="shared" si="96"/>
        <v>936384</v>
      </c>
      <c r="BI124" s="11">
        <f t="shared" si="96"/>
        <v>1569590</v>
      </c>
      <c r="BJ124" s="11">
        <f t="shared" si="96"/>
        <v>935456</v>
      </c>
      <c r="BK124" s="11">
        <f t="shared" si="96"/>
        <v>634134</v>
      </c>
      <c r="BL124" s="11">
        <f>BL118-BL115</f>
        <v>177319</v>
      </c>
      <c r="BM124" s="11">
        <f>BM118-BM115</f>
        <v>-928</v>
      </c>
    </row>
    <row r="125" spans="1:65"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279"/>
      <c r="AQ125" s="6"/>
      <c r="AR125" s="5"/>
      <c r="AS125" s="5"/>
      <c r="AT125" s="5"/>
      <c r="AU125" s="5"/>
      <c r="AV125" s="5"/>
      <c r="AW125" s="6"/>
      <c r="AX125" s="5"/>
      <c r="AY125" s="5"/>
      <c r="AZ125" s="5"/>
      <c r="BA125" s="5"/>
      <c r="BB125" s="6"/>
      <c r="BC125" s="5"/>
      <c r="BD125" s="5"/>
      <c r="BE125" s="5"/>
      <c r="BF125" s="5"/>
      <c r="BG125" s="5"/>
      <c r="BH125" s="16"/>
      <c r="BI125" s="44"/>
      <c r="BJ125" s="5"/>
      <c r="BK125" s="50"/>
    </row>
    <row r="126" spans="1:65" ht="15.75">
      <c r="A126" s="130" t="s">
        <v>122</v>
      </c>
      <c r="B126" s="9" t="s">
        <v>316</v>
      </c>
      <c r="C126" s="5">
        <f t="shared" ref="C126:AC126" si="97">C5+C16+C27+C38+C49+C60+C71+C82+C93+C104+C115</f>
        <v>6120476</v>
      </c>
      <c r="D126" s="5">
        <f t="shared" si="97"/>
        <v>3713796</v>
      </c>
      <c r="E126" s="5">
        <f t="shared" si="97"/>
        <v>0</v>
      </c>
      <c r="F126" s="5">
        <f t="shared" si="97"/>
        <v>842505</v>
      </c>
      <c r="G126" s="5">
        <f t="shared" si="97"/>
        <v>519503</v>
      </c>
      <c r="H126" s="5">
        <f t="shared" si="97"/>
        <v>809805</v>
      </c>
      <c r="I126" s="5">
        <f t="shared" si="97"/>
        <v>0</v>
      </c>
      <c r="J126" s="5">
        <f t="shared" si="97"/>
        <v>835822</v>
      </c>
      <c r="K126" s="5">
        <f t="shared" si="97"/>
        <v>48540</v>
      </c>
      <c r="L126" s="5">
        <f t="shared" si="97"/>
        <v>192985</v>
      </c>
      <c r="M126" s="5">
        <f t="shared" si="97"/>
        <v>366793</v>
      </c>
      <c r="N126" s="5">
        <f t="shared" si="97"/>
        <v>1522</v>
      </c>
      <c r="O126" s="5">
        <f t="shared" si="97"/>
        <v>20324</v>
      </c>
      <c r="P126" s="5">
        <f t="shared" si="97"/>
        <v>295088</v>
      </c>
      <c r="Q126" s="5">
        <f t="shared" si="97"/>
        <v>0</v>
      </c>
      <c r="R126" s="5">
        <f t="shared" si="97"/>
        <v>20888</v>
      </c>
      <c r="S126" s="5">
        <f t="shared" si="97"/>
        <v>443425</v>
      </c>
      <c r="T126" s="5">
        <f t="shared" si="97"/>
        <v>227345</v>
      </c>
      <c r="U126" s="5">
        <f t="shared" si="97"/>
        <v>0</v>
      </c>
      <c r="V126" s="16">
        <f t="shared" si="97"/>
        <v>38291</v>
      </c>
      <c r="W126" s="5">
        <f t="shared" si="97"/>
        <v>183</v>
      </c>
      <c r="X126" s="5">
        <f t="shared" si="97"/>
        <v>0</v>
      </c>
      <c r="Y126" s="5">
        <f t="shared" si="97"/>
        <v>27788</v>
      </c>
      <c r="Z126" s="5">
        <f t="shared" si="97"/>
        <v>11637</v>
      </c>
      <c r="AA126" s="5">
        <f t="shared" si="97"/>
        <v>8577</v>
      </c>
      <c r="AB126" s="5">
        <f t="shared" si="97"/>
        <v>9343</v>
      </c>
      <c r="AC126" s="6">
        <f t="shared" si="97"/>
        <v>103698</v>
      </c>
      <c r="AD126" s="123">
        <f>SUM(C126:AC126)</f>
        <v>14658334</v>
      </c>
      <c r="AE126" s="5">
        <f t="shared" ref="AE126:BH126" si="98">AE5+AE16+AE27+AE38+AE49+AE60+AE71+AE82+AE93+AE104+AE115</f>
        <v>681</v>
      </c>
      <c r="AF126" s="5">
        <f t="shared" si="98"/>
        <v>7706</v>
      </c>
      <c r="AG126" s="5">
        <f t="shared" si="98"/>
        <v>25780</v>
      </c>
      <c r="AH126" s="5">
        <f t="shared" si="98"/>
        <v>0</v>
      </c>
      <c r="AI126" s="5">
        <f t="shared" si="98"/>
        <v>0</v>
      </c>
      <c r="AJ126" s="5">
        <f t="shared" si="98"/>
        <v>11028</v>
      </c>
      <c r="AK126" s="5">
        <f t="shared" si="98"/>
        <v>515140</v>
      </c>
      <c r="AL126" s="5">
        <f t="shared" si="98"/>
        <v>294879</v>
      </c>
      <c r="AM126" s="5">
        <f t="shared" si="98"/>
        <v>5564694</v>
      </c>
      <c r="AN126" s="5">
        <f t="shared" si="98"/>
        <v>173399</v>
      </c>
      <c r="AO126" s="16">
        <f t="shared" si="98"/>
        <v>1163652</v>
      </c>
      <c r="AP126" s="279">
        <f t="shared" si="98"/>
        <v>-427598</v>
      </c>
      <c r="AQ126" s="6">
        <f t="shared" si="98"/>
        <v>74011</v>
      </c>
      <c r="AR126" s="5">
        <f t="shared" si="98"/>
        <v>5348</v>
      </c>
      <c r="AS126" s="5">
        <f t="shared" si="98"/>
        <v>0</v>
      </c>
      <c r="AT126" s="5">
        <f t="shared" si="98"/>
        <v>0</v>
      </c>
      <c r="AU126" s="5">
        <f t="shared" si="98"/>
        <v>1318</v>
      </c>
      <c r="AV126" s="5">
        <f t="shared" si="98"/>
        <v>0</v>
      </c>
      <c r="AW126" s="5">
        <f t="shared" si="98"/>
        <v>0</v>
      </c>
      <c r="AX126" s="5">
        <f t="shared" si="98"/>
        <v>1621</v>
      </c>
      <c r="AY126" s="5">
        <f t="shared" si="98"/>
        <v>0</v>
      </c>
      <c r="AZ126" s="5">
        <f t="shared" si="98"/>
        <v>0</v>
      </c>
      <c r="BA126" s="5">
        <f t="shared" si="98"/>
        <v>116099</v>
      </c>
      <c r="BB126" s="6">
        <f t="shared" si="98"/>
        <v>68856</v>
      </c>
      <c r="BC126" s="5">
        <f t="shared" si="98"/>
        <v>55805</v>
      </c>
      <c r="BD126" s="5">
        <f t="shared" si="98"/>
        <v>56472</v>
      </c>
      <c r="BE126" s="5">
        <f t="shared" si="98"/>
        <v>53</v>
      </c>
      <c r="BF126" s="5">
        <f t="shared" si="98"/>
        <v>73671</v>
      </c>
      <c r="BG126" s="11">
        <f t="shared" si="98"/>
        <v>1414892</v>
      </c>
      <c r="BH126" s="16">
        <f t="shared" si="98"/>
        <v>9197507</v>
      </c>
      <c r="BI126" s="125">
        <f>AD126+BH126</f>
        <v>23855841</v>
      </c>
      <c r="BJ126" s="5">
        <f t="shared" ref="BJ126:BK129" si="99">BJ5+BJ16+BJ27+BJ38+BJ49+BJ60+BJ71+BJ82+BJ93+BJ104+BJ115</f>
        <v>1469162</v>
      </c>
      <c r="BK126" s="51">
        <f t="shared" si="99"/>
        <v>22386679</v>
      </c>
      <c r="BM126" s="30">
        <f>BK126-AD126</f>
        <v>7728345</v>
      </c>
    </row>
    <row r="127" spans="1:65" s="41" customFormat="1" ht="15.75">
      <c r="A127" s="136"/>
      <c r="B127" s="234" t="s">
        <v>317</v>
      </c>
      <c r="C127" s="10">
        <f t="shared" ref="C127:AC127" si="100">C6+C17+C28+C39+C50+C61+C72+C83+C94+C105+C116</f>
        <v>1162891</v>
      </c>
      <c r="D127" s="10">
        <f t="shared" si="100"/>
        <v>705617</v>
      </c>
      <c r="E127" s="10">
        <f>E6+E17+E28+E39+F50+E61+E72+E83+E94+E105+E116</f>
        <v>12374</v>
      </c>
      <c r="F127" s="10">
        <f>F6+F17+F28+F39+G50+F61+F72+F83+F94+F105+F116</f>
        <v>158335</v>
      </c>
      <c r="G127" s="10">
        <f>G6+G17+G28+G39+H50+G61+G72+G83+G94+G105+G116</f>
        <v>88067</v>
      </c>
      <c r="H127" s="10">
        <f>H6+H17+H28+H39+I50+H61+H72+H83+H94+H105+H116</f>
        <v>153863</v>
      </c>
      <c r="I127" s="10">
        <f t="shared" si="100"/>
        <v>0</v>
      </c>
      <c r="J127" s="10">
        <f t="shared" si="100"/>
        <v>158807</v>
      </c>
      <c r="K127" s="10">
        <f t="shared" si="100"/>
        <v>9222</v>
      </c>
      <c r="L127" s="10">
        <f t="shared" si="100"/>
        <v>36665</v>
      </c>
      <c r="M127" s="10">
        <f t="shared" si="100"/>
        <v>69691</v>
      </c>
      <c r="N127" s="10">
        <f t="shared" si="100"/>
        <v>289</v>
      </c>
      <c r="O127" s="10">
        <f t="shared" si="100"/>
        <v>3865</v>
      </c>
      <c r="P127" s="10">
        <f t="shared" si="100"/>
        <v>56066</v>
      </c>
      <c r="Q127" s="10">
        <f t="shared" si="100"/>
        <v>0</v>
      </c>
      <c r="R127" s="10">
        <f t="shared" si="100"/>
        <v>3971</v>
      </c>
      <c r="S127" s="10">
        <f t="shared" si="100"/>
        <v>221711</v>
      </c>
      <c r="T127" s="10">
        <f t="shared" si="100"/>
        <v>43195</v>
      </c>
      <c r="U127" s="10">
        <f t="shared" si="100"/>
        <v>0</v>
      </c>
      <c r="V127" s="10">
        <f t="shared" si="100"/>
        <v>7275</v>
      </c>
      <c r="W127" s="10">
        <f t="shared" si="100"/>
        <v>36</v>
      </c>
      <c r="X127" s="10">
        <f t="shared" si="100"/>
        <v>0</v>
      </c>
      <c r="Y127" s="10">
        <f t="shared" si="100"/>
        <v>5279</v>
      </c>
      <c r="Z127" s="10">
        <f t="shared" si="100"/>
        <v>2211</v>
      </c>
      <c r="AA127" s="10">
        <f t="shared" si="100"/>
        <v>1630</v>
      </c>
      <c r="AB127" s="10">
        <f t="shared" si="100"/>
        <v>1775</v>
      </c>
      <c r="AC127" s="10">
        <f t="shared" si="100"/>
        <v>19703</v>
      </c>
      <c r="AD127" s="123">
        <f>SUM(C127:AC127)</f>
        <v>2922538</v>
      </c>
      <c r="AE127" s="6">
        <f t="shared" ref="AE127:BH127" si="101">AE6+AE17+AE28+AE39+AE50+AE61+AE72+AE83+AE94+AE105+AE116</f>
        <v>164</v>
      </c>
      <c r="AF127" s="6">
        <f t="shared" si="101"/>
        <v>1849</v>
      </c>
      <c r="AG127" s="6">
        <f t="shared" si="101"/>
        <v>6188</v>
      </c>
      <c r="AH127" s="6">
        <f t="shared" si="101"/>
        <v>0</v>
      </c>
      <c r="AI127" s="6">
        <f t="shared" si="101"/>
        <v>0</v>
      </c>
      <c r="AJ127" s="6">
        <f t="shared" si="101"/>
        <v>2646</v>
      </c>
      <c r="AK127" s="6">
        <f t="shared" si="101"/>
        <v>123634</v>
      </c>
      <c r="AL127" s="6">
        <f t="shared" si="101"/>
        <v>70770</v>
      </c>
      <c r="AM127" s="6">
        <f t="shared" si="101"/>
        <v>1335528</v>
      </c>
      <c r="AN127" s="6">
        <f t="shared" si="101"/>
        <v>41616</v>
      </c>
      <c r="AO127" s="6">
        <f t="shared" si="101"/>
        <v>279279</v>
      </c>
      <c r="AP127" s="281">
        <f t="shared" si="101"/>
        <v>-102812</v>
      </c>
      <c r="AQ127" s="6">
        <f t="shared" si="101"/>
        <v>17762</v>
      </c>
      <c r="AR127" s="6">
        <f t="shared" si="101"/>
        <v>1284</v>
      </c>
      <c r="AS127" s="6">
        <f t="shared" si="101"/>
        <v>0</v>
      </c>
      <c r="AT127" s="6">
        <f t="shared" si="101"/>
        <v>0</v>
      </c>
      <c r="AU127" s="6">
        <f t="shared" si="101"/>
        <v>316</v>
      </c>
      <c r="AV127" s="6">
        <f t="shared" si="101"/>
        <v>0</v>
      </c>
      <c r="AW127" s="6">
        <f t="shared" si="101"/>
        <v>0</v>
      </c>
      <c r="AX127" s="6">
        <f t="shared" si="101"/>
        <v>389</v>
      </c>
      <c r="AY127" s="6">
        <f t="shared" si="101"/>
        <v>0</v>
      </c>
      <c r="AZ127" s="10">
        <f t="shared" si="101"/>
        <v>0</v>
      </c>
      <c r="BA127" s="6">
        <f t="shared" si="101"/>
        <v>27864</v>
      </c>
      <c r="BB127" s="6">
        <f t="shared" si="101"/>
        <v>16526</v>
      </c>
      <c r="BC127" s="6">
        <f t="shared" si="101"/>
        <v>13395</v>
      </c>
      <c r="BD127" s="6">
        <f t="shared" si="101"/>
        <v>13552</v>
      </c>
      <c r="BE127" s="6">
        <f t="shared" si="101"/>
        <v>12</v>
      </c>
      <c r="BF127" s="6">
        <f t="shared" si="101"/>
        <v>17681</v>
      </c>
      <c r="BG127" s="10">
        <f t="shared" si="101"/>
        <v>65741</v>
      </c>
      <c r="BH127" s="10">
        <f t="shared" si="101"/>
        <v>1933384</v>
      </c>
      <c r="BI127" s="220">
        <f>AD127+BH127</f>
        <v>4855922</v>
      </c>
      <c r="BJ127" s="10">
        <f t="shared" si="99"/>
        <v>79489</v>
      </c>
      <c r="BK127" s="10">
        <f t="shared" si="99"/>
        <v>4776433</v>
      </c>
      <c r="BM127" s="218">
        <f t="shared" ref="BM127:BM132" si="102">BK127-AD127</f>
        <v>1853895</v>
      </c>
    </row>
    <row r="128" spans="1:65" ht="15.75">
      <c r="B128" s="12" t="s">
        <v>318</v>
      </c>
      <c r="C128" s="11">
        <f>C7+C18+C29+C40+C51+C62+C73+C84+C95+C106+C117</f>
        <v>1040939</v>
      </c>
      <c r="D128" s="5">
        <f t="shared" ref="D128:AC128" si="103">D7+D18+D29+D40+D51+D62+D73+D84+D95+D106+D117</f>
        <v>598864</v>
      </c>
      <c r="E128" s="5">
        <f t="shared" si="103"/>
        <v>138</v>
      </c>
      <c r="F128" s="5">
        <f t="shared" si="103"/>
        <v>119842</v>
      </c>
      <c r="G128" s="5">
        <f t="shared" si="103"/>
        <v>86500</v>
      </c>
      <c r="H128" s="5">
        <f t="shared" si="103"/>
        <v>153452</v>
      </c>
      <c r="I128" s="5">
        <f t="shared" si="103"/>
        <v>0</v>
      </c>
      <c r="J128" s="5">
        <f t="shared" si="103"/>
        <v>241890</v>
      </c>
      <c r="K128" s="5">
        <f t="shared" si="103"/>
        <v>9140</v>
      </c>
      <c r="L128" s="5">
        <f t="shared" si="103"/>
        <v>69826</v>
      </c>
      <c r="M128" s="5">
        <f t="shared" si="103"/>
        <v>61525</v>
      </c>
      <c r="N128" s="5">
        <f t="shared" si="103"/>
        <v>198</v>
      </c>
      <c r="O128" s="5">
        <f t="shared" si="103"/>
        <v>5707</v>
      </c>
      <c r="P128" s="5">
        <f t="shared" si="103"/>
        <v>109299</v>
      </c>
      <c r="Q128" s="5">
        <f t="shared" si="103"/>
        <v>0</v>
      </c>
      <c r="R128" s="5">
        <f t="shared" si="103"/>
        <v>6376</v>
      </c>
      <c r="S128" s="5">
        <f t="shared" si="103"/>
        <v>51684</v>
      </c>
      <c r="T128" s="5">
        <f t="shared" si="103"/>
        <v>133465</v>
      </c>
      <c r="U128" s="5">
        <f t="shared" si="103"/>
        <v>0</v>
      </c>
      <c r="V128" s="16">
        <f t="shared" si="103"/>
        <v>4295</v>
      </c>
      <c r="W128" s="5">
        <f t="shared" si="103"/>
        <v>0</v>
      </c>
      <c r="X128" s="5">
        <f t="shared" si="103"/>
        <v>0</v>
      </c>
      <c r="Y128" s="5">
        <f t="shared" si="103"/>
        <v>5649</v>
      </c>
      <c r="Z128" s="5">
        <f t="shared" si="103"/>
        <v>1522</v>
      </c>
      <c r="AA128" s="5">
        <f t="shared" si="103"/>
        <v>2637</v>
      </c>
      <c r="AB128" s="5">
        <f t="shared" si="103"/>
        <v>0</v>
      </c>
      <c r="AC128" s="6">
        <f t="shared" si="103"/>
        <v>10987</v>
      </c>
      <c r="AD128" s="123">
        <f>SUM(C128:AC128)</f>
        <v>2713935</v>
      </c>
      <c r="AE128" s="5">
        <f t="shared" ref="AE128:BH128" si="104">AE7+AE18+AE29+AE40+AE51+AE62+AE73+AE84+AE95+AE106+AE117</f>
        <v>25</v>
      </c>
      <c r="AF128" s="5">
        <f t="shared" si="104"/>
        <v>1592</v>
      </c>
      <c r="AG128" s="5">
        <f t="shared" si="104"/>
        <v>6171</v>
      </c>
      <c r="AH128" s="5">
        <f t="shared" si="104"/>
        <v>0</v>
      </c>
      <c r="AI128" s="5">
        <f t="shared" si="104"/>
        <v>0</v>
      </c>
      <c r="AJ128" s="5">
        <f t="shared" si="104"/>
        <v>613</v>
      </c>
      <c r="AK128" s="5">
        <f t="shared" si="104"/>
        <v>143099</v>
      </c>
      <c r="AL128" s="5">
        <f t="shared" si="104"/>
        <v>61890</v>
      </c>
      <c r="AM128" s="5">
        <f t="shared" si="104"/>
        <v>630235</v>
      </c>
      <c r="AN128" s="5">
        <f t="shared" si="104"/>
        <v>12372</v>
      </c>
      <c r="AO128" s="16">
        <f t="shared" si="104"/>
        <v>200705</v>
      </c>
      <c r="AP128" s="279">
        <f t="shared" si="104"/>
        <v>-549</v>
      </c>
      <c r="AQ128" s="6">
        <f t="shared" si="104"/>
        <v>10406</v>
      </c>
      <c r="AR128" s="5">
        <f t="shared" si="104"/>
        <v>4474</v>
      </c>
      <c r="AS128" s="5">
        <f t="shared" si="104"/>
        <v>0</v>
      </c>
      <c r="AT128" s="5">
        <f t="shared" si="104"/>
        <v>0</v>
      </c>
      <c r="AU128" s="5">
        <f t="shared" si="104"/>
        <v>3975</v>
      </c>
      <c r="AV128" s="5">
        <f t="shared" si="104"/>
        <v>0</v>
      </c>
      <c r="AW128" s="5">
        <f t="shared" si="104"/>
        <v>67</v>
      </c>
      <c r="AX128" s="5">
        <f t="shared" si="104"/>
        <v>243</v>
      </c>
      <c r="AY128" s="5">
        <f t="shared" si="104"/>
        <v>81</v>
      </c>
      <c r="AZ128" s="5">
        <f t="shared" si="104"/>
        <v>0</v>
      </c>
      <c r="BA128" s="5">
        <f t="shared" si="104"/>
        <v>37045</v>
      </c>
      <c r="BB128" s="6">
        <f t="shared" si="104"/>
        <v>15124</v>
      </c>
      <c r="BC128" s="5">
        <f t="shared" si="104"/>
        <v>13034</v>
      </c>
      <c r="BD128" s="5">
        <f t="shared" si="104"/>
        <v>13034</v>
      </c>
      <c r="BE128" s="5">
        <f t="shared" si="104"/>
        <v>0</v>
      </c>
      <c r="BF128" s="5">
        <f t="shared" si="104"/>
        <v>10896</v>
      </c>
      <c r="BG128" s="11">
        <f t="shared" si="104"/>
        <v>207548</v>
      </c>
      <c r="BH128" s="9">
        <f t="shared" si="104"/>
        <v>1372080</v>
      </c>
      <c r="BI128" s="127">
        <f>AD128+BH128</f>
        <v>4086015</v>
      </c>
      <c r="BJ128" s="5">
        <f t="shared" si="99"/>
        <v>196054</v>
      </c>
      <c r="BK128" s="51">
        <f t="shared" si="99"/>
        <v>3889961</v>
      </c>
      <c r="BL128" s="30">
        <f>'Upto Month COPPY'!N61-'Upto Month COPPY'!M61</f>
        <v>-3889958</v>
      </c>
      <c r="BM128" s="30">
        <f t="shared" si="102"/>
        <v>1176026</v>
      </c>
    </row>
    <row r="129" spans="1:65" ht="16.5" customHeight="1">
      <c r="A129" s="130"/>
      <c r="B129" s="183" t="s">
        <v>319</v>
      </c>
      <c r="C129" s="5">
        <f t="shared" ref="C129:AC129" si="105">C8+C19+C30+C41+C52+C63+C74+C85+C96+C107+C118</f>
        <v>1087948</v>
      </c>
      <c r="D129" s="5">
        <f t="shared" si="105"/>
        <v>722000</v>
      </c>
      <c r="E129" s="5">
        <f t="shared" si="105"/>
        <v>358</v>
      </c>
      <c r="F129" s="5">
        <f t="shared" si="105"/>
        <v>128830</v>
      </c>
      <c r="G129" s="5">
        <f t="shared" si="105"/>
        <v>97996</v>
      </c>
      <c r="H129" s="5">
        <f t="shared" si="105"/>
        <v>176599</v>
      </c>
      <c r="I129" s="5">
        <f t="shared" si="105"/>
        <v>0</v>
      </c>
      <c r="J129" s="5">
        <f t="shared" si="105"/>
        <v>154167</v>
      </c>
      <c r="K129" s="5">
        <f t="shared" si="105"/>
        <v>7635</v>
      </c>
      <c r="L129" s="5">
        <f t="shared" si="105"/>
        <v>44495</v>
      </c>
      <c r="M129" s="5">
        <f t="shared" si="105"/>
        <v>58802</v>
      </c>
      <c r="N129" s="5">
        <f t="shared" si="105"/>
        <v>154</v>
      </c>
      <c r="O129" s="5">
        <f t="shared" si="105"/>
        <v>4580</v>
      </c>
      <c r="P129" s="5">
        <f t="shared" si="105"/>
        <v>57820</v>
      </c>
      <c r="Q129" s="5">
        <f t="shared" si="105"/>
        <v>0</v>
      </c>
      <c r="R129" s="5">
        <f t="shared" si="105"/>
        <v>2264</v>
      </c>
      <c r="S129" s="5">
        <f t="shared" si="105"/>
        <v>14462</v>
      </c>
      <c r="T129" s="5">
        <f t="shared" si="105"/>
        <v>231825</v>
      </c>
      <c r="U129" s="5">
        <f t="shared" si="105"/>
        <v>0</v>
      </c>
      <c r="V129" s="16">
        <f t="shared" si="105"/>
        <v>10023</v>
      </c>
      <c r="W129" s="5">
        <f t="shared" si="105"/>
        <v>0</v>
      </c>
      <c r="X129" s="5">
        <f t="shared" si="105"/>
        <v>0</v>
      </c>
      <c r="Y129" s="5">
        <f t="shared" si="105"/>
        <v>9457</v>
      </c>
      <c r="Z129" s="5">
        <f t="shared" si="105"/>
        <v>3881</v>
      </c>
      <c r="AA129" s="5">
        <f t="shared" si="105"/>
        <v>3149</v>
      </c>
      <c r="AB129" s="5">
        <f t="shared" si="105"/>
        <v>80</v>
      </c>
      <c r="AC129" s="6">
        <f t="shared" si="105"/>
        <v>40931</v>
      </c>
      <c r="AD129" s="123">
        <f>SUM(C129:AC129)</f>
        <v>2857456</v>
      </c>
      <c r="AE129" s="5">
        <f t="shared" ref="AE129:BH129" si="106">AE8+AE19+AE30+AE41+AE52+AE63+AE74+AE85+AE96+AE107+AE118</f>
        <v>452</v>
      </c>
      <c r="AF129" s="5">
        <f t="shared" si="106"/>
        <v>1023</v>
      </c>
      <c r="AG129" s="5">
        <f t="shared" si="106"/>
        <v>9496</v>
      </c>
      <c r="AH129" s="5">
        <f t="shared" si="106"/>
        <v>0</v>
      </c>
      <c r="AI129" s="5">
        <f t="shared" si="106"/>
        <v>0</v>
      </c>
      <c r="AJ129" s="5">
        <f t="shared" si="106"/>
        <v>2184</v>
      </c>
      <c r="AK129" s="5">
        <f t="shared" si="106"/>
        <v>97157</v>
      </c>
      <c r="AL129" s="5">
        <f t="shared" si="106"/>
        <v>105336</v>
      </c>
      <c r="AM129" s="5">
        <f t="shared" si="106"/>
        <v>1120038</v>
      </c>
      <c r="AN129" s="5">
        <f t="shared" si="106"/>
        <v>24605</v>
      </c>
      <c r="AO129" s="16">
        <f t="shared" si="106"/>
        <v>450497</v>
      </c>
      <c r="AP129" s="279">
        <f t="shared" si="106"/>
        <v>-133271</v>
      </c>
      <c r="AQ129" s="6">
        <f t="shared" si="106"/>
        <v>17402</v>
      </c>
      <c r="AR129" s="5">
        <f t="shared" si="106"/>
        <v>2149</v>
      </c>
      <c r="AS129" s="5">
        <f t="shared" si="106"/>
        <v>0</v>
      </c>
      <c r="AT129" s="5">
        <f t="shared" si="106"/>
        <v>0</v>
      </c>
      <c r="AU129" s="5">
        <f t="shared" si="106"/>
        <v>1523</v>
      </c>
      <c r="AV129" s="5">
        <f t="shared" si="106"/>
        <v>0</v>
      </c>
      <c r="AW129" s="5">
        <f t="shared" si="106"/>
        <v>0</v>
      </c>
      <c r="AX129" s="5">
        <f t="shared" si="106"/>
        <v>59</v>
      </c>
      <c r="AY129" s="5">
        <f t="shared" si="106"/>
        <v>0</v>
      </c>
      <c r="AZ129" s="5">
        <f t="shared" si="106"/>
        <v>0</v>
      </c>
      <c r="BA129" s="5">
        <f t="shared" si="106"/>
        <v>19663</v>
      </c>
      <c r="BB129" s="6">
        <f t="shared" si="106"/>
        <v>34414</v>
      </c>
      <c r="BC129" s="5">
        <f t="shared" si="106"/>
        <v>22280</v>
      </c>
      <c r="BD129" s="5">
        <f t="shared" si="106"/>
        <v>22280</v>
      </c>
      <c r="BE129" s="5">
        <f t="shared" si="106"/>
        <v>0</v>
      </c>
      <c r="BF129" s="5">
        <f t="shared" si="106"/>
        <v>31312</v>
      </c>
      <c r="BG129" s="5">
        <f t="shared" si="106"/>
        <v>414112</v>
      </c>
      <c r="BH129" s="16">
        <f t="shared" si="106"/>
        <v>2242711</v>
      </c>
      <c r="BI129" s="127">
        <f>AD129+BH129</f>
        <v>5100167</v>
      </c>
      <c r="BJ129" s="5">
        <f t="shared" si="99"/>
        <v>410727</v>
      </c>
      <c r="BK129" s="51">
        <f t="shared" si="99"/>
        <v>4689440</v>
      </c>
      <c r="BL129" s="30">
        <f>'Upto Month Current'!N61-'Upto Month Current'!M61</f>
        <v>-4689441</v>
      </c>
      <c r="BM129" s="30">
        <f t="shared" si="102"/>
        <v>1831984</v>
      </c>
    </row>
    <row r="130" spans="1:65" ht="15.75">
      <c r="A130" s="130"/>
      <c r="B130" s="5" t="s">
        <v>124</v>
      </c>
      <c r="C130" s="11">
        <f t="shared" ref="C130:AH130" si="107">C129-C127</f>
        <v>-74943</v>
      </c>
      <c r="D130" s="11">
        <f t="shared" si="107"/>
        <v>16383</v>
      </c>
      <c r="E130" s="11">
        <f t="shared" si="107"/>
        <v>-12016</v>
      </c>
      <c r="F130" s="11">
        <f t="shared" si="107"/>
        <v>-29505</v>
      </c>
      <c r="G130" s="11">
        <f t="shared" si="107"/>
        <v>9929</v>
      </c>
      <c r="H130" s="11">
        <f t="shared" si="107"/>
        <v>22736</v>
      </c>
      <c r="I130" s="11">
        <f t="shared" si="107"/>
        <v>0</v>
      </c>
      <c r="J130" s="11">
        <f t="shared" si="107"/>
        <v>-4640</v>
      </c>
      <c r="K130" s="11">
        <f t="shared" si="107"/>
        <v>-1587</v>
      </c>
      <c r="L130" s="11">
        <f t="shared" si="107"/>
        <v>7830</v>
      </c>
      <c r="M130" s="11">
        <f t="shared" si="107"/>
        <v>-10889</v>
      </c>
      <c r="N130" s="11">
        <f t="shared" si="107"/>
        <v>-135</v>
      </c>
      <c r="O130" s="11">
        <f t="shared" si="107"/>
        <v>715</v>
      </c>
      <c r="P130" s="11">
        <f t="shared" si="107"/>
        <v>1754</v>
      </c>
      <c r="Q130" s="11">
        <f t="shared" si="107"/>
        <v>0</v>
      </c>
      <c r="R130" s="11">
        <f t="shared" si="107"/>
        <v>-1707</v>
      </c>
      <c r="S130" s="11">
        <f t="shared" si="107"/>
        <v>-207249</v>
      </c>
      <c r="T130" s="11">
        <f t="shared" si="107"/>
        <v>188630</v>
      </c>
      <c r="U130" s="11">
        <f t="shared" si="107"/>
        <v>0</v>
      </c>
      <c r="V130" s="9">
        <f t="shared" si="107"/>
        <v>2748</v>
      </c>
      <c r="W130" s="11">
        <f t="shared" si="107"/>
        <v>-36</v>
      </c>
      <c r="X130" s="11">
        <f t="shared" si="107"/>
        <v>0</v>
      </c>
      <c r="Y130" s="11">
        <f t="shared" si="107"/>
        <v>4178</v>
      </c>
      <c r="Z130" s="11">
        <f t="shared" si="107"/>
        <v>1670</v>
      </c>
      <c r="AA130" s="11">
        <f t="shared" si="107"/>
        <v>1519</v>
      </c>
      <c r="AB130" s="11">
        <f t="shared" si="107"/>
        <v>-1695</v>
      </c>
      <c r="AC130" s="10">
        <f t="shared" si="107"/>
        <v>21228</v>
      </c>
      <c r="AD130" s="11">
        <f t="shared" si="107"/>
        <v>-65082</v>
      </c>
      <c r="AE130" s="11">
        <f t="shared" si="107"/>
        <v>288</v>
      </c>
      <c r="AF130" s="11">
        <f t="shared" si="107"/>
        <v>-826</v>
      </c>
      <c r="AG130" s="11">
        <f t="shared" si="107"/>
        <v>3308</v>
      </c>
      <c r="AH130" s="11">
        <f t="shared" si="107"/>
        <v>0</v>
      </c>
      <c r="AI130" s="11">
        <f t="shared" ref="AI130:BK130" si="108">AI129-AI127</f>
        <v>0</v>
      </c>
      <c r="AJ130" s="11">
        <f t="shared" si="108"/>
        <v>-462</v>
      </c>
      <c r="AK130" s="11">
        <f t="shared" si="108"/>
        <v>-26477</v>
      </c>
      <c r="AL130" s="11">
        <f t="shared" si="108"/>
        <v>34566</v>
      </c>
      <c r="AM130" s="11">
        <f t="shared" si="108"/>
        <v>-215490</v>
      </c>
      <c r="AN130" s="11">
        <f t="shared" si="108"/>
        <v>-17011</v>
      </c>
      <c r="AO130" s="9">
        <f t="shared" si="108"/>
        <v>171218</v>
      </c>
      <c r="AP130" s="276">
        <f t="shared" si="108"/>
        <v>-30459</v>
      </c>
      <c r="AQ130" s="10">
        <f t="shared" si="108"/>
        <v>-360</v>
      </c>
      <c r="AR130" s="11">
        <f t="shared" si="108"/>
        <v>865</v>
      </c>
      <c r="AS130" s="11">
        <f t="shared" si="108"/>
        <v>0</v>
      </c>
      <c r="AT130" s="11">
        <f t="shared" si="108"/>
        <v>0</v>
      </c>
      <c r="AU130" s="11">
        <f t="shared" si="108"/>
        <v>1207</v>
      </c>
      <c r="AV130" s="11">
        <f t="shared" si="108"/>
        <v>0</v>
      </c>
      <c r="AW130" s="11">
        <f t="shared" si="108"/>
        <v>0</v>
      </c>
      <c r="AX130" s="11">
        <f t="shared" si="108"/>
        <v>-330</v>
      </c>
      <c r="AY130" s="11">
        <f t="shared" si="108"/>
        <v>0</v>
      </c>
      <c r="AZ130" s="11">
        <f t="shared" si="108"/>
        <v>0</v>
      </c>
      <c r="BA130" s="11">
        <f t="shared" si="108"/>
        <v>-8201</v>
      </c>
      <c r="BB130" s="10">
        <f t="shared" si="108"/>
        <v>17888</v>
      </c>
      <c r="BC130" s="11">
        <f t="shared" si="108"/>
        <v>8885</v>
      </c>
      <c r="BD130" s="11">
        <f t="shared" si="108"/>
        <v>8728</v>
      </c>
      <c r="BE130" s="11">
        <f t="shared" si="108"/>
        <v>-12</v>
      </c>
      <c r="BF130" s="11">
        <f t="shared" si="108"/>
        <v>13631</v>
      </c>
      <c r="BG130" s="11">
        <f t="shared" si="108"/>
        <v>348371</v>
      </c>
      <c r="BH130" s="9">
        <f t="shared" si="108"/>
        <v>309327</v>
      </c>
      <c r="BI130" s="45">
        <f t="shared" si="108"/>
        <v>244245</v>
      </c>
      <c r="BJ130" s="11">
        <f t="shared" si="108"/>
        <v>331238</v>
      </c>
      <c r="BK130" s="51">
        <f t="shared" si="108"/>
        <v>-86993</v>
      </c>
      <c r="BM130" s="30">
        <f t="shared" si="102"/>
        <v>-21911</v>
      </c>
    </row>
    <row r="131" spans="1:65" ht="15.75">
      <c r="A131" s="130"/>
      <c r="B131" s="5" t="s">
        <v>125</v>
      </c>
      <c r="C131" s="13">
        <f t="shared" ref="C131:AH131" si="109">C130/C127</f>
        <v>-6.4445420937989883E-2</v>
      </c>
      <c r="D131" s="13">
        <f t="shared" si="109"/>
        <v>2.3217978024905862E-2</v>
      </c>
      <c r="E131" s="13">
        <f t="shared" si="109"/>
        <v>-0.97106836916114436</v>
      </c>
      <c r="F131" s="13">
        <f t="shared" si="109"/>
        <v>-0.18634540689045379</v>
      </c>
      <c r="G131" s="13">
        <f t="shared" si="109"/>
        <v>0.11274370649619041</v>
      </c>
      <c r="H131" s="13">
        <f t="shared" si="109"/>
        <v>0.14776781942377309</v>
      </c>
      <c r="I131" s="13" t="e">
        <f t="shared" si="109"/>
        <v>#DIV/0!</v>
      </c>
      <c r="J131" s="13">
        <f t="shared" si="109"/>
        <v>-2.921785563608657E-2</v>
      </c>
      <c r="K131" s="13">
        <f t="shared" si="109"/>
        <v>-0.17208848405985686</v>
      </c>
      <c r="L131" s="13">
        <f t="shared" si="109"/>
        <v>0.21355516159825447</v>
      </c>
      <c r="M131" s="13">
        <f t="shared" si="109"/>
        <v>-0.15624686114419364</v>
      </c>
      <c r="N131" s="13">
        <f t="shared" si="109"/>
        <v>-0.4671280276816609</v>
      </c>
      <c r="O131" s="13">
        <f t="shared" si="109"/>
        <v>0.18499353169469598</v>
      </c>
      <c r="P131" s="13">
        <f t="shared" si="109"/>
        <v>3.1284557485820284E-2</v>
      </c>
      <c r="Q131" s="13" t="e">
        <f t="shared" si="109"/>
        <v>#DIV/0!</v>
      </c>
      <c r="R131" s="13">
        <f t="shared" si="109"/>
        <v>-0.42986653235960715</v>
      </c>
      <c r="S131" s="13">
        <f t="shared" si="109"/>
        <v>-0.93477094054873233</v>
      </c>
      <c r="T131" s="13">
        <f t="shared" si="109"/>
        <v>4.3669406181270984</v>
      </c>
      <c r="U131" s="13" t="e">
        <f t="shared" si="109"/>
        <v>#DIV/0!</v>
      </c>
      <c r="V131" s="163">
        <f t="shared" si="109"/>
        <v>0.37773195876288662</v>
      </c>
      <c r="W131" s="13">
        <f t="shared" si="109"/>
        <v>-1</v>
      </c>
      <c r="X131" s="13" t="e">
        <f t="shared" si="109"/>
        <v>#DIV/0!</v>
      </c>
      <c r="Y131" s="13">
        <f t="shared" si="109"/>
        <v>0.79143777230536083</v>
      </c>
      <c r="Z131" s="13">
        <f t="shared" si="109"/>
        <v>0.75531433740388965</v>
      </c>
      <c r="AA131" s="13">
        <f t="shared" si="109"/>
        <v>0.9319018404907975</v>
      </c>
      <c r="AB131" s="13">
        <f t="shared" si="109"/>
        <v>-0.95492957746478868</v>
      </c>
      <c r="AC131" s="14">
        <f t="shared" si="109"/>
        <v>1.0773993808049536</v>
      </c>
      <c r="AD131" s="13">
        <f t="shared" si="109"/>
        <v>-2.2269000437291148E-2</v>
      </c>
      <c r="AE131" s="13">
        <f t="shared" si="109"/>
        <v>1.7560975609756098</v>
      </c>
      <c r="AF131" s="13">
        <f t="shared" si="109"/>
        <v>-0.44672796106003243</v>
      </c>
      <c r="AG131" s="13">
        <f t="shared" si="109"/>
        <v>0.53458306399482869</v>
      </c>
      <c r="AH131" s="13" t="e">
        <f t="shared" si="109"/>
        <v>#DIV/0!</v>
      </c>
      <c r="AI131" s="13" t="e">
        <f t="shared" ref="AI131:BK131" si="110">AI130/AI127</f>
        <v>#DIV/0!</v>
      </c>
      <c r="AJ131" s="13">
        <f t="shared" si="110"/>
        <v>-0.17460317460317459</v>
      </c>
      <c r="AK131" s="13">
        <f t="shared" si="110"/>
        <v>-0.21415630004691266</v>
      </c>
      <c r="AL131" s="13">
        <f t="shared" si="110"/>
        <v>0.4884272997032641</v>
      </c>
      <c r="AM131" s="13">
        <f t="shared" si="110"/>
        <v>-0.16135191474832425</v>
      </c>
      <c r="AN131" s="13">
        <f t="shared" si="110"/>
        <v>-0.40876105344098423</v>
      </c>
      <c r="AO131" s="163">
        <f t="shared" si="110"/>
        <v>0.61307151629732271</v>
      </c>
      <c r="AP131" s="277">
        <f t="shared" si="110"/>
        <v>0.29625919153406216</v>
      </c>
      <c r="AQ131" s="14">
        <f t="shared" si="110"/>
        <v>-2.0267987839207295E-2</v>
      </c>
      <c r="AR131" s="13">
        <f t="shared" si="110"/>
        <v>0.67367601246105924</v>
      </c>
      <c r="AS131" s="13" t="e">
        <f t="shared" si="110"/>
        <v>#DIV/0!</v>
      </c>
      <c r="AT131" s="13" t="e">
        <f t="shared" si="110"/>
        <v>#DIV/0!</v>
      </c>
      <c r="AU131" s="13">
        <f t="shared" si="110"/>
        <v>3.8196202531645569</v>
      </c>
      <c r="AV131" s="13" t="e">
        <f t="shared" si="110"/>
        <v>#DIV/0!</v>
      </c>
      <c r="AW131" s="13" t="e">
        <f t="shared" si="110"/>
        <v>#DIV/0!</v>
      </c>
      <c r="AX131" s="13">
        <f t="shared" si="110"/>
        <v>-0.84832904884318761</v>
      </c>
      <c r="AY131" s="13" t="e">
        <f t="shared" si="110"/>
        <v>#DIV/0!</v>
      </c>
      <c r="AZ131" s="13" t="e">
        <f t="shared" si="110"/>
        <v>#DIV/0!</v>
      </c>
      <c r="BA131" s="13">
        <f t="shared" si="110"/>
        <v>-0.29432242319839219</v>
      </c>
      <c r="BB131" s="14">
        <f t="shared" si="110"/>
        <v>1.082415587558998</v>
      </c>
      <c r="BC131" s="13">
        <f t="shared" si="110"/>
        <v>0.66330720418066447</v>
      </c>
      <c r="BD131" s="13">
        <f t="shared" si="110"/>
        <v>0.64403778040141679</v>
      </c>
      <c r="BE131" s="13">
        <f t="shared" si="110"/>
        <v>-1</v>
      </c>
      <c r="BF131" s="13">
        <f t="shared" si="110"/>
        <v>0.77094055766076575</v>
      </c>
      <c r="BG131" s="13">
        <f t="shared" si="110"/>
        <v>5.2991436090111197</v>
      </c>
      <c r="BH131" s="163">
        <f t="shared" si="110"/>
        <v>0.15999253123021603</v>
      </c>
      <c r="BI131" s="46">
        <f t="shared" si="110"/>
        <v>5.0298377939349111E-2</v>
      </c>
      <c r="BJ131" s="13">
        <f t="shared" si="110"/>
        <v>4.1670923020795332</v>
      </c>
      <c r="BK131" s="52">
        <f t="shared" si="110"/>
        <v>-1.8212963523198167E-2</v>
      </c>
      <c r="BM131" s="163">
        <f>BM130/BM127</f>
        <v>-1.1818900207401175E-2</v>
      </c>
    </row>
    <row r="132" spans="1:65" ht="15.75">
      <c r="A132" s="130"/>
      <c r="B132" s="5" t="s">
        <v>126</v>
      </c>
      <c r="C132" s="11">
        <f>C129-C128</f>
        <v>47009</v>
      </c>
      <c r="D132" s="11">
        <f t="shared" ref="D132:BK132" si="111">D129-D128</f>
        <v>123136</v>
      </c>
      <c r="E132" s="11">
        <f t="shared" si="111"/>
        <v>220</v>
      </c>
      <c r="F132" s="11">
        <f t="shared" si="111"/>
        <v>8988</v>
      </c>
      <c r="G132" s="11">
        <f t="shared" si="111"/>
        <v>11496</v>
      </c>
      <c r="H132" s="11">
        <f t="shared" si="111"/>
        <v>23147</v>
      </c>
      <c r="I132" s="11">
        <f t="shared" si="111"/>
        <v>0</v>
      </c>
      <c r="J132" s="11">
        <f t="shared" si="111"/>
        <v>-87723</v>
      </c>
      <c r="K132" s="11">
        <f t="shared" si="111"/>
        <v>-1505</v>
      </c>
      <c r="L132" s="11">
        <f t="shared" si="111"/>
        <v>-25331</v>
      </c>
      <c r="M132" s="11">
        <f t="shared" si="111"/>
        <v>-2723</v>
      </c>
      <c r="N132" s="11">
        <f t="shared" si="111"/>
        <v>-44</v>
      </c>
      <c r="O132" s="11">
        <f t="shared" si="111"/>
        <v>-1127</v>
      </c>
      <c r="P132" s="11">
        <f t="shared" si="111"/>
        <v>-51479</v>
      </c>
      <c r="Q132" s="11">
        <f t="shared" si="111"/>
        <v>0</v>
      </c>
      <c r="R132" s="11">
        <f t="shared" si="111"/>
        <v>-4112</v>
      </c>
      <c r="S132" s="11">
        <f t="shared" si="111"/>
        <v>-37222</v>
      </c>
      <c r="T132" s="11">
        <f t="shared" si="111"/>
        <v>98360</v>
      </c>
      <c r="U132" s="11">
        <f>U129-U128</f>
        <v>0</v>
      </c>
      <c r="V132" s="9">
        <f t="shared" si="111"/>
        <v>5728</v>
      </c>
      <c r="W132" s="11">
        <f t="shared" si="111"/>
        <v>0</v>
      </c>
      <c r="X132" s="11">
        <f t="shared" si="111"/>
        <v>0</v>
      </c>
      <c r="Y132" s="11">
        <f t="shared" si="111"/>
        <v>3808</v>
      </c>
      <c r="Z132" s="11">
        <f t="shared" si="111"/>
        <v>2359</v>
      </c>
      <c r="AA132" s="11">
        <f t="shared" si="111"/>
        <v>512</v>
      </c>
      <c r="AB132" s="11">
        <f>AB129-AB128</f>
        <v>80</v>
      </c>
      <c r="AC132" s="10">
        <f>AC129-AC128</f>
        <v>29944</v>
      </c>
      <c r="AD132" s="11">
        <f>AD129-AD128</f>
        <v>143521</v>
      </c>
      <c r="AE132" s="11">
        <f t="shared" si="111"/>
        <v>427</v>
      </c>
      <c r="AF132" s="11">
        <f t="shared" si="111"/>
        <v>-569</v>
      </c>
      <c r="AG132" s="11">
        <f t="shared" si="111"/>
        <v>3325</v>
      </c>
      <c r="AH132" s="11">
        <f t="shared" si="111"/>
        <v>0</v>
      </c>
      <c r="AI132" s="11">
        <f t="shared" si="111"/>
        <v>0</v>
      </c>
      <c r="AJ132" s="11">
        <f t="shared" si="111"/>
        <v>1571</v>
      </c>
      <c r="AK132" s="11">
        <f t="shared" si="111"/>
        <v>-45942</v>
      </c>
      <c r="AL132" s="11">
        <f t="shared" si="111"/>
        <v>43446</v>
      </c>
      <c r="AM132" s="11">
        <f t="shared" si="111"/>
        <v>489803</v>
      </c>
      <c r="AN132" s="11">
        <f t="shared" si="111"/>
        <v>12233</v>
      </c>
      <c r="AO132" s="9">
        <f t="shared" si="111"/>
        <v>249792</v>
      </c>
      <c r="AP132" s="276">
        <f t="shared" si="111"/>
        <v>-132722</v>
      </c>
      <c r="AQ132" s="10">
        <f t="shared" si="111"/>
        <v>6996</v>
      </c>
      <c r="AR132" s="11">
        <f t="shared" si="111"/>
        <v>-2325</v>
      </c>
      <c r="AS132" s="11">
        <f t="shared" si="111"/>
        <v>0</v>
      </c>
      <c r="AT132" s="11">
        <f t="shared" si="111"/>
        <v>0</v>
      </c>
      <c r="AU132" s="11">
        <f t="shared" si="111"/>
        <v>-2452</v>
      </c>
      <c r="AV132" s="11">
        <f t="shared" si="111"/>
        <v>0</v>
      </c>
      <c r="AW132" s="11">
        <f t="shared" si="111"/>
        <v>-67</v>
      </c>
      <c r="AX132" s="11">
        <f t="shared" si="111"/>
        <v>-184</v>
      </c>
      <c r="AY132" s="11">
        <f t="shared" si="111"/>
        <v>-81</v>
      </c>
      <c r="AZ132" s="11">
        <f t="shared" si="111"/>
        <v>0</v>
      </c>
      <c r="BA132" s="11">
        <f t="shared" si="111"/>
        <v>-17382</v>
      </c>
      <c r="BB132" s="10">
        <f t="shared" si="111"/>
        <v>19290</v>
      </c>
      <c r="BC132" s="11">
        <f t="shared" si="111"/>
        <v>9246</v>
      </c>
      <c r="BD132" s="11">
        <f t="shared" si="111"/>
        <v>9246</v>
      </c>
      <c r="BE132" s="11">
        <f t="shared" si="111"/>
        <v>0</v>
      </c>
      <c r="BF132" s="11">
        <f t="shared" si="111"/>
        <v>20416</v>
      </c>
      <c r="BG132" s="11">
        <f t="shared" si="111"/>
        <v>206564</v>
      </c>
      <c r="BH132" s="9">
        <f t="shared" si="111"/>
        <v>870631</v>
      </c>
      <c r="BI132" s="45">
        <f t="shared" si="111"/>
        <v>1014152</v>
      </c>
      <c r="BJ132" s="11">
        <f t="shared" si="111"/>
        <v>214673</v>
      </c>
      <c r="BK132" s="51">
        <f t="shared" si="111"/>
        <v>799479</v>
      </c>
      <c r="BM132" s="30">
        <f t="shared" si="102"/>
        <v>655958</v>
      </c>
    </row>
    <row r="133" spans="1:65" ht="15.75">
      <c r="A133" s="130"/>
      <c r="B133" s="5" t="s">
        <v>127</v>
      </c>
      <c r="C133" s="13">
        <f t="shared" ref="C133:AH133" si="112">C132/C128</f>
        <v>4.5160187100300786E-2</v>
      </c>
      <c r="D133" s="13">
        <f t="shared" si="112"/>
        <v>0.20561596622939432</v>
      </c>
      <c r="E133" s="13">
        <f t="shared" si="112"/>
        <v>1.5942028985507246</v>
      </c>
      <c r="F133" s="13">
        <f t="shared" si="112"/>
        <v>7.4998748351996797E-2</v>
      </c>
      <c r="G133" s="13">
        <f t="shared" si="112"/>
        <v>0.13290173410404624</v>
      </c>
      <c r="H133" s="13">
        <f t="shared" si="112"/>
        <v>0.15084195709407502</v>
      </c>
      <c r="I133" s="13" t="e">
        <f t="shared" si="112"/>
        <v>#DIV/0!</v>
      </c>
      <c r="J133" s="13">
        <f t="shared" si="112"/>
        <v>-0.36265657943693413</v>
      </c>
      <c r="K133" s="13">
        <f t="shared" si="112"/>
        <v>-0.16466083150984684</v>
      </c>
      <c r="L133" s="13">
        <f t="shared" si="112"/>
        <v>-0.36277317904505485</v>
      </c>
      <c r="M133" s="13">
        <f t="shared" si="112"/>
        <v>-4.4258431531897603E-2</v>
      </c>
      <c r="N133" s="13">
        <f t="shared" si="112"/>
        <v>-0.22222222222222221</v>
      </c>
      <c r="O133" s="13">
        <f t="shared" si="112"/>
        <v>-0.1974767828981952</v>
      </c>
      <c r="P133" s="13">
        <f t="shared" si="112"/>
        <v>-0.47099241530114638</v>
      </c>
      <c r="Q133" s="13" t="e">
        <f t="shared" si="112"/>
        <v>#DIV/0!</v>
      </c>
      <c r="R133" s="13">
        <f t="shared" si="112"/>
        <v>-0.64491844416562105</v>
      </c>
      <c r="S133" s="13">
        <f t="shared" si="112"/>
        <v>-0.72018419626963859</v>
      </c>
      <c r="T133" s="13">
        <f t="shared" si="112"/>
        <v>0.7369722399130858</v>
      </c>
      <c r="U133" s="13" t="e">
        <f t="shared" si="112"/>
        <v>#DIV/0!</v>
      </c>
      <c r="V133" s="163">
        <f t="shared" si="112"/>
        <v>1.3336437718277065</v>
      </c>
      <c r="W133" s="13" t="e">
        <f t="shared" si="112"/>
        <v>#DIV/0!</v>
      </c>
      <c r="X133" s="13" t="e">
        <f t="shared" si="112"/>
        <v>#DIV/0!</v>
      </c>
      <c r="Y133" s="13">
        <f t="shared" si="112"/>
        <v>0.67410161090458487</v>
      </c>
      <c r="Z133" s="13">
        <f t="shared" si="112"/>
        <v>1.5499342969776611</v>
      </c>
      <c r="AA133" s="13">
        <f t="shared" si="112"/>
        <v>0.19416003033750473</v>
      </c>
      <c r="AB133" s="13" t="e">
        <f t="shared" si="112"/>
        <v>#DIV/0!</v>
      </c>
      <c r="AC133" s="14">
        <f t="shared" si="112"/>
        <v>2.7254027487030128</v>
      </c>
      <c r="AD133" s="13">
        <f t="shared" si="112"/>
        <v>5.2882990933828554E-2</v>
      </c>
      <c r="AE133" s="13">
        <f t="shared" si="112"/>
        <v>17.079999999999998</v>
      </c>
      <c r="AF133" s="13">
        <f t="shared" si="112"/>
        <v>-0.35741206030150752</v>
      </c>
      <c r="AG133" s="13">
        <f t="shared" si="112"/>
        <v>0.53881056554853346</v>
      </c>
      <c r="AH133" s="13" t="e">
        <f t="shared" si="112"/>
        <v>#DIV/0!</v>
      </c>
      <c r="AI133" s="13" t="e">
        <f t="shared" ref="AI133:BK133" si="113">AI132/AI128</f>
        <v>#DIV/0!</v>
      </c>
      <c r="AJ133" s="13">
        <f t="shared" si="113"/>
        <v>2.5628058727569329</v>
      </c>
      <c r="AK133" s="13">
        <f t="shared" si="113"/>
        <v>-0.32105046156856443</v>
      </c>
      <c r="AL133" s="13">
        <f t="shared" si="113"/>
        <v>0.70198739699466794</v>
      </c>
      <c r="AM133" s="13">
        <f t="shared" si="113"/>
        <v>0.77717518068656932</v>
      </c>
      <c r="AN133" s="13">
        <f t="shared" si="113"/>
        <v>0.98876495311994828</v>
      </c>
      <c r="AO133" s="163">
        <f t="shared" si="113"/>
        <v>1.2445728805958995</v>
      </c>
      <c r="AP133" s="277">
        <f t="shared" si="113"/>
        <v>241.75227686703096</v>
      </c>
      <c r="AQ133" s="14">
        <f t="shared" si="113"/>
        <v>0.67230443974630016</v>
      </c>
      <c r="AR133" s="13">
        <f t="shared" si="113"/>
        <v>-0.51966919982118909</v>
      </c>
      <c r="AS133" s="13" t="e">
        <f t="shared" si="113"/>
        <v>#DIV/0!</v>
      </c>
      <c r="AT133" s="13" t="e">
        <f t="shared" si="113"/>
        <v>#DIV/0!</v>
      </c>
      <c r="AU133" s="13">
        <f t="shared" si="113"/>
        <v>-0.61685534591194968</v>
      </c>
      <c r="AV133" s="13" t="e">
        <f t="shared" si="113"/>
        <v>#DIV/0!</v>
      </c>
      <c r="AW133" s="13">
        <f t="shared" si="113"/>
        <v>-1</v>
      </c>
      <c r="AX133" s="13">
        <f t="shared" si="113"/>
        <v>-0.75720164609053497</v>
      </c>
      <c r="AY133" s="13">
        <f t="shared" si="113"/>
        <v>-1</v>
      </c>
      <c r="AZ133" s="13" t="e">
        <f t="shared" si="113"/>
        <v>#DIV/0!</v>
      </c>
      <c r="BA133" s="13">
        <f t="shared" si="113"/>
        <v>-0.46921311917937641</v>
      </c>
      <c r="BB133" s="14">
        <f t="shared" si="113"/>
        <v>1.2754562285109758</v>
      </c>
      <c r="BC133" s="13">
        <f t="shared" si="113"/>
        <v>0.70937547951511437</v>
      </c>
      <c r="BD133" s="13">
        <f t="shared" si="113"/>
        <v>0.70937547951511437</v>
      </c>
      <c r="BE133" s="13" t="e">
        <f t="shared" si="113"/>
        <v>#DIV/0!</v>
      </c>
      <c r="BF133" s="13">
        <f t="shared" si="113"/>
        <v>1.8737151248164463</v>
      </c>
      <c r="BG133" s="13">
        <f t="shared" si="113"/>
        <v>0.99525892805519689</v>
      </c>
      <c r="BH133" s="163">
        <f t="shared" si="113"/>
        <v>0.63453370065885373</v>
      </c>
      <c r="BI133" s="46">
        <f t="shared" si="113"/>
        <v>0.24820075305646211</v>
      </c>
      <c r="BJ133" s="13">
        <f t="shared" si="113"/>
        <v>1.0949687331041449</v>
      </c>
      <c r="BK133" s="52">
        <f t="shared" si="113"/>
        <v>0.20552365435026212</v>
      </c>
      <c r="BM133" s="14">
        <f>BM132/BM128</f>
        <v>0.55777508320394276</v>
      </c>
    </row>
    <row r="134" spans="1:65" ht="15.75">
      <c r="A134" s="130"/>
      <c r="B134" s="5" t="s">
        <v>323</v>
      </c>
      <c r="C134" s="128">
        <f>C129/C126</f>
        <v>0.17775545562142553</v>
      </c>
      <c r="D134" s="128">
        <f t="shared" ref="D134:BK134" si="114">D129/D126</f>
        <v>0.19441024762803341</v>
      </c>
      <c r="E134" s="128" t="e">
        <f t="shared" si="114"/>
        <v>#DIV/0!</v>
      </c>
      <c r="F134" s="128">
        <f t="shared" si="114"/>
        <v>0.15291303909175613</v>
      </c>
      <c r="G134" s="128">
        <f t="shared" si="114"/>
        <v>0.18863413685772748</v>
      </c>
      <c r="H134" s="128">
        <f t="shared" si="114"/>
        <v>0.21807595655744283</v>
      </c>
      <c r="I134" s="128" t="e">
        <f t="shared" si="114"/>
        <v>#DIV/0!</v>
      </c>
      <c r="J134" s="128">
        <f t="shared" si="114"/>
        <v>0.18444955983451022</v>
      </c>
      <c r="K134" s="128">
        <f t="shared" si="114"/>
        <v>0.15729295426452411</v>
      </c>
      <c r="L134" s="128">
        <f t="shared" si="114"/>
        <v>0.23056196077415342</v>
      </c>
      <c r="M134" s="128">
        <f t="shared" si="114"/>
        <v>0.16031385549887811</v>
      </c>
      <c r="N134" s="128">
        <f t="shared" si="114"/>
        <v>0.1011826544021025</v>
      </c>
      <c r="O134" s="128">
        <f t="shared" si="114"/>
        <v>0.22534934068096832</v>
      </c>
      <c r="P134" s="128">
        <f t="shared" si="114"/>
        <v>0.19594154963942959</v>
      </c>
      <c r="Q134" s="128" t="e">
        <f t="shared" si="114"/>
        <v>#DIV/0!</v>
      </c>
      <c r="R134" s="128">
        <f t="shared" si="114"/>
        <v>0.1083875909613175</v>
      </c>
      <c r="S134" s="128">
        <f t="shared" si="114"/>
        <v>3.2614309071432597E-2</v>
      </c>
      <c r="T134" s="128">
        <f t="shared" si="114"/>
        <v>1.0197057335767226</v>
      </c>
      <c r="U134" s="128" t="e">
        <f t="shared" si="114"/>
        <v>#DIV/0!</v>
      </c>
      <c r="V134" s="178">
        <f t="shared" si="114"/>
        <v>0.26175863780000524</v>
      </c>
      <c r="W134" s="128">
        <f t="shared" si="114"/>
        <v>0</v>
      </c>
      <c r="X134" s="128" t="e">
        <f t="shared" si="114"/>
        <v>#DIV/0!</v>
      </c>
      <c r="Y134" s="128">
        <f t="shared" si="114"/>
        <v>0.34032675975241111</v>
      </c>
      <c r="Z134" s="128">
        <f t="shared" si="114"/>
        <v>0.33350519893443326</v>
      </c>
      <c r="AA134" s="128">
        <f t="shared" si="114"/>
        <v>0.36714468928529786</v>
      </c>
      <c r="AB134" s="128">
        <f>AB129/AB126</f>
        <v>8.5625602055014443E-3</v>
      </c>
      <c r="AC134" s="217">
        <f t="shared" si="114"/>
        <v>0.39471349495650832</v>
      </c>
      <c r="AD134" s="128">
        <f t="shared" si="114"/>
        <v>0.19493729642127133</v>
      </c>
      <c r="AE134" s="128">
        <f t="shared" si="114"/>
        <v>0.66372980910425849</v>
      </c>
      <c r="AF134" s="128">
        <f t="shared" si="114"/>
        <v>0.13275369841681806</v>
      </c>
      <c r="AG134" s="128">
        <f t="shared" si="114"/>
        <v>0.36834755624515125</v>
      </c>
      <c r="AH134" s="128" t="e">
        <f t="shared" si="114"/>
        <v>#DIV/0!</v>
      </c>
      <c r="AI134" s="128" t="e">
        <f t="shared" si="114"/>
        <v>#DIV/0!</v>
      </c>
      <c r="AJ134" s="128">
        <f t="shared" si="114"/>
        <v>0.19804134929270947</v>
      </c>
      <c r="AK134" s="128">
        <f t="shared" si="114"/>
        <v>0.18860309818690066</v>
      </c>
      <c r="AL134" s="128">
        <f t="shared" si="114"/>
        <v>0.35721770624561261</v>
      </c>
      <c r="AM134" s="128">
        <f t="shared" si="114"/>
        <v>0.20127575748100435</v>
      </c>
      <c r="AN134" s="128">
        <f t="shared" si="114"/>
        <v>0.14189816550268455</v>
      </c>
      <c r="AO134" s="178">
        <f t="shared" si="114"/>
        <v>0.38714065717241924</v>
      </c>
      <c r="AP134" s="278">
        <f t="shared" si="114"/>
        <v>0.31167358126090394</v>
      </c>
      <c r="AQ134" s="217">
        <f t="shared" si="114"/>
        <v>0.23512721082001325</v>
      </c>
      <c r="AR134" s="128">
        <f t="shared" si="114"/>
        <v>0.40183246073298429</v>
      </c>
      <c r="AS134" s="128" t="e">
        <f t="shared" si="114"/>
        <v>#DIV/0!</v>
      </c>
      <c r="AT134" s="128" t="e">
        <f t="shared" si="114"/>
        <v>#DIV/0!</v>
      </c>
      <c r="AU134" s="128">
        <f t="shared" si="114"/>
        <v>1.1555386949924127</v>
      </c>
      <c r="AV134" s="128" t="e">
        <f t="shared" si="114"/>
        <v>#DIV/0!</v>
      </c>
      <c r="AW134" s="128" t="e">
        <f t="shared" si="114"/>
        <v>#DIV/0!</v>
      </c>
      <c r="AX134" s="128">
        <f t="shared" si="114"/>
        <v>3.639728562615669E-2</v>
      </c>
      <c r="AY134" s="128" t="e">
        <f t="shared" si="114"/>
        <v>#DIV/0!</v>
      </c>
      <c r="AZ134" s="128" t="e">
        <f t="shared" si="114"/>
        <v>#DIV/0!</v>
      </c>
      <c r="BA134" s="128">
        <f t="shared" si="114"/>
        <v>0.16936407720996735</v>
      </c>
      <c r="BB134" s="217">
        <f t="shared" si="114"/>
        <v>0.49979667712327175</v>
      </c>
      <c r="BC134" s="128">
        <f t="shared" si="114"/>
        <v>0.39924737926709075</v>
      </c>
      <c r="BD134" s="128">
        <f t="shared" si="114"/>
        <v>0.39453180337158239</v>
      </c>
      <c r="BE134" s="128">
        <f t="shared" si="114"/>
        <v>0</v>
      </c>
      <c r="BF134" s="128">
        <f t="shared" si="114"/>
        <v>0.42502477229846208</v>
      </c>
      <c r="BG134" s="128">
        <f t="shared" si="114"/>
        <v>0.29268099614670234</v>
      </c>
      <c r="BH134" s="178">
        <f t="shared" si="114"/>
        <v>0.24383900985343093</v>
      </c>
      <c r="BI134" s="128">
        <f t="shared" si="114"/>
        <v>0.21379112142808129</v>
      </c>
      <c r="BJ134" s="128">
        <f t="shared" si="114"/>
        <v>0.27956549379850554</v>
      </c>
      <c r="BK134" s="128">
        <f t="shared" si="114"/>
        <v>0.20947457190948243</v>
      </c>
      <c r="BM134" s="128">
        <f>BM129/BM126</f>
        <v>0.23704738854179</v>
      </c>
    </row>
    <row r="135" spans="1:65" ht="15.75">
      <c r="B135" s="5" t="s">
        <v>322</v>
      </c>
      <c r="C135" s="11">
        <f>C126-C129</f>
        <v>5032528</v>
      </c>
      <c r="D135" s="11">
        <f t="shared" ref="D135:BK135" si="115">D126-D129</f>
        <v>2991796</v>
      </c>
      <c r="E135" s="11">
        <f t="shared" si="115"/>
        <v>-358</v>
      </c>
      <c r="F135" s="11">
        <f t="shared" si="115"/>
        <v>713675</v>
      </c>
      <c r="G135" s="11">
        <f t="shared" si="115"/>
        <v>421507</v>
      </c>
      <c r="H135" s="11">
        <f t="shared" si="115"/>
        <v>633206</v>
      </c>
      <c r="I135" s="11">
        <f t="shared" si="115"/>
        <v>0</v>
      </c>
      <c r="J135" s="11">
        <f t="shared" si="115"/>
        <v>681655</v>
      </c>
      <c r="K135" s="11">
        <f t="shared" si="115"/>
        <v>40905</v>
      </c>
      <c r="L135" s="11">
        <f t="shared" si="115"/>
        <v>148490</v>
      </c>
      <c r="M135" s="11">
        <f t="shared" si="115"/>
        <v>307991</v>
      </c>
      <c r="N135" s="11">
        <f t="shared" si="115"/>
        <v>1368</v>
      </c>
      <c r="O135" s="11">
        <f t="shared" si="115"/>
        <v>15744</v>
      </c>
      <c r="P135" s="11">
        <f t="shared" si="115"/>
        <v>237268</v>
      </c>
      <c r="Q135" s="11">
        <f t="shared" si="115"/>
        <v>0</v>
      </c>
      <c r="R135" s="11">
        <f t="shared" si="115"/>
        <v>18624</v>
      </c>
      <c r="S135" s="11">
        <f t="shared" si="115"/>
        <v>428963</v>
      </c>
      <c r="T135" s="11">
        <f t="shared" si="115"/>
        <v>-4480</v>
      </c>
      <c r="U135" s="11">
        <f t="shared" si="115"/>
        <v>0</v>
      </c>
      <c r="V135" s="11">
        <f t="shared" si="115"/>
        <v>28268</v>
      </c>
      <c r="W135" s="11">
        <f t="shared" si="115"/>
        <v>183</v>
      </c>
      <c r="X135" s="11">
        <f t="shared" si="115"/>
        <v>0</v>
      </c>
      <c r="Y135" s="11">
        <f t="shared" si="115"/>
        <v>18331</v>
      </c>
      <c r="Z135" s="11">
        <f t="shared" si="115"/>
        <v>7756</v>
      </c>
      <c r="AA135" s="11">
        <f t="shared" si="115"/>
        <v>5428</v>
      </c>
      <c r="AB135" s="11">
        <f t="shared" si="115"/>
        <v>9263</v>
      </c>
      <c r="AC135" s="11">
        <f t="shared" si="115"/>
        <v>62767</v>
      </c>
      <c r="AD135" s="11">
        <f t="shared" si="115"/>
        <v>11800878</v>
      </c>
      <c r="AE135" s="11">
        <f t="shared" si="115"/>
        <v>229</v>
      </c>
      <c r="AF135" s="11">
        <f t="shared" si="115"/>
        <v>6683</v>
      </c>
      <c r="AG135" s="11">
        <f t="shared" si="115"/>
        <v>16284</v>
      </c>
      <c r="AH135" s="11">
        <f t="shared" si="115"/>
        <v>0</v>
      </c>
      <c r="AI135" s="11">
        <f t="shared" si="115"/>
        <v>0</v>
      </c>
      <c r="AJ135" s="11">
        <f t="shared" si="115"/>
        <v>8844</v>
      </c>
      <c r="AK135" s="11">
        <f t="shared" si="115"/>
        <v>417983</v>
      </c>
      <c r="AL135" s="11">
        <f t="shared" si="115"/>
        <v>189543</v>
      </c>
      <c r="AM135" s="11">
        <f t="shared" si="115"/>
        <v>4444656</v>
      </c>
      <c r="AN135" s="11">
        <f t="shared" si="115"/>
        <v>148794</v>
      </c>
      <c r="AO135" s="11">
        <f t="shared" si="115"/>
        <v>713155</v>
      </c>
      <c r="AP135" s="276">
        <f t="shared" si="115"/>
        <v>-294327</v>
      </c>
      <c r="AQ135" s="11">
        <f t="shared" si="115"/>
        <v>56609</v>
      </c>
      <c r="AR135" s="11">
        <f t="shared" si="115"/>
        <v>3199</v>
      </c>
      <c r="AS135" s="11">
        <f t="shared" si="115"/>
        <v>0</v>
      </c>
      <c r="AT135" s="11">
        <f t="shared" si="115"/>
        <v>0</v>
      </c>
      <c r="AU135" s="11">
        <f t="shared" si="115"/>
        <v>-205</v>
      </c>
      <c r="AV135" s="11">
        <f t="shared" si="115"/>
        <v>0</v>
      </c>
      <c r="AW135" s="11">
        <f t="shared" si="115"/>
        <v>0</v>
      </c>
      <c r="AX135" s="11">
        <f t="shared" si="115"/>
        <v>1562</v>
      </c>
      <c r="AY135" s="11">
        <f t="shared" si="115"/>
        <v>0</v>
      </c>
      <c r="AZ135" s="11">
        <f t="shared" si="115"/>
        <v>0</v>
      </c>
      <c r="BA135" s="11">
        <f t="shared" si="115"/>
        <v>96436</v>
      </c>
      <c r="BB135" s="11">
        <f t="shared" si="115"/>
        <v>34442</v>
      </c>
      <c r="BC135" s="11">
        <f t="shared" si="115"/>
        <v>33525</v>
      </c>
      <c r="BD135" s="11">
        <f t="shared" si="115"/>
        <v>34192</v>
      </c>
      <c r="BE135" s="11">
        <f t="shared" si="115"/>
        <v>53</v>
      </c>
      <c r="BF135" s="11">
        <f t="shared" si="115"/>
        <v>42359</v>
      </c>
      <c r="BG135" s="11">
        <f t="shared" si="115"/>
        <v>1000780</v>
      </c>
      <c r="BH135" s="11">
        <f t="shared" si="115"/>
        <v>6954796</v>
      </c>
      <c r="BI135" s="11">
        <f t="shared" si="115"/>
        <v>18755674</v>
      </c>
      <c r="BJ135" s="11">
        <f t="shared" si="115"/>
        <v>1058435</v>
      </c>
      <c r="BK135" s="11">
        <f t="shared" si="115"/>
        <v>17697239</v>
      </c>
    </row>
    <row r="137" spans="1:65">
      <c r="BK137" s="263"/>
    </row>
  </sheetData>
  <mergeCells count="4">
    <mergeCell ref="C1:K1"/>
    <mergeCell ref="M2:O2"/>
    <mergeCell ref="AQ2:AS2"/>
    <mergeCell ref="BI2:BK2"/>
  </mergeCells>
  <conditionalFormatting sqref="BM35 BM46 BM57 BM68 BM79 BM90 BM101 BM112 BM123 BM134 C46:BI46 C90:BI90 C101:BI101 C79:BI79 C57:BI57 C35:BI35 C112:BI112 C134:BI134 C123:BI123 BM13 BM24 C13:BI13 C24:BI24">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5" man="1"/>
    <brk id="30" max="135" man="1"/>
    <brk id="48" max="135"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42" zoomScaleNormal="100" zoomScaleSheetLayoutView="100" workbookViewId="0">
      <selection activeCell="I51" sqref="I51"/>
    </sheetView>
  </sheetViews>
  <sheetFormatPr defaultRowHeight="15"/>
  <cols>
    <col min="2" max="2" width="27" customWidth="1"/>
    <col min="3" max="3" width="10" style="185" customWidth="1"/>
    <col min="4" max="4" width="12.42578125" customWidth="1"/>
    <col min="5" max="5" width="2" hidden="1" customWidth="1"/>
    <col min="6" max="6" width="9.85546875" style="179" customWidth="1"/>
    <col min="7" max="7" width="12.42578125" customWidth="1"/>
    <col min="8" max="8" width="11.7109375" style="71" customWidth="1"/>
    <col min="9" max="9" width="13.42578125" style="179" customWidth="1"/>
    <col min="10" max="10" width="12" style="179" customWidth="1"/>
    <col min="11" max="11" width="9.42578125" customWidth="1"/>
    <col min="12" max="12" width="10.7109375" customWidth="1"/>
    <col min="13" max="13" width="10.140625" customWidth="1"/>
    <col min="14" max="14" width="11" customWidth="1"/>
    <col min="15" max="15" width="13.7109375" style="185" customWidth="1"/>
  </cols>
  <sheetData>
    <row r="1" spans="1:15">
      <c r="B1" s="36" t="s">
        <v>320</v>
      </c>
      <c r="C1" s="36"/>
    </row>
    <row r="2" spans="1:15">
      <c r="M2" s="36" t="s">
        <v>142</v>
      </c>
    </row>
    <row r="3" spans="1:15" s="36" customFormat="1" ht="15" customHeight="1">
      <c r="B3" s="327" t="s">
        <v>143</v>
      </c>
      <c r="C3" s="331" t="s">
        <v>312</v>
      </c>
      <c r="D3" s="331" t="s">
        <v>313</v>
      </c>
      <c r="E3" s="331"/>
      <c r="F3" s="336" t="str">
        <f>'PU Wise OWE'!$B$5</f>
        <v xml:space="preserve">VOA 2024-25 </v>
      </c>
      <c r="G3" s="331" t="s">
        <v>315</v>
      </c>
      <c r="H3" s="333" t="str">
        <f>'PU Wise OWE'!$B$7</f>
        <v>Actuals upto April-23</v>
      </c>
      <c r="I3" s="336" t="str">
        <f>'PU Wise OWE'!$B$6</f>
        <v>BP to end of April-24</v>
      </c>
      <c r="J3" s="336" t="str">
        <f>'PU Wise OWE'!$B$8</f>
        <v>Actuals upto April-24</v>
      </c>
      <c r="K3" s="335" t="s">
        <v>198</v>
      </c>
      <c r="L3" s="335"/>
      <c r="M3" s="335" t="s">
        <v>139</v>
      </c>
      <c r="N3" s="335"/>
      <c r="O3" s="304" t="s">
        <v>314</v>
      </c>
    </row>
    <row r="4" spans="1:15" ht="15.6" customHeight="1">
      <c r="A4" s="31"/>
      <c r="B4" s="328"/>
      <c r="C4" s="332"/>
      <c r="D4" s="332"/>
      <c r="E4" s="332"/>
      <c r="F4" s="337"/>
      <c r="G4" s="332"/>
      <c r="H4" s="332"/>
      <c r="I4" s="337"/>
      <c r="J4" s="337"/>
      <c r="K4" s="19" t="s">
        <v>137</v>
      </c>
      <c r="L4" s="18" t="s">
        <v>138</v>
      </c>
      <c r="M4" s="19" t="s">
        <v>137</v>
      </c>
      <c r="N4" s="18" t="s">
        <v>138</v>
      </c>
      <c r="O4" s="305"/>
    </row>
    <row r="5" spans="1:15">
      <c r="A5" s="31"/>
      <c r="B5" s="63" t="s">
        <v>140</v>
      </c>
      <c r="C5" s="22">
        <v>2932.73</v>
      </c>
      <c r="D5" s="68">
        <f>C5/C7</f>
        <v>0.65580709937968762</v>
      </c>
      <c r="E5" s="68"/>
      <c r="F5" s="107">
        <f>ROUND('PU Wise OWE'!$AD$126/10000,2)</f>
        <v>1465.83</v>
      </c>
      <c r="G5" s="68">
        <f>F5/F7</f>
        <v>0.65477716679993025</v>
      </c>
      <c r="H5" s="72">
        <f>ROUND('PU Wise OWE'!$AD$128/10000,2)</f>
        <v>271.39</v>
      </c>
      <c r="I5" s="107">
        <f>ROUND('PU Wise OWE'!$AD$127/10000,2)</f>
        <v>292.25</v>
      </c>
      <c r="J5" s="20">
        <f>ROUND('PU Wise OWE'!$AD$129/10000,2)</f>
        <v>285.75</v>
      </c>
      <c r="K5" s="22">
        <f>J5-I5</f>
        <v>-6.5</v>
      </c>
      <c r="L5" s="24">
        <f>K5/I5</f>
        <v>-2.2241231822070145E-2</v>
      </c>
      <c r="M5" s="22">
        <f>J5-H5</f>
        <v>14.360000000000014</v>
      </c>
      <c r="N5" s="54">
        <f>M5/H5</f>
        <v>5.2912782342754025E-2</v>
      </c>
      <c r="O5" s="54">
        <f>J5/F5</f>
        <v>0.19494075029164365</v>
      </c>
    </row>
    <row r="6" spans="1:15">
      <c r="A6" s="31"/>
      <c r="B6" s="80" t="s">
        <v>136</v>
      </c>
      <c r="C6" s="21">
        <v>1539.2099999999996</v>
      </c>
      <c r="D6" s="68">
        <f>C6/C7</f>
        <v>0.34419290062031238</v>
      </c>
      <c r="E6" s="68"/>
      <c r="F6" s="21">
        <f>F7-F5</f>
        <v>772.84000000000015</v>
      </c>
      <c r="G6" s="68">
        <f>F6/F7</f>
        <v>0.34522283320006975</v>
      </c>
      <c r="H6" s="72">
        <f>H7-H5</f>
        <v>117.61000000000001</v>
      </c>
      <c r="I6" s="21">
        <f>I7-I5</f>
        <v>185.39</v>
      </c>
      <c r="J6" s="21">
        <f>J7-J5</f>
        <v>183.19</v>
      </c>
      <c r="K6" s="22">
        <f>J6-I6</f>
        <v>-2.1999999999999886</v>
      </c>
      <c r="L6" s="24">
        <f>K6/I6</f>
        <v>-1.1866875235988936E-2</v>
      </c>
      <c r="M6" s="22">
        <f>J6-H6</f>
        <v>65.579999999999984</v>
      </c>
      <c r="N6" s="54">
        <f>M6/H6</f>
        <v>0.55760564577841998</v>
      </c>
      <c r="O6" s="54">
        <f>J6/F6</f>
        <v>0.23703483256560215</v>
      </c>
    </row>
    <row r="7" spans="1:15">
      <c r="A7" s="31"/>
      <c r="B7" s="27" t="s">
        <v>163</v>
      </c>
      <c r="C7" s="106">
        <f>SUM(C5:C6)</f>
        <v>4471.9399999999996</v>
      </c>
      <c r="D7" s="69">
        <f>SUM(D5:D6)</f>
        <v>1</v>
      </c>
      <c r="E7" s="69"/>
      <c r="F7" s="106">
        <f>ROUND('PU Wise OWE'!BK126/10000,2)</f>
        <v>2238.67</v>
      </c>
      <c r="G7" s="69">
        <f>SUM(G5:G6)</f>
        <v>1</v>
      </c>
      <c r="H7" s="73">
        <f>ROUND('PU Wise OWE'!BK128/10000,2)</f>
        <v>389</v>
      </c>
      <c r="I7" s="106">
        <f>ROUND('PU Wise OWE'!BK127/10000,2)</f>
        <v>477.64</v>
      </c>
      <c r="J7" s="27">
        <f>ROUND('PU Wise OWE'!BK129/10000,2)</f>
        <v>468.94</v>
      </c>
      <c r="K7" s="26">
        <f>J7-I7</f>
        <v>-8.6999999999999886</v>
      </c>
      <c r="L7" s="56">
        <f>K7/I7</f>
        <v>-1.8214554894899902E-2</v>
      </c>
      <c r="M7" s="26">
        <f>J7-H7</f>
        <v>79.94</v>
      </c>
      <c r="N7" s="57">
        <f>M7/H7</f>
        <v>0.20550128534704371</v>
      </c>
      <c r="O7" s="57">
        <f>J7/F7</f>
        <v>0.20947258863521645</v>
      </c>
    </row>
    <row r="8" spans="1:15">
      <c r="A8" s="31"/>
      <c r="B8" s="32"/>
      <c r="C8" s="32"/>
      <c r="D8" s="33"/>
      <c r="E8" s="33"/>
      <c r="F8" s="238"/>
      <c r="G8" s="34"/>
      <c r="H8" s="74"/>
      <c r="I8" s="238"/>
      <c r="J8" s="32"/>
      <c r="K8" s="31"/>
      <c r="L8" s="35"/>
      <c r="M8" s="34"/>
      <c r="N8" s="31"/>
    </row>
    <row r="9" spans="1:15" ht="14.45" customHeight="1">
      <c r="A9" s="31"/>
      <c r="D9" s="33"/>
      <c r="E9" s="33"/>
      <c r="F9" s="238"/>
      <c r="G9" s="34"/>
      <c r="H9" s="74"/>
      <c r="I9" s="238"/>
      <c r="J9" s="32"/>
      <c r="K9" s="31"/>
      <c r="L9" s="35"/>
      <c r="M9" s="34"/>
      <c r="N9" s="31"/>
    </row>
    <row r="10" spans="1:15">
      <c r="A10" s="31"/>
      <c r="B10" s="64" t="s">
        <v>308</v>
      </c>
      <c r="C10" s="64"/>
      <c r="D10" s="65"/>
      <c r="E10" s="65"/>
      <c r="F10" s="254"/>
      <c r="G10" s="65"/>
      <c r="H10" s="75"/>
      <c r="I10" s="254"/>
      <c r="J10" s="254"/>
      <c r="M10" s="36" t="s">
        <v>142</v>
      </c>
    </row>
    <row r="11" spans="1:15" ht="15" customHeight="1">
      <c r="A11" s="31"/>
      <c r="B11" s="329" t="s">
        <v>143</v>
      </c>
      <c r="C11" s="325" t="str">
        <f>C3</f>
        <v>Actuals 2023-24</v>
      </c>
      <c r="D11" s="325" t="s">
        <v>165</v>
      </c>
      <c r="E11" s="325"/>
      <c r="F11" s="314" t="str">
        <f>'PU Wise OWE'!$B$5</f>
        <v xml:space="preserve">VOA 2024-25 </v>
      </c>
      <c r="G11" s="325" t="str">
        <f>G3</f>
        <v>% of Total VOA 2024-25</v>
      </c>
      <c r="H11" s="334" t="str">
        <f>'PU Wise OWE'!$B$7</f>
        <v>Actuals upto April-23</v>
      </c>
      <c r="I11" s="314" t="str">
        <f>'PU Wise OWE'!$B$6</f>
        <v>BP to end of April-24</v>
      </c>
      <c r="J11" s="314" t="str">
        <f>'PU Wise OWE'!$B$8</f>
        <v>Actuals upto April-24</v>
      </c>
      <c r="K11" s="322" t="s">
        <v>198</v>
      </c>
      <c r="L11" s="322"/>
      <c r="M11" s="322" t="s">
        <v>139</v>
      </c>
      <c r="N11" s="322"/>
      <c r="O11" s="306" t="str">
        <f>O3</f>
        <v>VOA Utilization</v>
      </c>
    </row>
    <row r="12" spans="1:15" ht="15" customHeight="1">
      <c r="A12" s="31"/>
      <c r="B12" s="330"/>
      <c r="C12" s="326"/>
      <c r="D12" s="326"/>
      <c r="E12" s="326"/>
      <c r="F12" s="315"/>
      <c r="G12" s="326"/>
      <c r="H12" s="326"/>
      <c r="I12" s="315"/>
      <c r="J12" s="315"/>
      <c r="K12" s="66" t="s">
        <v>137</v>
      </c>
      <c r="L12" s="67" t="s">
        <v>138</v>
      </c>
      <c r="M12" s="66" t="s">
        <v>137</v>
      </c>
      <c r="N12" s="67" t="s">
        <v>138</v>
      </c>
      <c r="O12" s="307"/>
    </row>
    <row r="13" spans="1:15">
      <c r="A13" s="31"/>
      <c r="B13" s="20" t="s">
        <v>144</v>
      </c>
      <c r="C13" s="107">
        <v>1295.97</v>
      </c>
      <c r="D13" s="68">
        <f>C13/$C$7</f>
        <v>0.28980039982647354</v>
      </c>
      <c r="E13" s="21"/>
      <c r="F13" s="107">
        <f>ROUND('PU Wise OWE'!$C$126/10000,2)</f>
        <v>612.04999999999995</v>
      </c>
      <c r="G13" s="24">
        <f>F13/$F$7</f>
        <v>0.2733989377621534</v>
      </c>
      <c r="H13" s="72">
        <f>ROUND('PU Wise OWE'!$C$128/10000,2)</f>
        <v>104.09</v>
      </c>
      <c r="I13" s="107">
        <f>ROUND('PU Wise OWE'!$C$127/10000,2)</f>
        <v>116.29</v>
      </c>
      <c r="J13" s="20">
        <f>ROUND('PU Wise OWE'!$C$129/10000,2)</f>
        <v>108.79</v>
      </c>
      <c r="K13" s="22">
        <f>J13-I13</f>
        <v>-7.5</v>
      </c>
      <c r="L13" s="24">
        <f>K13/I13</f>
        <v>-6.4493937569868431E-2</v>
      </c>
      <c r="M13" s="22">
        <f>J13-H13</f>
        <v>4.7000000000000028</v>
      </c>
      <c r="N13" s="54">
        <f>M13/H13</f>
        <v>4.5153232779325612E-2</v>
      </c>
      <c r="O13" s="54">
        <f t="shared" ref="O13:O28" si="0">J13/F13</f>
        <v>0.17774691610162571</v>
      </c>
    </row>
    <row r="14" spans="1:15">
      <c r="A14" s="31"/>
      <c r="B14" s="20" t="s">
        <v>145</v>
      </c>
      <c r="C14" s="107">
        <v>637.25</v>
      </c>
      <c r="D14" s="68">
        <f t="shared" ref="D14:D27" si="1">C14/$C$7</f>
        <v>0.14249967575593592</v>
      </c>
      <c r="E14" s="21"/>
      <c r="F14" s="107">
        <f>ROUND('PU Wise OWE'!$D$126/10000,2)</f>
        <v>371.38</v>
      </c>
      <c r="G14" s="24">
        <f t="shared" ref="G14:G27" si="2">F14/$F$7</f>
        <v>0.165893141910152</v>
      </c>
      <c r="H14" s="72">
        <f>ROUND('PU Wise OWE'!$D$128/10000,2)</f>
        <v>59.89</v>
      </c>
      <c r="I14" s="107">
        <f>ROUND('PU Wise OWE'!$D$127/10000,2)</f>
        <v>70.56</v>
      </c>
      <c r="J14" s="20">
        <f>ROUND('PU Wise OWE'!$D$129/10000,2)</f>
        <v>72.2</v>
      </c>
      <c r="K14" s="22">
        <f>J14-I14</f>
        <v>1.6400000000000006</v>
      </c>
      <c r="L14" s="24">
        <f>K14/I14</f>
        <v>2.3242630385487534E-2</v>
      </c>
      <c r="M14" s="22">
        <f t="shared" ref="M14:M27" si="3">J14-H14</f>
        <v>12.310000000000002</v>
      </c>
      <c r="N14" s="54">
        <f t="shared" ref="N14:N27" si="4">M14/H14</f>
        <v>0.20554349641008518</v>
      </c>
      <c r="O14" s="54">
        <f t="shared" si="0"/>
        <v>0.1944100382357693</v>
      </c>
    </row>
    <row r="15" spans="1:15">
      <c r="B15" s="23" t="s">
        <v>166</v>
      </c>
      <c r="C15" s="22">
        <v>51.5</v>
      </c>
      <c r="D15" s="68">
        <f t="shared" si="1"/>
        <v>1.1516254690358101E-2</v>
      </c>
      <c r="E15" s="21"/>
      <c r="F15" s="107">
        <f>ROUND('PU Wise OWE'!$E$126/10000,2)</f>
        <v>0</v>
      </c>
      <c r="G15" s="24">
        <f t="shared" si="2"/>
        <v>0</v>
      </c>
      <c r="H15" s="72">
        <f>ROUND('PU Wise OWE'!$E$128/10000,2)</f>
        <v>0.01</v>
      </c>
      <c r="I15" s="107">
        <f>ROUND('PU Wise OWE'!$E$127/10000,2)</f>
        <v>1.24</v>
      </c>
      <c r="J15" s="20">
        <f>ROUND('PU Wise OWE'!$E$129/10000,2)</f>
        <v>0.04</v>
      </c>
      <c r="K15" s="22">
        <f>J15-I15</f>
        <v>-1.2</v>
      </c>
      <c r="L15" s="24">
        <f>K15/I15</f>
        <v>-0.96774193548387089</v>
      </c>
      <c r="M15" s="22">
        <f t="shared" si="3"/>
        <v>0.03</v>
      </c>
      <c r="N15" s="54">
        <f t="shared" si="4"/>
        <v>3</v>
      </c>
      <c r="O15" s="54" t="e">
        <f t="shared" si="0"/>
        <v>#DIV/0!</v>
      </c>
    </row>
    <row r="16" spans="1:15">
      <c r="B16" s="23" t="s">
        <v>167</v>
      </c>
      <c r="C16" s="22">
        <v>150.4</v>
      </c>
      <c r="D16" s="68">
        <f t="shared" si="1"/>
        <v>3.3631936027764243E-2</v>
      </c>
      <c r="E16" s="21"/>
      <c r="F16" s="107">
        <f>ROUND('PU Wise OWE'!$F$126/10000,2)</f>
        <v>84.25</v>
      </c>
      <c r="G16" s="24">
        <f t="shared" si="2"/>
        <v>3.7633952302036477E-2</v>
      </c>
      <c r="H16" s="72">
        <f>ROUND('PU Wise OWE'!$F$128/10000,2)</f>
        <v>11.98</v>
      </c>
      <c r="I16" s="107">
        <f>ROUND('PU Wise OWE'!$F$127/10000,2)</f>
        <v>15.83</v>
      </c>
      <c r="J16" s="20">
        <f>ROUND('PU Wise OWE'!$F$129/10000,2)</f>
        <v>12.88</v>
      </c>
      <c r="K16" s="22">
        <f>J16-I16</f>
        <v>-2.9499999999999993</v>
      </c>
      <c r="L16" s="24">
        <f>K16/I16</f>
        <v>-0.18635502210991783</v>
      </c>
      <c r="M16" s="22">
        <f t="shared" si="3"/>
        <v>0.90000000000000036</v>
      </c>
      <c r="N16" s="54">
        <f t="shared" si="4"/>
        <v>7.5125208681135258E-2</v>
      </c>
      <c r="O16" s="54">
        <f t="shared" si="0"/>
        <v>0.15287833827893177</v>
      </c>
    </row>
    <row r="17" spans="1:15">
      <c r="B17" s="23" t="s">
        <v>168</v>
      </c>
      <c r="C17" s="22">
        <v>103.21</v>
      </c>
      <c r="D17" s="68">
        <f t="shared" si="1"/>
        <v>2.307946886586135E-2</v>
      </c>
      <c r="E17" s="21"/>
      <c r="F17" s="107">
        <f>ROUND('PU Wise OWE'!$G$126/10000,2)</f>
        <v>51.95</v>
      </c>
      <c r="G17" s="24">
        <f t="shared" si="2"/>
        <v>2.3205742695439704E-2</v>
      </c>
      <c r="H17" s="72">
        <f>ROUND('PU Wise OWE'!$G$128/10000,2)</f>
        <v>8.65</v>
      </c>
      <c r="I17" s="107">
        <f>ROUND('PU Wise OWE'!$G$127/10000,2)</f>
        <v>8.81</v>
      </c>
      <c r="J17" s="20">
        <f>ROUND('PU Wise OWE'!$G$129/10000,2)</f>
        <v>9.8000000000000007</v>
      </c>
      <c r="K17" s="22">
        <f>J17-I17</f>
        <v>0.99000000000000021</v>
      </c>
      <c r="L17" s="24">
        <f>K17/I17</f>
        <v>0.11237230419977301</v>
      </c>
      <c r="M17" s="22">
        <f t="shared" si="3"/>
        <v>1.1500000000000004</v>
      </c>
      <c r="N17" s="54">
        <f t="shared" si="4"/>
        <v>0.13294797687861276</v>
      </c>
      <c r="O17" s="54">
        <f t="shared" si="0"/>
        <v>0.18864292589027912</v>
      </c>
    </row>
    <row r="18" spans="1:15">
      <c r="A18" s="31"/>
      <c r="B18" s="20" t="s">
        <v>146</v>
      </c>
      <c r="C18" s="107">
        <v>182.01</v>
      </c>
      <c r="D18" s="68">
        <f t="shared" si="1"/>
        <v>4.0700456625088886E-2</v>
      </c>
      <c r="E18" s="21"/>
      <c r="F18" s="107">
        <f>ROUND('PU Wise OWE'!$H$126/10000,2)</f>
        <v>80.98</v>
      </c>
      <c r="G18" s="24">
        <f t="shared" si="2"/>
        <v>3.6173263589542003E-2</v>
      </c>
      <c r="H18" s="72">
        <f>ROUND('PU Wise OWE'!$H$128/10000,2)</f>
        <v>15.35</v>
      </c>
      <c r="I18" s="107">
        <f>ROUND('PU Wise OWE'!$H$127/10000,2)</f>
        <v>15.39</v>
      </c>
      <c r="J18" s="20">
        <f>ROUND('PU Wise OWE'!$H$129/10000,2)</f>
        <v>17.66</v>
      </c>
      <c r="K18" s="22">
        <f t="shared" ref="K18:K28" si="5">J18-I18</f>
        <v>2.2699999999999996</v>
      </c>
      <c r="L18" s="24">
        <f t="shared" ref="L18:L28" si="6">K18/I18</f>
        <v>0.14749837556855097</v>
      </c>
      <c r="M18" s="22">
        <f t="shared" si="3"/>
        <v>2.3100000000000005</v>
      </c>
      <c r="N18" s="54">
        <f t="shared" si="4"/>
        <v>0.15048859934853423</v>
      </c>
      <c r="O18" s="54">
        <f t="shared" si="0"/>
        <v>0.2180785379105952</v>
      </c>
    </row>
    <row r="19" spans="1:15">
      <c r="A19" s="31"/>
      <c r="B19" s="58" t="s">
        <v>147</v>
      </c>
      <c r="C19" s="108">
        <v>179.47</v>
      </c>
      <c r="D19" s="68">
        <f t="shared" si="1"/>
        <v>4.0132470471428511E-2</v>
      </c>
      <c r="E19" s="21"/>
      <c r="F19" s="107">
        <f>ROUND('PU Wise OWE'!$J$126/10000,2)</f>
        <v>83.58</v>
      </c>
      <c r="G19" s="24">
        <f t="shared" si="2"/>
        <v>3.7334667458803664E-2</v>
      </c>
      <c r="H19" s="72">
        <f>ROUND('PU Wise OWE'!$J$128/10000,2)</f>
        <v>24.19</v>
      </c>
      <c r="I19" s="107">
        <f>ROUND('PU Wise OWE'!$J$127/10000,2)</f>
        <v>15.88</v>
      </c>
      <c r="J19" s="20">
        <f>ROUND('PU Wise OWE'!$J$129/10000,2)</f>
        <v>15.42</v>
      </c>
      <c r="K19" s="22">
        <f t="shared" si="5"/>
        <v>-0.46000000000000085</v>
      </c>
      <c r="L19" s="24">
        <f t="shared" si="6"/>
        <v>-2.8967254408060507E-2</v>
      </c>
      <c r="M19" s="22">
        <f t="shared" si="3"/>
        <v>-8.7700000000000014</v>
      </c>
      <c r="N19" s="54">
        <f t="shared" si="4"/>
        <v>-0.36254650682100042</v>
      </c>
      <c r="O19" s="54">
        <f t="shared" si="0"/>
        <v>0.18449389806173727</v>
      </c>
    </row>
    <row r="20" spans="1:15">
      <c r="A20" s="31"/>
      <c r="B20" s="20" t="s">
        <v>148</v>
      </c>
      <c r="C20" s="107">
        <v>10.210000000000001</v>
      </c>
      <c r="D20" s="68">
        <f t="shared" si="1"/>
        <v>2.2831254444379847E-3</v>
      </c>
      <c r="E20" s="21"/>
      <c r="F20" s="107">
        <f>ROUND('PU Wise OWE'!$K$126/10000,2)</f>
        <v>4.8499999999999996</v>
      </c>
      <c r="G20" s="24">
        <f t="shared" si="2"/>
        <v>2.1664649099688653E-3</v>
      </c>
      <c r="H20" s="72">
        <f>ROUND('PU Wise OWE'!$K$128/10000,2)</f>
        <v>0.91</v>
      </c>
      <c r="I20" s="107">
        <f>ROUND('PU Wise OWE'!$K$127/10000,2)</f>
        <v>0.92</v>
      </c>
      <c r="J20" s="20">
        <f>ROUND('PU Wise OWE'!$K$129/10000,2)</f>
        <v>0.76</v>
      </c>
      <c r="K20" s="22">
        <f t="shared" si="5"/>
        <v>-0.16000000000000003</v>
      </c>
      <c r="L20" s="24">
        <f t="shared" si="6"/>
        <v>-0.17391304347826089</v>
      </c>
      <c r="M20" s="22">
        <f t="shared" si="3"/>
        <v>-0.15000000000000002</v>
      </c>
      <c r="N20" s="54">
        <f t="shared" si="4"/>
        <v>-0.16483516483516486</v>
      </c>
      <c r="O20" s="54">
        <f t="shared" si="0"/>
        <v>0.15670103092783508</v>
      </c>
    </row>
    <row r="21" spans="1:15">
      <c r="A21" s="31"/>
      <c r="B21" s="20" t="s">
        <v>149</v>
      </c>
      <c r="C21" s="107">
        <v>43.02</v>
      </c>
      <c r="D21" s="68">
        <f t="shared" si="1"/>
        <v>9.6199859568777777E-3</v>
      </c>
      <c r="E21" s="21"/>
      <c r="F21" s="107">
        <f>ROUND('PU Wise OWE'!$L$126/10000,2)</f>
        <v>19.3</v>
      </c>
      <c r="G21" s="24">
        <f t="shared" si="2"/>
        <v>8.6211902602884756E-3</v>
      </c>
      <c r="H21" s="72">
        <f>ROUND('PU Wise OWE'!$L$128/10000,2)</f>
        <v>6.98</v>
      </c>
      <c r="I21" s="107">
        <f>ROUND('PU Wise OWE'!$L$127/10000,2)</f>
        <v>3.67</v>
      </c>
      <c r="J21" s="20">
        <f>ROUND('PU Wise OWE'!$L$129/10000,2)</f>
        <v>4.45</v>
      </c>
      <c r="K21" s="22">
        <f t="shared" si="5"/>
        <v>0.78000000000000025</v>
      </c>
      <c r="L21" s="24">
        <f t="shared" si="6"/>
        <v>0.21253405994550417</v>
      </c>
      <c r="M21" s="22">
        <f t="shared" si="3"/>
        <v>-2.5300000000000002</v>
      </c>
      <c r="N21" s="54">
        <f t="shared" si="4"/>
        <v>-0.36246418338108882</v>
      </c>
      <c r="O21" s="54">
        <f t="shared" si="0"/>
        <v>0.23056994818652851</v>
      </c>
    </row>
    <row r="22" spans="1:15">
      <c r="A22" s="31"/>
      <c r="B22" s="20" t="s">
        <v>171</v>
      </c>
      <c r="C22" s="107">
        <v>71.42</v>
      </c>
      <c r="D22" s="68">
        <f t="shared" si="1"/>
        <v>1.5970697281269427E-2</v>
      </c>
      <c r="E22" s="21"/>
      <c r="F22" s="107">
        <f>ROUND('PU Wise OWE'!$M$126/10000,2)</f>
        <v>36.68</v>
      </c>
      <c r="G22" s="24">
        <f t="shared" si="2"/>
        <v>1.6384728432506799E-2</v>
      </c>
      <c r="H22" s="72">
        <f>ROUND('PU Wise OWE'!$M$128/10000,2)</f>
        <v>6.15</v>
      </c>
      <c r="I22" s="107">
        <f>ROUND('PU Wise OWE'!$M$127/10000,2)</f>
        <v>6.97</v>
      </c>
      <c r="J22" s="20">
        <f>ROUND('PU Wise OWE'!$M$129/10000,2)</f>
        <v>5.88</v>
      </c>
      <c r="K22" s="22">
        <f>J22-I22</f>
        <v>-1.0899999999999999</v>
      </c>
      <c r="L22" s="24">
        <f>K22/I22</f>
        <v>-0.15638450502152079</v>
      </c>
      <c r="M22" s="22">
        <f t="shared" si="3"/>
        <v>-0.27000000000000046</v>
      </c>
      <c r="N22" s="54">
        <f t="shared" si="4"/>
        <v>-4.3902439024390318E-2</v>
      </c>
      <c r="O22" s="54">
        <f t="shared" si="0"/>
        <v>0.16030534351145037</v>
      </c>
    </row>
    <row r="23" spans="1:15">
      <c r="A23" s="31"/>
      <c r="B23" s="58" t="s">
        <v>150</v>
      </c>
      <c r="C23" s="108">
        <v>61.97</v>
      </c>
      <c r="D23" s="68">
        <f t="shared" si="1"/>
        <v>1.3857520449737698E-2</v>
      </c>
      <c r="E23" s="21"/>
      <c r="F23" s="107">
        <f>ROUND('PU Wise OWE'!$P$126/10000,2)</f>
        <v>29.51</v>
      </c>
      <c r="G23" s="24">
        <f t="shared" si="2"/>
        <v>1.318193391611984E-2</v>
      </c>
      <c r="H23" s="72">
        <f>ROUND('PU Wise OWE'!$P$128/10000,2)</f>
        <v>10.93</v>
      </c>
      <c r="I23" s="107">
        <f>ROUND('PU Wise OWE'!$P$127/10000,2)</f>
        <v>5.61</v>
      </c>
      <c r="J23" s="20">
        <f>ROUND('PU Wise OWE'!$P$129/10000,2)</f>
        <v>5.78</v>
      </c>
      <c r="K23" s="22">
        <f t="shared" si="5"/>
        <v>0.16999999999999993</v>
      </c>
      <c r="L23" s="24">
        <f t="shared" si="6"/>
        <v>3.030303030303029E-2</v>
      </c>
      <c r="M23" s="22">
        <f t="shared" si="3"/>
        <v>-5.1499999999999995</v>
      </c>
      <c r="N23" s="54">
        <f t="shared" si="4"/>
        <v>-0.4711802378774016</v>
      </c>
      <c r="O23" s="54">
        <f t="shared" si="0"/>
        <v>0.19586580820060995</v>
      </c>
    </row>
    <row r="24" spans="1:15">
      <c r="B24" s="58" t="s">
        <v>151</v>
      </c>
      <c r="C24" s="108">
        <v>47.13</v>
      </c>
      <c r="D24" s="68">
        <f t="shared" si="1"/>
        <v>1.0539050166147132E-2</v>
      </c>
      <c r="E24" s="21"/>
      <c r="F24" s="107">
        <f>ROUND('PU Wise OWE'!$S$126/10000,2)</f>
        <v>44.34</v>
      </c>
      <c r="G24" s="24">
        <f t="shared" si="2"/>
        <v>1.9806402908870001E-2</v>
      </c>
      <c r="H24" s="72">
        <f>ROUND('PU Wise OWE'!$S$128/10000,2)</f>
        <v>5.17</v>
      </c>
      <c r="I24" s="107">
        <f>ROUND('PU Wise OWE'!$S$127/10000,2)</f>
        <v>22.17</v>
      </c>
      <c r="J24" s="20">
        <f>ROUND('PU Wise OWE'!$S$129/10000,2)</f>
        <v>1.45</v>
      </c>
      <c r="K24" s="22">
        <f t="shared" si="5"/>
        <v>-20.720000000000002</v>
      </c>
      <c r="L24" s="24">
        <f t="shared" si="6"/>
        <v>-0.93459630130807403</v>
      </c>
      <c r="M24" s="22">
        <f t="shared" si="3"/>
        <v>-3.7199999999999998</v>
      </c>
      <c r="N24" s="54">
        <f t="shared" si="4"/>
        <v>-0.71953578336557056</v>
      </c>
      <c r="O24" s="54">
        <f t="shared" si="0"/>
        <v>3.2701849345963006E-2</v>
      </c>
    </row>
    <row r="25" spans="1:15">
      <c r="B25" s="58" t="s">
        <v>152</v>
      </c>
      <c r="C25" s="108">
        <v>53.04</v>
      </c>
      <c r="D25" s="68">
        <f t="shared" si="1"/>
        <v>1.1860624248089197E-2</v>
      </c>
      <c r="E25" s="21"/>
      <c r="F25" s="107">
        <f>ROUND('PU Wise OWE'!$T$126/10000,2)</f>
        <v>22.73</v>
      </c>
      <c r="G25" s="24">
        <f t="shared" si="2"/>
        <v>1.0153349980122127E-2</v>
      </c>
      <c r="H25" s="72">
        <f>ROUND('PU Wise OWE'!$T$128/10000,2)</f>
        <v>13.35</v>
      </c>
      <c r="I25" s="107">
        <f>ROUND('PU Wise OWE'!$T$127/10000,2)</f>
        <v>4.32</v>
      </c>
      <c r="J25" s="20">
        <f>ROUND('PU Wise OWE'!$T$129/10000,2)</f>
        <v>23.18</v>
      </c>
      <c r="K25" s="22">
        <f t="shared" si="5"/>
        <v>18.86</v>
      </c>
      <c r="L25" s="24">
        <f t="shared" si="6"/>
        <v>4.3657407407407405</v>
      </c>
      <c r="M25" s="22">
        <f t="shared" si="3"/>
        <v>9.83</v>
      </c>
      <c r="N25" s="54">
        <f t="shared" si="4"/>
        <v>0.73632958801498127</v>
      </c>
      <c r="O25" s="54">
        <f t="shared" si="0"/>
        <v>1.0197976242850857</v>
      </c>
    </row>
    <row r="26" spans="1:15">
      <c r="B26" s="58" t="s">
        <v>170</v>
      </c>
      <c r="C26" s="108">
        <v>10.09</v>
      </c>
      <c r="D26" s="68">
        <f t="shared" si="1"/>
        <v>2.2562914529264707E-3</v>
      </c>
      <c r="E26" s="22"/>
      <c r="F26" s="107">
        <f>ROUND('PU Wise OWE'!$V$126/10000,2)</f>
        <v>3.83</v>
      </c>
      <c r="G26" s="24">
        <f t="shared" si="2"/>
        <v>1.7108372381815988E-3</v>
      </c>
      <c r="H26" s="72">
        <f>ROUND('PU Wise OWE'!$V$128/10000,2)</f>
        <v>0.43</v>
      </c>
      <c r="I26" s="107">
        <f>ROUND('PU Wise OWE'!$V$127/10000,2)</f>
        <v>0.73</v>
      </c>
      <c r="J26" s="20">
        <f>ROUND('PU Wise OWE'!$V$129/10000,2)</f>
        <v>1</v>
      </c>
      <c r="K26" s="22">
        <f t="shared" si="5"/>
        <v>0.27</v>
      </c>
      <c r="L26" s="24">
        <f t="shared" si="6"/>
        <v>0.36986301369863017</v>
      </c>
      <c r="M26" s="22">
        <f t="shared" si="3"/>
        <v>0.57000000000000006</v>
      </c>
      <c r="N26" s="54">
        <f t="shared" si="4"/>
        <v>1.3255813953488373</v>
      </c>
      <c r="O26" s="54">
        <f t="shared" si="0"/>
        <v>0.2610966057441253</v>
      </c>
    </row>
    <row r="27" spans="1:15">
      <c r="B27" s="58" t="s">
        <v>169</v>
      </c>
      <c r="C27" s="108">
        <v>21.06</v>
      </c>
      <c r="D27" s="68">
        <f t="shared" si="1"/>
        <v>4.7093655102707103E-3</v>
      </c>
      <c r="E27" s="22"/>
      <c r="F27" s="107">
        <f>ROUND('PU Wise OWE'!$AC$126/10000,2)</f>
        <v>10.37</v>
      </c>
      <c r="G27" s="24">
        <f t="shared" si="2"/>
        <v>4.6322146631705427E-3</v>
      </c>
      <c r="H27" s="72">
        <f>ROUND('PU Wise OWE'!$AC$128/10000,2)</f>
        <v>1.1000000000000001</v>
      </c>
      <c r="I27" s="107">
        <f>ROUND('PU Wise OWE'!$AC$127/10000,2)</f>
        <v>1.97</v>
      </c>
      <c r="J27" s="20">
        <f>ROUND('PU Wise OWE'!$AC$129/10000,2)</f>
        <v>4.09</v>
      </c>
      <c r="K27" s="22">
        <f>J27-I27</f>
        <v>2.12</v>
      </c>
      <c r="L27" s="24">
        <f>K27/I27</f>
        <v>1.0761421319796955</v>
      </c>
      <c r="M27" s="22">
        <f t="shared" si="3"/>
        <v>2.9899999999999998</v>
      </c>
      <c r="N27" s="54">
        <f t="shared" si="4"/>
        <v>2.7181818181818178</v>
      </c>
      <c r="O27" s="54">
        <f t="shared" si="0"/>
        <v>0.39440694310511093</v>
      </c>
    </row>
    <row r="28" spans="1:15">
      <c r="B28" s="206" t="s">
        <v>141</v>
      </c>
      <c r="C28" s="207">
        <f>SUM(C13:C27)</f>
        <v>2917.75</v>
      </c>
      <c r="D28" s="209">
        <f>SUM(D13:D27)</f>
        <v>0.65245732277266688</v>
      </c>
      <c r="E28" s="207"/>
      <c r="F28" s="258">
        <f>F5</f>
        <v>1465.83</v>
      </c>
      <c r="G28" s="209">
        <f>SUM(G13:G27)</f>
        <v>0.65029682802735556</v>
      </c>
      <c r="H28" s="208">
        <f>SUM(H13:H27)</f>
        <v>269.18</v>
      </c>
      <c r="I28" s="258">
        <f>SUM(I13:I27)</f>
        <v>290.36000000000007</v>
      </c>
      <c r="J28" s="258">
        <f>SUM(J13:J27)</f>
        <v>283.37999999999994</v>
      </c>
      <c r="K28" s="207">
        <f t="shared" si="5"/>
        <v>-6.9800000000001319</v>
      </c>
      <c r="L28" s="209">
        <f t="shared" si="6"/>
        <v>-2.4039123846260262E-2</v>
      </c>
      <c r="M28" s="207">
        <f>J28-H28</f>
        <v>14.199999999999932</v>
      </c>
      <c r="N28" s="210">
        <f>M28/H28</f>
        <v>5.2752804814621933E-2</v>
      </c>
      <c r="O28" s="210">
        <f t="shared" si="0"/>
        <v>0.1933239188719019</v>
      </c>
    </row>
    <row r="29" spans="1:15">
      <c r="J29" s="255"/>
    </row>
    <row r="31" spans="1:15">
      <c r="B31" s="77" t="s">
        <v>309</v>
      </c>
      <c r="C31" s="77"/>
      <c r="D31" s="79"/>
      <c r="H31" s="78"/>
      <c r="M31" s="36" t="s">
        <v>142</v>
      </c>
    </row>
    <row r="32" spans="1:15" ht="15" customHeight="1">
      <c r="B32" s="323" t="s">
        <v>143</v>
      </c>
      <c r="C32" s="316" t="str">
        <f>C3</f>
        <v>Actuals 2023-24</v>
      </c>
      <c r="D32" s="316" t="s">
        <v>165</v>
      </c>
      <c r="E32" s="316"/>
      <c r="F32" s="302" t="str">
        <f>'PU Wise OWE'!$B$5</f>
        <v xml:space="preserve">VOA 2024-25 </v>
      </c>
      <c r="G32" s="316" t="str">
        <f>G11</f>
        <v>% of Total VOA 2024-25</v>
      </c>
      <c r="H32" s="321" t="str">
        <f>'PU Wise OWE'!$B$7</f>
        <v>Actuals upto April-23</v>
      </c>
      <c r="I32" s="302" t="str">
        <f>'PU Wise OWE'!$B$6</f>
        <v>BP to end of April-24</v>
      </c>
      <c r="J32" s="302" t="str">
        <f>'PU Wise OWE'!$B$8</f>
        <v>Actuals upto April-24</v>
      </c>
      <c r="K32" s="289" t="s">
        <v>198</v>
      </c>
      <c r="L32" s="289"/>
      <c r="M32" s="289" t="s">
        <v>139</v>
      </c>
      <c r="N32" s="289"/>
      <c r="O32" s="290" t="str">
        <f>O11</f>
        <v>VOA Utilization</v>
      </c>
    </row>
    <row r="33" spans="2:15" ht="18" customHeight="1">
      <c r="B33" s="324"/>
      <c r="C33" s="317"/>
      <c r="D33" s="317"/>
      <c r="E33" s="317"/>
      <c r="F33" s="300"/>
      <c r="G33" s="317"/>
      <c r="H33" s="317"/>
      <c r="I33" s="300"/>
      <c r="J33" s="300"/>
      <c r="K33" s="81" t="s">
        <v>137</v>
      </c>
      <c r="L33" s="82" t="s">
        <v>138</v>
      </c>
      <c r="M33" s="81" t="s">
        <v>137</v>
      </c>
      <c r="N33" s="82" t="s">
        <v>138</v>
      </c>
      <c r="O33" s="291"/>
    </row>
    <row r="34" spans="2:15">
      <c r="B34" s="86" t="s">
        <v>173</v>
      </c>
      <c r="C34" s="109">
        <v>2.14</v>
      </c>
      <c r="D34" s="68">
        <f>C34/$C$7</f>
        <v>4.7853951528866671E-4</v>
      </c>
      <c r="E34" s="21"/>
      <c r="F34" s="107">
        <f>ROUND(('PU Wise OWE'!$AE$126+'PU Wise OWE'!$AF$126)/10000,2)</f>
        <v>0.84</v>
      </c>
      <c r="G34" s="24">
        <f>F34/$F$7</f>
        <v>3.7522278853069005E-4</v>
      </c>
      <c r="H34" s="72">
        <f>ROUND(('PU Wise OWE'!$AE$128+'PU Wise OWE'!$AF$128)/10000,2)</f>
        <v>0.16</v>
      </c>
      <c r="I34" s="107">
        <f>ROUND(('PU Wise OWE'!$AE$127+'PU Wise OWE'!$AF$127)/10000,2)</f>
        <v>0.2</v>
      </c>
      <c r="J34" s="20">
        <f>ROUND(('PU Wise OWE'!$AE$129+'PU Wise OWE'!$AF$129)/10000,2)</f>
        <v>0.15</v>
      </c>
      <c r="K34" s="22">
        <f>J34-I34</f>
        <v>-5.0000000000000017E-2</v>
      </c>
      <c r="L34" s="24">
        <f>K34/I34</f>
        <v>-0.25000000000000006</v>
      </c>
      <c r="M34" s="22">
        <f>J34-H34</f>
        <v>-1.0000000000000009E-2</v>
      </c>
      <c r="N34" s="54">
        <f>M34/H34</f>
        <v>-6.2500000000000056E-2</v>
      </c>
      <c r="O34" s="54">
        <f>J34/F34</f>
        <v>0.17857142857142858</v>
      </c>
    </row>
    <row r="35" spans="2:15" ht="16.5" customHeight="1">
      <c r="B35" s="86" t="s">
        <v>174</v>
      </c>
      <c r="C35" s="109">
        <v>4.67</v>
      </c>
      <c r="D35" s="68">
        <f>C35/$C$7</f>
        <v>1.0442895029897539E-3</v>
      </c>
      <c r="E35" s="21"/>
      <c r="F35" s="107">
        <f>ROUND('PU Wise OWE'!$AG$126/10000,2)</f>
        <v>2.58</v>
      </c>
      <c r="G35" s="24">
        <f>F35/$F$7</f>
        <v>1.1524699933442625E-3</v>
      </c>
      <c r="H35" s="72">
        <f>ROUND('PU Wise OWE'!$AG$128/10000,2)</f>
        <v>0.62</v>
      </c>
      <c r="I35" s="107">
        <f>ROUND('PU Wise OWE'!$AG$127/10000,2)</f>
        <v>0.62</v>
      </c>
      <c r="J35" s="20">
        <f>ROUND('PU Wise OWE'!$AG$129/10000,2)</f>
        <v>0.95</v>
      </c>
      <c r="K35" s="22">
        <f>J35-I35</f>
        <v>0.32999999999999996</v>
      </c>
      <c r="L35" s="24">
        <f>K35/I35</f>
        <v>0.532258064516129</v>
      </c>
      <c r="M35" s="22">
        <f>J35-H35</f>
        <v>0.32999999999999996</v>
      </c>
      <c r="N35" s="54">
        <f>M35/H35</f>
        <v>0.532258064516129</v>
      </c>
      <c r="O35" s="54">
        <f>J35/F35</f>
        <v>0.36821705426356588</v>
      </c>
    </row>
    <row r="36" spans="2:15" ht="15.75" customHeight="1">
      <c r="B36" s="86" t="s">
        <v>175</v>
      </c>
      <c r="C36" s="109">
        <v>1.73</v>
      </c>
      <c r="D36" s="68">
        <f>C36/$C$7</f>
        <v>3.8685671095766046E-4</v>
      </c>
      <c r="E36" s="21"/>
      <c r="F36" s="107">
        <f>ROUND('PU Wise OWE'!$AJ$126/10000,2)</f>
        <v>1.1000000000000001</v>
      </c>
      <c r="G36" s="24">
        <f>F36/$F$7</f>
        <v>4.9136317545685605E-4</v>
      </c>
      <c r="H36" s="72">
        <f>ROUND('PU Wise OWE'!$AJ$128/10000,2)</f>
        <v>0.06</v>
      </c>
      <c r="I36" s="107">
        <f>ROUND('PU Wise OWE'!$AJ$127/10000,2)</f>
        <v>0.26</v>
      </c>
      <c r="J36" s="20">
        <f>ROUND('PU Wise OWE'!$AJ$129/10000,2)</f>
        <v>0.22</v>
      </c>
      <c r="K36" s="22">
        <f>J36-I36</f>
        <v>-4.0000000000000008E-2</v>
      </c>
      <c r="L36" s="24">
        <f>K36/I36</f>
        <v>-0.15384615384615388</v>
      </c>
      <c r="M36" s="22">
        <f>J36-H36</f>
        <v>0.16</v>
      </c>
      <c r="N36" s="54">
        <f>M36/H36</f>
        <v>2.666666666666667</v>
      </c>
      <c r="O36" s="54">
        <f>J36/F36</f>
        <v>0.19999999999999998</v>
      </c>
    </row>
    <row r="37" spans="2:15">
      <c r="B37" s="25" t="s">
        <v>141</v>
      </c>
      <c r="C37" s="26">
        <f>C34+C35+C36</f>
        <v>8.5400000000000009</v>
      </c>
      <c r="D37" s="69">
        <f>C37/$C$7</f>
        <v>1.9096857292360814E-3</v>
      </c>
      <c r="E37" s="26"/>
      <c r="F37" s="141">
        <f>SUM(F34:F36)</f>
        <v>4.5199999999999996</v>
      </c>
      <c r="G37" s="56">
        <f>F37/$F$7</f>
        <v>2.0190559573318085E-3</v>
      </c>
      <c r="H37" s="76">
        <f>SUM(H34:H36)</f>
        <v>0.84000000000000008</v>
      </c>
      <c r="I37" s="141">
        <f>SUM(I34:I36)</f>
        <v>1.08</v>
      </c>
      <c r="J37" s="141">
        <f>SUM(J34:J36)</f>
        <v>1.3199999999999998</v>
      </c>
      <c r="K37" s="26">
        <f>J37-I37</f>
        <v>0.23999999999999977</v>
      </c>
      <c r="L37" s="56">
        <f>K37/I37</f>
        <v>0.22222222222222199</v>
      </c>
      <c r="M37" s="26">
        <f>J37-H37</f>
        <v>0.47999999999999976</v>
      </c>
      <c r="N37" s="57">
        <f>M37/H37</f>
        <v>0.57142857142857106</v>
      </c>
      <c r="O37" s="57">
        <f>J37/F37</f>
        <v>0.29203539823008851</v>
      </c>
    </row>
    <row r="39" spans="2:15">
      <c r="B39" s="84"/>
      <c r="C39" s="84"/>
      <c r="D39" s="84"/>
      <c r="H39" s="85"/>
      <c r="M39" s="36" t="s">
        <v>142</v>
      </c>
    </row>
    <row r="40" spans="2:15" ht="15" customHeight="1">
      <c r="B40" s="292" t="s">
        <v>156</v>
      </c>
      <c r="C40" s="316" t="str">
        <f>C3</f>
        <v>Actuals 2023-24</v>
      </c>
      <c r="D40" s="316" t="s">
        <v>165</v>
      </c>
      <c r="E40" s="318"/>
      <c r="F40" s="302" t="str">
        <f>'PU Wise OWE'!$B$5</f>
        <v xml:space="preserve">VOA 2024-25 </v>
      </c>
      <c r="G40" s="316" t="str">
        <f>G32</f>
        <v>% of Total VOA 2024-25</v>
      </c>
      <c r="H40" s="321" t="str">
        <f>'PU Wise OWE'!$B$7</f>
        <v>Actuals upto April-23</v>
      </c>
      <c r="I40" s="302" t="str">
        <f>'PU Wise OWE'!$B$6</f>
        <v>BP to end of April-24</v>
      </c>
      <c r="J40" s="302" t="str">
        <f>'PU Wise OWE'!$B$8</f>
        <v>Actuals upto April-24</v>
      </c>
      <c r="K40" s="289" t="s">
        <v>198</v>
      </c>
      <c r="L40" s="289"/>
      <c r="M40" s="289" t="s">
        <v>139</v>
      </c>
      <c r="N40" s="289"/>
      <c r="O40" s="290" t="str">
        <f>O32</f>
        <v>VOA Utilization</v>
      </c>
    </row>
    <row r="41" spans="2:15" ht="30.75" customHeight="1">
      <c r="B41" s="292"/>
      <c r="C41" s="317"/>
      <c r="D41" s="317"/>
      <c r="E41" s="319"/>
      <c r="F41" s="300"/>
      <c r="G41" s="317"/>
      <c r="H41" s="317"/>
      <c r="I41" s="300"/>
      <c r="J41" s="300"/>
      <c r="K41" s="81" t="s">
        <v>137</v>
      </c>
      <c r="L41" s="82" t="s">
        <v>138</v>
      </c>
      <c r="M41" s="81" t="s">
        <v>137</v>
      </c>
      <c r="N41" s="82" t="s">
        <v>138</v>
      </c>
      <c r="O41" s="291"/>
    </row>
    <row r="42" spans="2:15">
      <c r="B42" s="27" t="s">
        <v>157</v>
      </c>
      <c r="C42" s="106">
        <v>42.83</v>
      </c>
      <c r="D42" s="68">
        <f t="shared" ref="D42:D50" si="7">C42/$C$7</f>
        <v>9.5774988036512118E-3</v>
      </c>
      <c r="E42" s="319"/>
      <c r="F42" s="21">
        <f>SUM(F43:F48)</f>
        <v>12.29</v>
      </c>
      <c r="G42" s="24">
        <f t="shared" ref="G42:G50" si="8">F42/$F$7</f>
        <v>5.4898667512406915E-3</v>
      </c>
      <c r="H42" s="72">
        <f>SUM(H43:H48)</f>
        <v>4.57</v>
      </c>
      <c r="I42" s="21">
        <f>SUM(I43:I48)</f>
        <v>2.95</v>
      </c>
      <c r="J42" s="21">
        <f>SUM(J43:J48)</f>
        <v>2.36</v>
      </c>
      <c r="K42" s="22">
        <f>J42-I42</f>
        <v>-0.5900000000000003</v>
      </c>
      <c r="L42" s="24">
        <f>K42/I42</f>
        <v>-0.20000000000000009</v>
      </c>
      <c r="M42" s="22">
        <f>J42-H42</f>
        <v>-2.2100000000000004</v>
      </c>
      <c r="N42" s="54">
        <f>M42/H42</f>
        <v>-0.48358862144420139</v>
      </c>
      <c r="O42" s="54">
        <f t="shared" ref="O42:O49" si="9">J42/F42</f>
        <v>0.19202603742880392</v>
      </c>
    </row>
    <row r="43" spans="2:15">
      <c r="B43" s="59" t="s">
        <v>307</v>
      </c>
      <c r="C43" s="21">
        <v>0.15</v>
      </c>
      <c r="D43" s="68">
        <f t="shared" si="7"/>
        <v>3.3542489389392528E-5</v>
      </c>
      <c r="E43" s="319"/>
      <c r="F43" s="21">
        <f>ROUND('PU Wise OWE'!$AK$82/10000,2)</f>
        <v>0.02</v>
      </c>
      <c r="G43" s="24">
        <f t="shared" si="8"/>
        <v>8.9338759173973829E-6</v>
      </c>
      <c r="H43" s="72">
        <f>ROUND('PU Wise OWE'!$AK$84/10000,2)</f>
        <v>0.02</v>
      </c>
      <c r="I43" s="21">
        <f>ROUND('PU Wise OWE'!$AK$83/10000,2)</f>
        <v>0</v>
      </c>
      <c r="J43" s="21">
        <f>ROUND('PU Wise OWE'!$AK$85/10000,2)</f>
        <v>0.03</v>
      </c>
      <c r="K43" s="22">
        <f t="shared" ref="K43:K50" si="10">J43-I43</f>
        <v>0.03</v>
      </c>
      <c r="L43" s="24" t="e">
        <f t="shared" ref="L43:L50" si="11">K43/I43</f>
        <v>#DIV/0!</v>
      </c>
      <c r="M43" s="22">
        <f t="shared" ref="M43:M49" si="12">J43-H43</f>
        <v>9.9999999999999985E-3</v>
      </c>
      <c r="N43" s="54">
        <f t="shared" ref="N43:N49" si="13">M43/H43</f>
        <v>0.49999999999999989</v>
      </c>
      <c r="O43" s="54">
        <f t="shared" si="9"/>
        <v>1.5</v>
      </c>
    </row>
    <row r="44" spans="2:15" s="251" customFormat="1">
      <c r="B44" s="252" t="s">
        <v>306</v>
      </c>
      <c r="C44" s="21">
        <v>0</v>
      </c>
      <c r="D44" s="68">
        <f t="shared" si="7"/>
        <v>0</v>
      </c>
      <c r="E44" s="319"/>
      <c r="F44" s="21">
        <v>0</v>
      </c>
      <c r="G44" s="24">
        <f t="shared" si="8"/>
        <v>0</v>
      </c>
      <c r="H44" s="21">
        <f>ROUND('PU Wise OWE'!$AP$84/10000,2)</f>
        <v>0</v>
      </c>
      <c r="I44" s="21">
        <v>0</v>
      </c>
      <c r="J44" s="21">
        <f>ROUND('PU Wise OWE'!$AP$85/10000,2)</f>
        <v>0</v>
      </c>
      <c r="K44" s="22">
        <f>J44-I44</f>
        <v>0</v>
      </c>
      <c r="L44" s="24" t="e">
        <f>K44/I44</f>
        <v>#DIV/0!</v>
      </c>
      <c r="M44" s="22">
        <f>J44-H44</f>
        <v>0</v>
      </c>
      <c r="N44" s="54" t="e">
        <f>M44/H44</f>
        <v>#DIV/0!</v>
      </c>
      <c r="O44" s="54" t="e">
        <f t="shared" si="9"/>
        <v>#DIV/0!</v>
      </c>
    </row>
    <row r="45" spans="2:15">
      <c r="B45" s="60" t="s">
        <v>160</v>
      </c>
      <c r="C45" s="110">
        <v>1.35</v>
      </c>
      <c r="D45" s="68">
        <f t="shared" si="7"/>
        <v>3.0188240450453274E-4</v>
      </c>
      <c r="E45" s="319"/>
      <c r="F45" s="21">
        <f>ROUND('PU Wise OWE'!$AR$82/10000,2)</f>
        <v>0.53</v>
      </c>
      <c r="G45" s="24">
        <f t="shared" si="8"/>
        <v>2.3674771181103065E-4</v>
      </c>
      <c r="H45" s="72">
        <f>ROUND('PU Wise OWE'!$AR$84/10000,2)</f>
        <v>0.45</v>
      </c>
      <c r="I45" s="21">
        <f>ROUND('PU Wise OWE'!$AR$83/10000,2)</f>
        <v>0.13</v>
      </c>
      <c r="J45" s="21">
        <f>ROUND('PU Wise OWE'!$AR$85/10000,2)</f>
        <v>0.21</v>
      </c>
      <c r="K45" s="22">
        <f>J45-I45</f>
        <v>7.9999999999999988E-2</v>
      </c>
      <c r="L45" s="24">
        <f>K45/I45</f>
        <v>0.61538461538461531</v>
      </c>
      <c r="M45" s="22">
        <f t="shared" si="12"/>
        <v>-0.24000000000000002</v>
      </c>
      <c r="N45" s="54">
        <f t="shared" si="13"/>
        <v>-0.53333333333333333</v>
      </c>
      <c r="O45" s="54">
        <f t="shared" si="9"/>
        <v>0.39622641509433959</v>
      </c>
    </row>
    <row r="46" spans="2:15">
      <c r="B46" s="60" t="s">
        <v>161</v>
      </c>
      <c r="C46" s="110">
        <v>0.87</v>
      </c>
      <c r="D46" s="68">
        <f t="shared" si="7"/>
        <v>1.9454643845847664E-4</v>
      </c>
      <c r="E46" s="319"/>
      <c r="F46" s="21">
        <f>ROUND('PU Wise OWE'!$AU$82/10000,2)</f>
        <v>0.13</v>
      </c>
      <c r="G46" s="24">
        <f t="shared" si="8"/>
        <v>5.8070193463082995E-5</v>
      </c>
      <c r="H46" s="72">
        <f>ROUND('PU Wise OWE'!$AU$84/10000,2)</f>
        <v>0.4</v>
      </c>
      <c r="I46" s="21">
        <f>ROUND('PU Wise OWE'!$AU$83/10000,2)</f>
        <v>0.03</v>
      </c>
      <c r="J46" s="21">
        <f>ROUND('PU Wise OWE'!$AU$85/10000,2)</f>
        <v>0.15</v>
      </c>
      <c r="K46" s="22">
        <f>J46-I46</f>
        <v>0.12</v>
      </c>
      <c r="L46" s="24">
        <f>K46/I46</f>
        <v>4</v>
      </c>
      <c r="M46" s="22">
        <f t="shared" si="12"/>
        <v>-0.25</v>
      </c>
      <c r="N46" s="54">
        <f t="shared" si="13"/>
        <v>-0.625</v>
      </c>
      <c r="O46" s="54">
        <f t="shared" si="9"/>
        <v>1.1538461538461537</v>
      </c>
    </row>
    <row r="47" spans="2:15">
      <c r="B47" s="59" t="s">
        <v>158</v>
      </c>
      <c r="C47" s="21">
        <v>0</v>
      </c>
      <c r="D47" s="68">
        <f t="shared" si="7"/>
        <v>0</v>
      </c>
      <c r="E47" s="319"/>
      <c r="F47" s="21">
        <f>ROUND('PU Wise OWE'!$AZ$82/10000,2)</f>
        <v>0</v>
      </c>
      <c r="G47" s="24">
        <f t="shared" si="8"/>
        <v>0</v>
      </c>
      <c r="H47" s="72">
        <f>ROUND('PU Wise OWE'!$AZ$84/10000,2)</f>
        <v>0</v>
      </c>
      <c r="I47" s="21">
        <f>ROUND('PU Wise OWE'!$AZ$83/10000,2)</f>
        <v>0</v>
      </c>
      <c r="J47" s="21">
        <f>ROUND('PU Wise OWE'!$AZ$85/10000,2)</f>
        <v>0</v>
      </c>
      <c r="K47" s="22">
        <f t="shared" si="10"/>
        <v>0</v>
      </c>
      <c r="L47" s="24" t="e">
        <f t="shared" si="11"/>
        <v>#DIV/0!</v>
      </c>
      <c r="M47" s="22">
        <f t="shared" si="12"/>
        <v>0</v>
      </c>
      <c r="N47" s="54" t="e">
        <f t="shared" si="13"/>
        <v>#DIV/0!</v>
      </c>
      <c r="O47" s="54" t="e">
        <f t="shared" si="9"/>
        <v>#DIV/0!</v>
      </c>
    </row>
    <row r="48" spans="2:15">
      <c r="B48" s="60" t="s">
        <v>159</v>
      </c>
      <c r="C48" s="110">
        <v>40.46</v>
      </c>
      <c r="D48" s="68">
        <f t="shared" si="7"/>
        <v>9.0475274712988104E-3</v>
      </c>
      <c r="E48" s="319"/>
      <c r="F48" s="21">
        <f>ROUND('PU Wise OWE'!$BA$82/10000,2)</f>
        <v>11.61</v>
      </c>
      <c r="G48" s="24">
        <f t="shared" si="8"/>
        <v>5.1861149700491802E-3</v>
      </c>
      <c r="H48" s="72">
        <f>ROUND('PU Wise OWE'!$BA$84/10000,2)</f>
        <v>3.7</v>
      </c>
      <c r="I48" s="21">
        <f>ROUND('PU Wise OWE'!$BA$83/10000,2)</f>
        <v>2.79</v>
      </c>
      <c r="J48" s="21">
        <f>ROUND('PU Wise OWE'!$BA$85/10000,2)</f>
        <v>1.97</v>
      </c>
      <c r="K48" s="22">
        <f t="shared" si="10"/>
        <v>-0.82000000000000006</v>
      </c>
      <c r="L48" s="24">
        <f t="shared" si="11"/>
        <v>-0.29390681003584229</v>
      </c>
      <c r="M48" s="22">
        <f t="shared" si="12"/>
        <v>-1.7300000000000002</v>
      </c>
      <c r="N48" s="54">
        <f t="shared" si="13"/>
        <v>-0.46756756756756762</v>
      </c>
      <c r="O48" s="54">
        <f t="shared" si="9"/>
        <v>0.16968130921619295</v>
      </c>
    </row>
    <row r="49" spans="2:15">
      <c r="B49" s="61" t="s">
        <v>162</v>
      </c>
      <c r="C49" s="105">
        <v>954.9</v>
      </c>
      <c r="D49" s="68">
        <f t="shared" si="7"/>
        <v>0.21353148745287281</v>
      </c>
      <c r="E49" s="319"/>
      <c r="F49" s="21">
        <f>ROUND('PU Wise OWE'!$AM$82/10000,2)-25.38</f>
        <v>498.07000000000005</v>
      </c>
      <c r="G49" s="24">
        <f t="shared" si="8"/>
        <v>0.22248477890890575</v>
      </c>
      <c r="H49" s="72">
        <f>ROUND('PU Wise OWE'!$AM$84/10000,2)-ROUND('Upto Month COPPY'!I60/10000,2)</f>
        <v>61.72</v>
      </c>
      <c r="I49" s="21">
        <f>ROUND('PU Wise OWE'!$AM$83/10000,2)-6.09</f>
        <v>119.53999999999999</v>
      </c>
      <c r="J49" s="21">
        <f>ROUND('PU Wise OWE'!$AM$85/10000,2)-ROUND('Upto Month Current'!I60/10000,2)</f>
        <v>88.34</v>
      </c>
      <c r="K49" s="22">
        <f t="shared" si="10"/>
        <v>-31.199999999999989</v>
      </c>
      <c r="L49" s="24">
        <f t="shared" si="11"/>
        <v>-0.26100050192404206</v>
      </c>
      <c r="M49" s="22">
        <f t="shared" si="12"/>
        <v>26.620000000000005</v>
      </c>
      <c r="N49" s="54">
        <f t="shared" si="13"/>
        <v>0.431302657161374</v>
      </c>
      <c r="O49" s="54">
        <f t="shared" si="9"/>
        <v>0.17736462746200332</v>
      </c>
    </row>
    <row r="50" spans="2:15" s="36" customFormat="1">
      <c r="B50" s="62" t="s">
        <v>122</v>
      </c>
      <c r="C50" s="106">
        <f>C42+C49</f>
        <v>997.73</v>
      </c>
      <c r="D50" s="69">
        <f t="shared" si="7"/>
        <v>0.22310898625652403</v>
      </c>
      <c r="E50" s="320"/>
      <c r="F50" s="106">
        <f>F42+F49</f>
        <v>510.36000000000007</v>
      </c>
      <c r="G50" s="56">
        <f t="shared" si="8"/>
        <v>0.22797464566014644</v>
      </c>
      <c r="H50" s="76">
        <f>H42+H49</f>
        <v>66.289999999999992</v>
      </c>
      <c r="I50" s="106">
        <f>I42+I49</f>
        <v>122.49</v>
      </c>
      <c r="J50" s="106">
        <f>J42+J49</f>
        <v>90.7</v>
      </c>
      <c r="K50" s="26">
        <f t="shared" si="10"/>
        <v>-31.789999999999992</v>
      </c>
      <c r="L50" s="56">
        <f t="shared" si="11"/>
        <v>-0.25953139031757688</v>
      </c>
      <c r="M50" s="26">
        <f>J50-H50</f>
        <v>24.410000000000011</v>
      </c>
      <c r="N50" s="57">
        <f>M50/H50</f>
        <v>0.36823050233821109</v>
      </c>
      <c r="O50" s="57">
        <f>J50/F50</f>
        <v>0.17771768947409669</v>
      </c>
    </row>
    <row r="52" spans="2:15">
      <c r="B52" s="77" t="s">
        <v>176</v>
      </c>
      <c r="C52" s="77"/>
    </row>
    <row r="53" spans="2:15" ht="47.25" customHeight="1">
      <c r="B53" s="83" t="s">
        <v>177</v>
      </c>
      <c r="C53" s="111">
        <v>112.41</v>
      </c>
      <c r="D53" s="68">
        <f>C53/$C$7</f>
        <v>2.5136741548410758E-2</v>
      </c>
      <c r="E53" s="311"/>
      <c r="F53" s="107">
        <f>ROUND('PU Wise OWE'!$AK$126/10000,2)-F43</f>
        <v>51.489999999999995</v>
      </c>
      <c r="G53" s="24">
        <f>F53/$F$7</f>
        <v>2.300026354933956E-2</v>
      </c>
      <c r="H53" s="72">
        <f>ROUND('PU Wise OWE'!$AK$128/10000,2)-H43</f>
        <v>14.290000000000001</v>
      </c>
      <c r="I53" s="107">
        <f>ROUND('PU Wise OWE'!$AK$127/10000,2)-I43</f>
        <v>12.36</v>
      </c>
      <c r="J53" s="107">
        <f>ROUND('PU Wise OWE'!$AK$129/10000,2)-J43</f>
        <v>9.6900000000000013</v>
      </c>
      <c r="K53" s="22">
        <f>J53-I53</f>
        <v>-2.6699999999999982</v>
      </c>
      <c r="L53" s="24">
        <f>K53/I53</f>
        <v>-0.216019417475728</v>
      </c>
      <c r="M53" s="22">
        <f>J53-H53</f>
        <v>-4.5999999999999996</v>
      </c>
      <c r="N53" s="54">
        <f>M53/H53</f>
        <v>-0.32190342897130858</v>
      </c>
      <c r="O53" s="54">
        <f>J53/F53</f>
        <v>0.18819188191881922</v>
      </c>
    </row>
    <row r="54" spans="2:15">
      <c r="B54" s="20" t="s">
        <v>154</v>
      </c>
      <c r="C54" s="107">
        <v>65.81</v>
      </c>
      <c r="D54" s="68">
        <f>C54/$C$7</f>
        <v>1.4716208178106148E-2</v>
      </c>
      <c r="E54" s="312"/>
      <c r="F54" s="107">
        <f>ROUND('PU Wise OWE'!$AL$126/10000,2)</f>
        <v>29.49</v>
      </c>
      <c r="G54" s="24">
        <f>F54/$F$7</f>
        <v>1.3173000040202441E-2</v>
      </c>
      <c r="H54" s="72">
        <f>ROUND('PU Wise OWE'!$AL$128/10000,2)</f>
        <v>6.19</v>
      </c>
      <c r="I54" s="107">
        <f>ROUND('PU Wise OWE'!$AL$127/10000,2)</f>
        <v>7.08</v>
      </c>
      <c r="J54" s="20">
        <f>ROUND('PU Wise OWE'!$AL$129/10000,2)</f>
        <v>10.53</v>
      </c>
      <c r="K54" s="22">
        <f>J54-I54</f>
        <v>3.4499999999999993</v>
      </c>
      <c r="L54" s="24">
        <f>K54/I54</f>
        <v>0.48728813559322021</v>
      </c>
      <c r="M54" s="22">
        <f>J54-H54</f>
        <v>4.339999999999999</v>
      </c>
      <c r="N54" s="54">
        <f>M54/H54</f>
        <v>0.70113085621970894</v>
      </c>
      <c r="O54" s="54">
        <f>J54/F54</f>
        <v>0.35707019328585959</v>
      </c>
    </row>
    <row r="55" spans="2:15" s="36" customFormat="1">
      <c r="B55" s="25" t="s">
        <v>122</v>
      </c>
      <c r="C55" s="26">
        <f>C53+C54</f>
        <v>178.22</v>
      </c>
      <c r="D55" s="69">
        <f>C55/$C$7</f>
        <v>3.9852949726516908E-2</v>
      </c>
      <c r="E55" s="313"/>
      <c r="F55" s="141">
        <f>SUM(F53:F54)</f>
        <v>80.97999999999999</v>
      </c>
      <c r="G55" s="56">
        <f>F55/$F$7</f>
        <v>3.6173263589541996E-2</v>
      </c>
      <c r="H55" s="76">
        <f>SUM(H53:H54)</f>
        <v>20.48</v>
      </c>
      <c r="I55" s="141">
        <f>SUM(I53:I54)</f>
        <v>19.439999999999998</v>
      </c>
      <c r="J55" s="141">
        <f>SUM(J53:J54)</f>
        <v>20.22</v>
      </c>
      <c r="K55" s="26">
        <f>J55-I55</f>
        <v>0.78000000000000114</v>
      </c>
      <c r="L55" s="56">
        <f>K55/I55</f>
        <v>4.0123456790123517E-2</v>
      </c>
      <c r="M55" s="26">
        <f>J55-H55</f>
        <v>-0.26000000000000156</v>
      </c>
      <c r="N55" s="57">
        <f>M55/H55</f>
        <v>-1.2695312500000076E-2</v>
      </c>
      <c r="O55" s="57">
        <f>J55/F55</f>
        <v>0.24969128179797481</v>
      </c>
    </row>
    <row r="57" spans="2:15" s="36" customFormat="1">
      <c r="B57" s="204" t="s">
        <v>155</v>
      </c>
      <c r="C57" s="112">
        <v>224.16</v>
      </c>
      <c r="D57" s="253">
        <f>C57/$C$7</f>
        <v>5.0125896143508188E-2</v>
      </c>
      <c r="E57" s="55"/>
      <c r="F57" s="112">
        <f>ROUND('PU Wise OWE'!$AO$126/10000,2)</f>
        <v>116.37</v>
      </c>
      <c r="G57" s="201">
        <f>F57/$F$7</f>
        <v>5.1981757025376676E-2</v>
      </c>
      <c r="H57" s="205">
        <f>ROUND('PU Wise OWE'!$AO$128/10000,2)</f>
        <v>20.07</v>
      </c>
      <c r="I57" s="112">
        <f>ROUND('PU Wise OWE'!$AO$127/10000,2)</f>
        <v>27.93</v>
      </c>
      <c r="J57" s="80">
        <f>ROUND('PU Wise OWE'!$AO$129/10000,2)</f>
        <v>45.05</v>
      </c>
      <c r="K57" s="200">
        <f>J57-I57</f>
        <v>17.119999999999997</v>
      </c>
      <c r="L57" s="201">
        <f>K57/I57</f>
        <v>0.61296097386322945</v>
      </c>
      <c r="M57" s="200">
        <f>J57-H57</f>
        <v>24.979999999999997</v>
      </c>
      <c r="N57" s="202">
        <f>M57/H57</f>
        <v>1.2446437468858991</v>
      </c>
      <c r="O57" s="202">
        <f>J57/F57</f>
        <v>0.38712726647761447</v>
      </c>
    </row>
    <row r="58" spans="2:15">
      <c r="C58" s="198"/>
      <c r="O58" s="102"/>
    </row>
    <row r="59" spans="2:15">
      <c r="B59" s="77" t="s">
        <v>178</v>
      </c>
      <c r="C59" s="203"/>
      <c r="O59" s="203"/>
    </row>
    <row r="60" spans="2:15">
      <c r="B60" s="23" t="s">
        <v>179</v>
      </c>
      <c r="C60" s="22">
        <v>43.75</v>
      </c>
      <c r="D60" s="68">
        <f>C60/$C$7</f>
        <v>9.7832260719061537E-3</v>
      </c>
      <c r="E60" s="308"/>
      <c r="F60" s="107">
        <f>ROUND('PU Wise OWE'!$AM$60/10000,2)</f>
        <v>30.49</v>
      </c>
      <c r="G60" s="24">
        <f>F60/$F$7</f>
        <v>1.3619693836072309E-2</v>
      </c>
      <c r="H60" s="72">
        <f>ROUND('PU Wise OWE'!$AM$62/10000,2)</f>
        <v>1.99</v>
      </c>
      <c r="I60" s="107">
        <f>ROUND('PU Wise OWE'!$AM$61/10000,2)</f>
        <v>7.32</v>
      </c>
      <c r="J60" s="20">
        <f>ROUND('PU Wise OWE'!$AM$63/10000,2)</f>
        <v>3.16</v>
      </c>
      <c r="K60" s="22">
        <f>J60-I60</f>
        <v>-4.16</v>
      </c>
      <c r="L60" s="24">
        <f>K60/I60</f>
        <v>-0.56830601092896171</v>
      </c>
      <c r="M60" s="22">
        <f>J60-H60</f>
        <v>1.1700000000000002</v>
      </c>
      <c r="N60" s="54">
        <f>M60/H60</f>
        <v>0.58793969849246241</v>
      </c>
      <c r="O60" s="54">
        <f>J60/F60</f>
        <v>0.10364053788127256</v>
      </c>
    </row>
    <row r="61" spans="2:15">
      <c r="B61" s="23" t="s">
        <v>180</v>
      </c>
      <c r="C61" s="22">
        <v>11.44</v>
      </c>
      <c r="D61" s="68">
        <f>C61/$C$7</f>
        <v>2.5581738574310033E-3</v>
      </c>
      <c r="E61" s="309"/>
      <c r="F61" s="107">
        <f>ROUND('PU Wise OWE'!$AM$93/10000,2)</f>
        <v>2.5299999999999998</v>
      </c>
      <c r="G61" s="24">
        <f>F61/$F$7</f>
        <v>1.1301353035507689E-3</v>
      </c>
      <c r="H61" s="72">
        <f>ROUND('PU Wise OWE'!$AM$95/10000,2)</f>
        <v>-0.72</v>
      </c>
      <c r="I61" s="107">
        <f>ROUND('PU Wise OWE'!$AM$94/10000,2)</f>
        <v>0.61</v>
      </c>
      <c r="J61" s="20">
        <f>ROUND('PU Wise OWE'!$AM$96/10000,2)</f>
        <v>0.18</v>
      </c>
      <c r="K61" s="22">
        <f>J61-I61</f>
        <v>-0.43</v>
      </c>
      <c r="L61" s="24">
        <f>K61/I61</f>
        <v>-0.70491803278688525</v>
      </c>
      <c r="M61" s="22">
        <f>J61-H61</f>
        <v>0.89999999999999991</v>
      </c>
      <c r="N61" s="54">
        <f>M61/H61</f>
        <v>-1.25</v>
      </c>
      <c r="O61" s="54">
        <f>J61/F61</f>
        <v>7.1146245059288543E-2</v>
      </c>
    </row>
    <row r="62" spans="2:15">
      <c r="B62" s="23" t="s">
        <v>181</v>
      </c>
      <c r="C62" s="22">
        <v>15.04</v>
      </c>
      <c r="D62" s="68">
        <f>C62/$C$7</f>
        <v>3.3631936027764238E-3</v>
      </c>
      <c r="E62" s="309"/>
      <c r="F62" s="107">
        <f>ROUND('PU Wise OWE'!$AN$16/10000,2)</f>
        <v>7.43</v>
      </c>
      <c r="G62" s="24">
        <f>F62/$F$7</f>
        <v>3.3189349033131278E-3</v>
      </c>
      <c r="H62" s="72">
        <f>ROUND('PU Wise OWE'!$AN$18/10000,2)</f>
        <v>1.0900000000000001</v>
      </c>
      <c r="I62" s="107">
        <f>ROUND('PU Wise OWE'!$AN$17/10000,2)</f>
        <v>1.78</v>
      </c>
      <c r="J62" s="20">
        <f>ROUND('PU Wise OWE'!$AN$19/10000,2)</f>
        <v>1.76</v>
      </c>
      <c r="K62" s="22">
        <f>J62-I62</f>
        <v>-2.0000000000000018E-2</v>
      </c>
      <c r="L62" s="24">
        <f>K62/I62</f>
        <v>-1.1235955056179785E-2</v>
      </c>
      <c r="M62" s="22">
        <f>J62-H62</f>
        <v>0.66999999999999993</v>
      </c>
      <c r="N62" s="54">
        <f>M62/H62</f>
        <v>0.61467889908256867</v>
      </c>
      <c r="O62" s="54">
        <f>J62/F62</f>
        <v>0.23687752355316286</v>
      </c>
    </row>
    <row r="63" spans="2:15">
      <c r="B63" s="23" t="s">
        <v>182</v>
      </c>
      <c r="C63" s="22">
        <v>16.510000000000002</v>
      </c>
      <c r="D63" s="68">
        <f>C63/$C$7</f>
        <v>3.6919099987924712E-3</v>
      </c>
      <c r="E63" s="309"/>
      <c r="F63" s="107">
        <f>ROUND('PU Wise OWE'!$AN$60/10000,2)</f>
        <v>9.91</v>
      </c>
      <c r="G63" s="24">
        <f>F63/$F$7</f>
        <v>4.4267355170704032E-3</v>
      </c>
      <c r="H63" s="72">
        <f>ROUND('PU Wise OWE'!$AN$62/10000,2)</f>
        <v>0.15</v>
      </c>
      <c r="I63" s="107">
        <f>ROUND('PU Wise OWE'!$AN$61/10000,2)</f>
        <v>2.38</v>
      </c>
      <c r="J63" s="20">
        <f>ROUND('PU Wise OWE'!$AN$63/10000,2)</f>
        <v>0.7</v>
      </c>
      <c r="K63" s="22">
        <f>J63-I63</f>
        <v>-1.68</v>
      </c>
      <c r="L63" s="24">
        <f>K63/I63</f>
        <v>-0.70588235294117652</v>
      </c>
      <c r="M63" s="22">
        <f>J63-H63</f>
        <v>0.54999999999999993</v>
      </c>
      <c r="N63" s="54">
        <f>M63/H63</f>
        <v>3.6666666666666665</v>
      </c>
      <c r="O63" s="54">
        <f>J63/F63</f>
        <v>7.0635721493440967E-2</v>
      </c>
    </row>
    <row r="64" spans="2:15" s="36" customFormat="1">
      <c r="B64" s="25" t="s">
        <v>122</v>
      </c>
      <c r="C64" s="26">
        <f>C60+C61+C62+C63</f>
        <v>86.74</v>
      </c>
      <c r="D64" s="69">
        <f>C64/$C$7</f>
        <v>1.9396503530906051E-2</v>
      </c>
      <c r="E64" s="310"/>
      <c r="F64" s="106">
        <f>SUM(F60:F63)</f>
        <v>50.36</v>
      </c>
      <c r="G64" s="56">
        <f>F64/$F$7</f>
        <v>2.2495499560006609E-2</v>
      </c>
      <c r="H64" s="76">
        <f>SUM(H60:H63)</f>
        <v>2.5100000000000002</v>
      </c>
      <c r="I64" s="106">
        <f>SUM(I60:I63)</f>
        <v>12.09</v>
      </c>
      <c r="J64" s="106">
        <f>SUM(J60:J63)</f>
        <v>5.8000000000000007</v>
      </c>
      <c r="K64" s="26">
        <f>J64-I64</f>
        <v>-6.2899999999999991</v>
      </c>
      <c r="L64" s="56">
        <f>K64/I64</f>
        <v>-0.52026468155500405</v>
      </c>
      <c r="M64" s="26">
        <f>J64-H64</f>
        <v>3.2900000000000005</v>
      </c>
      <c r="N64" s="57">
        <f>M64/H64</f>
        <v>1.310756972111554</v>
      </c>
      <c r="O64" s="57">
        <f>J64/F64</f>
        <v>0.11517077045274028</v>
      </c>
    </row>
    <row r="65" spans="2:15">
      <c r="O65" s="94"/>
    </row>
    <row r="66" spans="2:15">
      <c r="B66" s="77" t="s">
        <v>311</v>
      </c>
      <c r="C66" s="77"/>
    </row>
    <row r="67" spans="2:15">
      <c r="B67" s="23" t="s">
        <v>184</v>
      </c>
      <c r="C67" s="22">
        <v>0</v>
      </c>
      <c r="D67" s="68">
        <f>C67/$C$7</f>
        <v>0</v>
      </c>
      <c r="E67" s="23"/>
      <c r="F67" s="107">
        <f>ROUND('PU Wise OWE'!$AP$71/10000,2)</f>
        <v>-0.05</v>
      </c>
      <c r="G67" s="24">
        <f>F67/$F$7</f>
        <v>-2.233468979349346E-5</v>
      </c>
      <c r="H67" s="72">
        <f>ROUND('PU Wise OWE'!$AP$73/10000,2)</f>
        <v>0</v>
      </c>
      <c r="I67" s="107">
        <f>ROUND('PU Wise OWE'!$AP$72/10000,2)</f>
        <v>-0.03</v>
      </c>
      <c r="J67" s="20">
        <f>ROUND('PU Wise OWE'!$AP$74/10000,2)</f>
        <v>0</v>
      </c>
      <c r="K67" s="22">
        <f>J67-I67</f>
        <v>0.03</v>
      </c>
      <c r="L67" s="24">
        <f>K67/I67</f>
        <v>-1</v>
      </c>
      <c r="M67" s="22">
        <f>J67-H67</f>
        <v>0</v>
      </c>
      <c r="N67" s="54" t="e">
        <f>M67/H67</f>
        <v>#DIV/0!</v>
      </c>
      <c r="O67" s="54">
        <f>J67/F67</f>
        <v>0</v>
      </c>
    </row>
    <row r="68" spans="2:15">
      <c r="B68" s="89" t="s">
        <v>185</v>
      </c>
      <c r="C68" s="113">
        <v>-67.75</v>
      </c>
      <c r="D68" s="68">
        <f>C68/$C$7</f>
        <v>-1.5150024374208957E-2</v>
      </c>
      <c r="E68" s="23"/>
      <c r="F68" s="107">
        <f>ROUND('PU Wise OWE'!$AP$126/10000,2)-F67</f>
        <v>-42.71</v>
      </c>
      <c r="G68" s="24">
        <f>F68/$F$7</f>
        <v>-1.9078292021602113E-2</v>
      </c>
      <c r="H68" s="72">
        <f>ROUND('PU Wise OWE'!$AP$128/10000,2)-H67</f>
        <v>-0.05</v>
      </c>
      <c r="I68" s="107">
        <f>ROUND('PU Wise OWE'!$AP$127/10000,2)-I67</f>
        <v>-10.25</v>
      </c>
      <c r="J68" s="20">
        <f>ROUND('PU Wise OWE'!$AP$129/10000,2)-J67</f>
        <v>-13.33</v>
      </c>
      <c r="K68" s="22">
        <f t="shared" ref="K68:K84" si="14">J68-I68</f>
        <v>-3.08</v>
      </c>
      <c r="L68" s="24">
        <f t="shared" ref="L68:L84" si="15">K68/I68</f>
        <v>0.30048780487804877</v>
      </c>
      <c r="M68" s="22">
        <f>J68-H68</f>
        <v>-13.28</v>
      </c>
      <c r="N68" s="54">
        <f>M68/H68</f>
        <v>265.59999999999997</v>
      </c>
      <c r="O68" s="54">
        <f>J68/F68</f>
        <v>0.31210489346757198</v>
      </c>
    </row>
    <row r="69" spans="2:15" s="36" customFormat="1">
      <c r="B69" s="25" t="s">
        <v>122</v>
      </c>
      <c r="C69" s="26">
        <f>C67+C68</f>
        <v>-67.75</v>
      </c>
      <c r="D69" s="69">
        <f>C69/$C$7</f>
        <v>-1.5150024374208957E-2</v>
      </c>
      <c r="E69" s="90"/>
      <c r="F69" s="141">
        <f>SUM(F67:F68)</f>
        <v>-42.76</v>
      </c>
      <c r="G69" s="56">
        <f>F69/$F$7</f>
        <v>-1.9100626711395605E-2</v>
      </c>
      <c r="H69" s="76">
        <f>SUM(H67:H68)</f>
        <v>-0.05</v>
      </c>
      <c r="I69" s="141">
        <f>SUM(I67:I68)</f>
        <v>-10.28</v>
      </c>
      <c r="J69" s="141">
        <f>SUM(J67:J68)</f>
        <v>-13.33</v>
      </c>
      <c r="K69" s="26">
        <f t="shared" si="14"/>
        <v>-3.0500000000000007</v>
      </c>
      <c r="L69" s="56">
        <f t="shared" si="15"/>
        <v>0.29669260700389116</v>
      </c>
      <c r="M69" s="26">
        <f>J69-H69</f>
        <v>-13.28</v>
      </c>
      <c r="N69" s="57">
        <f>M69/H69</f>
        <v>265.59999999999997</v>
      </c>
      <c r="O69" s="57">
        <f>J69/F69</f>
        <v>0.31173994387277831</v>
      </c>
    </row>
    <row r="70" spans="2:15">
      <c r="E70" s="31"/>
      <c r="F70" s="238"/>
      <c r="G70" s="34"/>
      <c r="I70" s="238"/>
      <c r="J70" s="32"/>
      <c r="K70" s="34"/>
      <c r="L70" s="35"/>
      <c r="M70" s="34"/>
      <c r="N70" s="94"/>
      <c r="O70" s="36"/>
    </row>
    <row r="71" spans="2:15">
      <c r="B71" s="77" t="s">
        <v>187</v>
      </c>
      <c r="C71" s="77"/>
      <c r="E71" s="31"/>
      <c r="F71" s="238"/>
      <c r="G71" s="34"/>
      <c r="I71" s="238"/>
      <c r="J71" s="32"/>
      <c r="K71" s="34"/>
      <c r="L71" s="35"/>
      <c r="M71" s="34"/>
      <c r="N71" s="94"/>
    </row>
    <row r="72" spans="2:15">
      <c r="B72" s="23" t="s">
        <v>186</v>
      </c>
      <c r="C72" s="22">
        <v>-15.1</v>
      </c>
      <c r="D72" s="68">
        <f>C72/$C$7</f>
        <v>-3.3766105985321808E-3</v>
      </c>
      <c r="E72" s="23"/>
      <c r="F72" s="72">
        <f>ROUND('PU Wise OWE'!$AQ$27/10000,2)+ROUND('PU Wise OWE'!$BB$27/10000,2)</f>
        <v>-4.58</v>
      </c>
      <c r="G72" s="24">
        <f>F72/$F$7</f>
        <v>-2.0458575850840007E-3</v>
      </c>
      <c r="H72" s="72">
        <f>ROUND('PU Wise OWE'!$AQ$29/10000,2)+ROUND('PU Wise OWE'!$BB$29/10000,2)</f>
        <v>-0.18</v>
      </c>
      <c r="I72" s="72">
        <f>ROUND('PU Wise OWE'!$AQ$28/10000,2)+ROUND('PU Wise OWE'!$BB$28/10000,2)</f>
        <v>-1.1000000000000001</v>
      </c>
      <c r="J72" s="72">
        <f>ROUND('PU Wise OWE'!$AQ$30/10000,2)+ROUND('PU Wise OWE'!$BB$30/10000,2)</f>
        <v>-1.02</v>
      </c>
      <c r="K72" s="22">
        <f t="shared" si="14"/>
        <v>8.0000000000000071E-2</v>
      </c>
      <c r="L72" s="24">
        <f t="shared" si="15"/>
        <v>-7.2727272727272779E-2</v>
      </c>
      <c r="M72" s="22">
        <f>J72-H72</f>
        <v>-0.84000000000000008</v>
      </c>
      <c r="N72" s="54">
        <f>M72/H72</f>
        <v>4.666666666666667</v>
      </c>
      <c r="O72" s="54">
        <f>J72/F72</f>
        <v>0.22270742358078602</v>
      </c>
    </row>
    <row r="73" spans="2:15">
      <c r="B73" s="23" t="s">
        <v>188</v>
      </c>
      <c r="C73" s="22">
        <v>45.230000000000004</v>
      </c>
      <c r="D73" s="68">
        <f>C73/$C$7</f>
        <v>1.0114178633881494E-2</v>
      </c>
      <c r="E73" s="23"/>
      <c r="F73" s="72">
        <f>ROUND('PU Wise OWE'!$AQ$38/10000,2)+ROUND('PU Wise OWE'!$BB$38/10000,2)</f>
        <v>18.87</v>
      </c>
      <c r="G73" s="24">
        <f>F73/$F$7</f>
        <v>8.4291119280644321E-3</v>
      </c>
      <c r="H73" s="72">
        <f>ROUND('PU Wise OWE'!$AQ$40/10000,2)+ROUND('PU Wise OWE'!$BB$40/10000,2)</f>
        <v>2.74</v>
      </c>
      <c r="I73" s="72">
        <f>ROUND('PU Wise OWE'!$AQ$39/10000,2)+ROUND('PU Wise OWE'!$BB$39/10000,2)</f>
        <v>4.53</v>
      </c>
      <c r="J73" s="72">
        <f>ROUND('PU Wise OWE'!$AQ$41/10000,2)+ROUND('PU Wise OWE'!$BB$41/10000,2)</f>
        <v>6.2</v>
      </c>
      <c r="K73" s="22">
        <f t="shared" si="14"/>
        <v>1.67</v>
      </c>
      <c r="L73" s="24">
        <f t="shared" si="15"/>
        <v>0.36865342163355402</v>
      </c>
      <c r="M73" s="22">
        <f>J73-H73</f>
        <v>3.46</v>
      </c>
      <c r="N73" s="54">
        <f>M73/H73</f>
        <v>1.2627737226277371</v>
      </c>
      <c r="O73" s="54">
        <f>J73/F73</f>
        <v>0.32856385797562265</v>
      </c>
    </row>
    <row r="74" spans="2:15" s="36" customFormat="1">
      <c r="B74" s="25" t="s">
        <v>122</v>
      </c>
      <c r="C74" s="26">
        <f>C72+C73</f>
        <v>30.130000000000003</v>
      </c>
      <c r="D74" s="69">
        <f>C74/$C$7</f>
        <v>6.7375680353493131E-3</v>
      </c>
      <c r="E74" s="25"/>
      <c r="F74" s="141">
        <f>SUM(F72:F73)</f>
        <v>14.290000000000001</v>
      </c>
      <c r="G74" s="56">
        <f>F74/$F$7</f>
        <v>6.3832543429804302E-3</v>
      </c>
      <c r="H74" s="76">
        <f>SUM(H72:H73)</f>
        <v>2.56</v>
      </c>
      <c r="I74" s="141">
        <f>SUM(I72:I73)</f>
        <v>3.43</v>
      </c>
      <c r="J74" s="141">
        <f>SUM(J72:J73)</f>
        <v>5.18</v>
      </c>
      <c r="K74" s="26">
        <f t="shared" si="14"/>
        <v>1.7499999999999996</v>
      </c>
      <c r="L74" s="56">
        <f t="shared" si="15"/>
        <v>0.51020408163265296</v>
      </c>
      <c r="M74" s="26">
        <f>J74-H74</f>
        <v>2.6199999999999997</v>
      </c>
      <c r="N74" s="57">
        <f>M74/H74</f>
        <v>1.0234374999999998</v>
      </c>
      <c r="O74" s="57">
        <f>J74/F74</f>
        <v>0.36249125262421267</v>
      </c>
    </row>
    <row r="75" spans="2:15" s="36" customFormat="1">
      <c r="B75" s="211"/>
      <c r="C75" s="212"/>
      <c r="D75" s="214"/>
      <c r="E75" s="211"/>
      <c r="F75" s="256"/>
      <c r="G75" s="215"/>
      <c r="H75" s="213"/>
      <c r="I75" s="256"/>
      <c r="J75" s="256"/>
      <c r="K75" s="212"/>
      <c r="L75" s="215"/>
      <c r="M75" s="212"/>
      <c r="N75" s="216"/>
      <c r="O75" s="216"/>
    </row>
    <row r="76" spans="2:15" s="36" customFormat="1">
      <c r="B76" s="211"/>
      <c r="C76" s="212"/>
      <c r="D76" s="214"/>
      <c r="E76" s="211"/>
      <c r="F76" s="256"/>
      <c r="G76" s="215"/>
      <c r="H76" s="213"/>
      <c r="I76" s="256"/>
      <c r="J76" s="256"/>
      <c r="K76" s="212"/>
      <c r="L76" s="215"/>
      <c r="M76" s="36" t="s">
        <v>142</v>
      </c>
      <c r="N76" s="216"/>
      <c r="O76" s="216"/>
    </row>
    <row r="77" spans="2:15">
      <c r="B77" s="298" t="s">
        <v>303</v>
      </c>
      <c r="C77" s="292" t="str">
        <f>C3</f>
        <v>Actuals 2023-24</v>
      </c>
      <c r="D77" s="292" t="s">
        <v>165</v>
      </c>
      <c r="E77" s="292"/>
      <c r="F77" s="293" t="str">
        <f>'PU Wise OWE'!$B$5</f>
        <v xml:space="preserve">VOA 2024-25 </v>
      </c>
      <c r="G77" s="292" t="str">
        <f>G40</f>
        <v>% of Total VOA 2024-25</v>
      </c>
      <c r="H77" s="295" t="str">
        <f>'PU Wise OWE'!$B$7</f>
        <v>Actuals upto April-23</v>
      </c>
      <c r="I77" s="293" t="str">
        <f>'PU Wise OWE'!$B$6</f>
        <v>BP to end of April-24</v>
      </c>
      <c r="J77" s="293" t="str">
        <f>'PU Wise OWE'!$B$8</f>
        <v>Actuals upto April-24</v>
      </c>
      <c r="K77" s="289" t="s">
        <v>198</v>
      </c>
      <c r="L77" s="289"/>
      <c r="M77" s="289" t="s">
        <v>139</v>
      </c>
      <c r="N77" s="289"/>
      <c r="O77" s="290" t="str">
        <f>O40</f>
        <v>VOA Utilization</v>
      </c>
    </row>
    <row r="78" spans="2:15" ht="30">
      <c r="B78" s="298"/>
      <c r="C78" s="292"/>
      <c r="D78" s="292"/>
      <c r="E78" s="292"/>
      <c r="F78" s="294"/>
      <c r="G78" s="292"/>
      <c r="H78" s="292"/>
      <c r="I78" s="294"/>
      <c r="J78" s="294"/>
      <c r="K78" s="81" t="s">
        <v>137</v>
      </c>
      <c r="L78" s="82" t="s">
        <v>138</v>
      </c>
      <c r="M78" s="81" t="s">
        <v>137</v>
      </c>
      <c r="N78" s="82" t="s">
        <v>138</v>
      </c>
      <c r="O78" s="291"/>
    </row>
    <row r="79" spans="2:15">
      <c r="B79" s="23" t="s">
        <v>191</v>
      </c>
      <c r="C79" s="20">
        <f>ROUND('[2]PU Wise OWE'!$AW$129/10000,2)</f>
        <v>0</v>
      </c>
      <c r="D79" s="68">
        <f t="shared" ref="D79:D87" si="16">C79/$C$7</f>
        <v>0</v>
      </c>
      <c r="E79" s="23"/>
      <c r="F79" s="107">
        <f>ROUND('PU Wise OWE'!$AW$126/10000,2)</f>
        <v>0</v>
      </c>
      <c r="G79" s="24">
        <f t="shared" ref="G79:G85" si="17">F79/$F$7</f>
        <v>0</v>
      </c>
      <c r="H79" s="72">
        <f>ROUND('PU Wise OWE'!$AW$128/10000,2)</f>
        <v>0.01</v>
      </c>
      <c r="I79" s="107">
        <f>ROUND('PU Wise OWE'!$AW$127/10000,2)</f>
        <v>0</v>
      </c>
      <c r="J79" s="20">
        <f>ROUND('PU Wise OWE'!$AW$129/10000,2)</f>
        <v>0</v>
      </c>
      <c r="K79" s="22">
        <f t="shared" si="14"/>
        <v>0</v>
      </c>
      <c r="L79" s="24" t="e">
        <f t="shared" si="15"/>
        <v>#DIV/0!</v>
      </c>
      <c r="M79" s="22">
        <f t="shared" ref="M79:M85" si="18">J79-H79</f>
        <v>-0.01</v>
      </c>
      <c r="N79" s="54">
        <f t="shared" ref="N79:N85" si="19">M79/H79</f>
        <v>-1</v>
      </c>
      <c r="O79" s="54" t="e">
        <f t="shared" ref="O79:O87" si="20">J79/F79</f>
        <v>#DIV/0!</v>
      </c>
    </row>
    <row r="80" spans="2:15">
      <c r="B80" s="23" t="s">
        <v>190</v>
      </c>
      <c r="C80" s="20">
        <f>ROUND('[2]PU Wise OWE'!$AX$129/10000,2)</f>
        <v>0.23</v>
      </c>
      <c r="D80" s="68">
        <f t="shared" si="16"/>
        <v>5.1431817063735209E-5</v>
      </c>
      <c r="E80" s="23"/>
      <c r="F80" s="107">
        <f>ROUND('PU Wise OWE'!$AX$126/10000,2)</f>
        <v>0.16</v>
      </c>
      <c r="G80" s="24">
        <f t="shared" si="17"/>
        <v>7.1471007339179063E-5</v>
      </c>
      <c r="H80" s="72">
        <f>ROUND('PU Wise OWE'!$AX$128/10000,2)</f>
        <v>0.02</v>
      </c>
      <c r="I80" s="107">
        <f>ROUND('PU Wise OWE'!$AX$127/10000,2)</f>
        <v>0.04</v>
      </c>
      <c r="J80" s="20">
        <f>ROUND('PU Wise OWE'!$AX$129/10000,2)</f>
        <v>0.01</v>
      </c>
      <c r="K80" s="22">
        <f t="shared" si="14"/>
        <v>-0.03</v>
      </c>
      <c r="L80" s="24">
        <f t="shared" si="15"/>
        <v>-0.75</v>
      </c>
      <c r="M80" s="22">
        <f t="shared" si="18"/>
        <v>-0.01</v>
      </c>
      <c r="N80" s="54">
        <f t="shared" si="19"/>
        <v>-0.5</v>
      </c>
      <c r="O80" s="54">
        <f t="shared" si="20"/>
        <v>6.25E-2</v>
      </c>
    </row>
    <row r="81" spans="2:15">
      <c r="B81" s="23" t="s">
        <v>192</v>
      </c>
      <c r="C81" s="20">
        <f>ROUND('[2]PU Wise OWE'!$BC$129/10000,2)</f>
        <v>10.26</v>
      </c>
      <c r="D81" s="68">
        <f t="shared" si="16"/>
        <v>2.2943062742344488E-3</v>
      </c>
      <c r="E81" s="23"/>
      <c r="F81" s="107">
        <f>ROUND('PU Wise OWE'!$BC$126/10000,2)</f>
        <v>5.58</v>
      </c>
      <c r="G81" s="24">
        <f t="shared" si="17"/>
        <v>2.49255138095387E-3</v>
      </c>
      <c r="H81" s="72">
        <f>ROUND('PU Wise OWE'!$BC$128/10000,2)</f>
        <v>1.3</v>
      </c>
      <c r="I81" s="107">
        <f>ROUND('PU Wise OWE'!$BC$127/10000,2)</f>
        <v>1.34</v>
      </c>
      <c r="J81" s="20">
        <f>ROUND('PU Wise OWE'!$BC$129/10000,2)</f>
        <v>2.23</v>
      </c>
      <c r="K81" s="22">
        <f t="shared" si="14"/>
        <v>0.8899999999999999</v>
      </c>
      <c r="L81" s="24">
        <f t="shared" si="15"/>
        <v>0.66417910447761186</v>
      </c>
      <c r="M81" s="22">
        <f t="shared" si="18"/>
        <v>0.92999999999999994</v>
      </c>
      <c r="N81" s="54">
        <f t="shared" si="19"/>
        <v>0.71538461538461529</v>
      </c>
      <c r="O81" s="54">
        <f t="shared" si="20"/>
        <v>0.3996415770609319</v>
      </c>
    </row>
    <row r="82" spans="2:15">
      <c r="B82" s="23" t="s">
        <v>193</v>
      </c>
      <c r="C82" s="20">
        <f>ROUND('[2]PU Wise OWE'!$BD$129/10000,2)</f>
        <v>10.26</v>
      </c>
      <c r="D82" s="68">
        <f t="shared" si="16"/>
        <v>2.2943062742344488E-3</v>
      </c>
      <c r="E82" s="23"/>
      <c r="F82" s="107">
        <f>ROUND('PU Wise OWE'!$BD$126/10000,2)</f>
        <v>5.65</v>
      </c>
      <c r="G82" s="24">
        <f t="shared" si="17"/>
        <v>2.523819946664761E-3</v>
      </c>
      <c r="H82" s="72">
        <f>ROUND('PU Wise OWE'!$BD$128/10000,2)</f>
        <v>1.3</v>
      </c>
      <c r="I82" s="107">
        <f>ROUND('PU Wise OWE'!$BD$127/10000,2)</f>
        <v>1.36</v>
      </c>
      <c r="J82" s="20">
        <f>ROUND('PU Wise OWE'!$BD$129/10000,2)</f>
        <v>2.23</v>
      </c>
      <c r="K82" s="22">
        <f t="shared" si="14"/>
        <v>0.86999999999999988</v>
      </c>
      <c r="L82" s="24">
        <f t="shared" si="15"/>
        <v>0.63970588235294101</v>
      </c>
      <c r="M82" s="22">
        <f t="shared" si="18"/>
        <v>0.92999999999999994</v>
      </c>
      <c r="N82" s="54">
        <f t="shared" si="19"/>
        <v>0.71538461538461529</v>
      </c>
      <c r="O82" s="54">
        <f t="shared" si="20"/>
        <v>0.39469026548672564</v>
      </c>
    </row>
    <row r="83" spans="2:15">
      <c r="B83" s="23" t="s">
        <v>194</v>
      </c>
      <c r="C83" s="20">
        <f>ROUND('[2]PU Wise OWE'!$BF$129/10000,2)</f>
        <v>8.43</v>
      </c>
      <c r="D83" s="68">
        <f t="shared" si="16"/>
        <v>1.8850879036838599E-3</v>
      </c>
      <c r="E83" s="23"/>
      <c r="F83" s="107">
        <f>ROUND('PU Wise OWE'!$BF$126/10000,2)</f>
        <v>7.37</v>
      </c>
      <c r="G83" s="24">
        <f t="shared" si="17"/>
        <v>3.2921332755609357E-3</v>
      </c>
      <c r="H83" s="72">
        <f>ROUND('PU Wise OWE'!$BF$128/10000,2)</f>
        <v>1.0900000000000001</v>
      </c>
      <c r="I83" s="107">
        <f>ROUND('PU Wise OWE'!$BF$127/10000,2)</f>
        <v>1.77</v>
      </c>
      <c r="J83" s="20">
        <f>ROUND('PU Wise OWE'!$BF$129/10000,2)</f>
        <v>3.13</v>
      </c>
      <c r="K83" s="22">
        <f t="shared" si="14"/>
        <v>1.3599999999999999</v>
      </c>
      <c r="L83" s="24">
        <f t="shared" si="15"/>
        <v>0.76836158192090387</v>
      </c>
      <c r="M83" s="22">
        <f t="shared" si="18"/>
        <v>2.04</v>
      </c>
      <c r="N83" s="54">
        <f t="shared" si="19"/>
        <v>1.8715596330275228</v>
      </c>
      <c r="O83" s="54">
        <f t="shared" si="20"/>
        <v>0.42469470827679778</v>
      </c>
    </row>
    <row r="84" spans="2:15">
      <c r="B84" s="23" t="s">
        <v>195</v>
      </c>
      <c r="C84" s="107">
        <f>ROUND('[2]PU Wise OWE'!$BG$129/10000,2)-ROUND('[2]PU Wise OWE'!$BG$118/10000,2)</f>
        <v>56.809999999999974</v>
      </c>
      <c r="D84" s="68">
        <f t="shared" si="16"/>
        <v>1.2703658814742591E-2</v>
      </c>
      <c r="E84" s="23"/>
      <c r="F84" s="107">
        <f>ROUND('PU Wise OWE'!$BG$126/10000,2)-ROUND('PU Wise OWE'!$BG$115/10000,2)</f>
        <v>27.530000000000015</v>
      </c>
      <c r="G84" s="24">
        <f t="shared" si="17"/>
        <v>1.2297480200297504E-2</v>
      </c>
      <c r="H84" s="72">
        <f>ROUND('PU Wise OWE'!$BG$128/10000,2)-ROUND('PU Wise OWE'!$BG$117/10000,2)</f>
        <v>1.379999999999999</v>
      </c>
      <c r="I84" s="107">
        <f>ROUND('PU Wise OWE'!$BG$127/10000,2)-ROUND('PU Wise OWE'!$BG$116/10000,2)</f>
        <v>6.6000000000000005</v>
      </c>
      <c r="J84" s="107">
        <f>ROUND('PU Wise OWE'!$BG$129/10000,2)-ROUND('PU Wise OWE'!$BG$118/10000,2)</f>
        <v>21.089999999999996</v>
      </c>
      <c r="K84" s="22">
        <f t="shared" si="14"/>
        <v>14.489999999999995</v>
      </c>
      <c r="L84" s="24">
        <f t="shared" si="15"/>
        <v>2.1954545454545444</v>
      </c>
      <c r="M84" s="22">
        <f t="shared" si="18"/>
        <v>19.709999999999997</v>
      </c>
      <c r="N84" s="54">
        <f t="shared" si="19"/>
        <v>14.282608695652183</v>
      </c>
      <c r="O84" s="54">
        <f t="shared" si="20"/>
        <v>0.76607337450054425</v>
      </c>
    </row>
    <row r="85" spans="2:15" s="36" customFormat="1">
      <c r="B85" s="25" t="s">
        <v>122</v>
      </c>
      <c r="C85" s="141">
        <f>SUM(C79:C84)</f>
        <v>85.989999999999981</v>
      </c>
      <c r="D85" s="69">
        <f t="shared" si="16"/>
        <v>1.9228791083959085E-2</v>
      </c>
      <c r="E85" s="25"/>
      <c r="F85" s="141">
        <f>SUM(F79:F84)</f>
        <v>46.29000000000002</v>
      </c>
      <c r="G85" s="56">
        <f t="shared" si="17"/>
        <v>2.0677455810816252E-2</v>
      </c>
      <c r="H85" s="76">
        <f>SUM(H79:H84)</f>
        <v>5.0999999999999988</v>
      </c>
      <c r="I85" s="141">
        <f>SUM(I79:I84)</f>
        <v>11.11</v>
      </c>
      <c r="J85" s="141">
        <f>SUM(J79:J84)</f>
        <v>28.689999999999998</v>
      </c>
      <c r="K85" s="26">
        <f>J85-I85</f>
        <v>17.579999999999998</v>
      </c>
      <c r="L85" s="56">
        <f>K85/I85</f>
        <v>1.5823582358235824</v>
      </c>
      <c r="M85" s="26">
        <f t="shared" si="18"/>
        <v>23.59</v>
      </c>
      <c r="N85" s="57">
        <f t="shared" si="19"/>
        <v>4.6254901960784327</v>
      </c>
      <c r="O85" s="57">
        <f t="shared" si="20"/>
        <v>0.61978829120760393</v>
      </c>
    </row>
    <row r="86" spans="2:15">
      <c r="O86" s="25"/>
    </row>
    <row r="87" spans="2:15" s="36" customFormat="1" ht="30" customHeight="1">
      <c r="B87" s="95" t="s">
        <v>196</v>
      </c>
      <c r="C87" s="257">
        <v>1543.7600000000002</v>
      </c>
      <c r="D87" s="253">
        <f t="shared" si="16"/>
        <v>0.34521035613179074</v>
      </c>
      <c r="E87" s="25"/>
      <c r="F87" s="257">
        <f>F37+F50+F55+F57+F64+F69+F74+F85</f>
        <v>780.41000000000008</v>
      </c>
      <c r="G87" s="201">
        <f>F87/$F$7</f>
        <v>0.34860430523480462</v>
      </c>
      <c r="H87" s="114">
        <f>H37+H50+H55+H57+H64+H69+H74+H85</f>
        <v>117.80000000000001</v>
      </c>
      <c r="I87" s="257">
        <f>I37+I50+I55+I57+I64+I69+I74+I85</f>
        <v>187.29000000000002</v>
      </c>
      <c r="J87" s="257">
        <f>J37+J50+J55+J57+J64+J69+J74+J85</f>
        <v>183.63</v>
      </c>
      <c r="K87" s="200">
        <f>J87-I87</f>
        <v>-3.660000000000025</v>
      </c>
      <c r="L87" s="201">
        <f>K87/I87</f>
        <v>-1.9541886913343076E-2</v>
      </c>
      <c r="M87" s="200">
        <f>J87-H87</f>
        <v>65.829999999999984</v>
      </c>
      <c r="N87" s="202">
        <f>M87/H87</f>
        <v>0.55882852292020357</v>
      </c>
      <c r="O87" s="202">
        <f t="shared" si="20"/>
        <v>0.23529939390833021</v>
      </c>
    </row>
    <row r="88" spans="2:15">
      <c r="O88" s="94"/>
    </row>
    <row r="89" spans="2:15">
      <c r="C89" s="179"/>
      <c r="O89" s="179"/>
    </row>
    <row r="90" spans="2:15" ht="15" customHeight="1">
      <c r="B90" s="296" t="s">
        <v>245</v>
      </c>
      <c r="C90" s="299" t="str">
        <f>C3</f>
        <v>Actuals 2023-24</v>
      </c>
      <c r="D90" s="299" t="s">
        <v>165</v>
      </c>
      <c r="E90" s="299"/>
      <c r="F90" s="302" t="str">
        <f>F77</f>
        <v xml:space="preserve">VOA 2024-25 </v>
      </c>
      <c r="G90" s="299" t="str">
        <f>G77</f>
        <v>% of Total VOA 2024-25</v>
      </c>
      <c r="H90" s="302" t="str">
        <f>H77</f>
        <v>Actuals upto April-23</v>
      </c>
      <c r="I90" s="302" t="str">
        <f>J77</f>
        <v>Actuals upto April-24</v>
      </c>
      <c r="J90" s="299" t="s">
        <v>197</v>
      </c>
      <c r="K90" s="301" t="s">
        <v>139</v>
      </c>
      <c r="L90" s="301"/>
      <c r="M90" s="292" t="str">
        <f>O77</f>
        <v>VOA Utilization</v>
      </c>
      <c r="N90" s="194"/>
      <c r="O90" s="199"/>
    </row>
    <row r="91" spans="2:15" ht="30" customHeight="1">
      <c r="B91" s="297"/>
      <c r="C91" s="300"/>
      <c r="D91" s="300"/>
      <c r="E91" s="300"/>
      <c r="F91" s="300"/>
      <c r="G91" s="300"/>
      <c r="H91" s="300"/>
      <c r="I91" s="303"/>
      <c r="J91" s="300"/>
      <c r="K91" s="81" t="s">
        <v>137</v>
      </c>
      <c r="L91" s="81" t="s">
        <v>138</v>
      </c>
      <c r="M91" s="292"/>
      <c r="N91" s="194"/>
      <c r="O91" s="199"/>
    </row>
    <row r="92" spans="2:15">
      <c r="B92" s="20" t="s">
        <v>246</v>
      </c>
      <c r="C92" s="20">
        <v>0</v>
      </c>
      <c r="D92" s="68">
        <f t="shared" ref="D92:D105" si="21">C92/$C$7</f>
        <v>0</v>
      </c>
      <c r="E92" s="20"/>
      <c r="F92" s="107">
        <v>0</v>
      </c>
      <c r="G92" s="187">
        <f t="shared" ref="G92:G105" si="22">F92/$F$7</f>
        <v>0</v>
      </c>
      <c r="H92" s="236">
        <f>'PU Wise OWE'!V29/1000</f>
        <v>0</v>
      </c>
      <c r="I92" s="259">
        <f>'PU Wise OWE'!V30/10000</f>
        <v>0</v>
      </c>
      <c r="J92" s="187">
        <f t="shared" ref="J92:J105" si="23">I92/$I$7</f>
        <v>0</v>
      </c>
      <c r="K92" s="107">
        <f t="shared" ref="K92:K105" si="24">I92-H92</f>
        <v>0</v>
      </c>
      <c r="L92" s="188" t="e">
        <f t="shared" ref="L92:L105" si="25">K92/H92</f>
        <v>#DIV/0!</v>
      </c>
      <c r="M92" s="188" t="e">
        <f t="shared" ref="M92:M105" si="26">I92/F92</f>
        <v>#DIV/0!</v>
      </c>
      <c r="N92" s="194"/>
      <c r="O92" s="196"/>
    </row>
    <row r="93" spans="2:15">
      <c r="B93" s="20" t="s">
        <v>247</v>
      </c>
      <c r="C93" s="107">
        <v>10.0878</v>
      </c>
      <c r="D93" s="68">
        <f t="shared" si="21"/>
        <v>2.2557994964154263E-3</v>
      </c>
      <c r="E93" s="20"/>
      <c r="F93" s="107">
        <v>0</v>
      </c>
      <c r="G93" s="187">
        <f t="shared" si="22"/>
        <v>0</v>
      </c>
      <c r="H93" s="111">
        <f>'PU Wise OWE'!V40/10000</f>
        <v>0.42949999999999999</v>
      </c>
      <c r="I93" s="107">
        <f>'PU Wise OWE'!V41/10000</f>
        <v>1.0023</v>
      </c>
      <c r="J93" s="187">
        <f t="shared" si="23"/>
        <v>2.0984423415124362E-3</v>
      </c>
      <c r="K93" s="107">
        <f t="shared" si="24"/>
        <v>0.57279999999999998</v>
      </c>
      <c r="L93" s="188">
        <f t="shared" si="25"/>
        <v>1.3336437718277065</v>
      </c>
      <c r="M93" s="188" t="e">
        <f t="shared" si="26"/>
        <v>#DIV/0!</v>
      </c>
      <c r="N93" s="194"/>
      <c r="O93" s="196"/>
    </row>
    <row r="94" spans="2:15">
      <c r="B94" s="20" t="s">
        <v>257</v>
      </c>
      <c r="C94" s="20">
        <v>0</v>
      </c>
      <c r="D94" s="68">
        <f t="shared" si="21"/>
        <v>0</v>
      </c>
      <c r="E94" s="20"/>
      <c r="F94" s="107">
        <v>0</v>
      </c>
      <c r="G94" s="187">
        <f t="shared" si="22"/>
        <v>0</v>
      </c>
      <c r="H94" s="111">
        <f>'PU Wise OWE'!V51/10000</f>
        <v>0</v>
      </c>
      <c r="I94" s="107">
        <f>'PU Wise OWE'!V52/10000</f>
        <v>0</v>
      </c>
      <c r="J94" s="187">
        <f t="shared" si="23"/>
        <v>0</v>
      </c>
      <c r="K94" s="107">
        <f t="shared" si="24"/>
        <v>0</v>
      </c>
      <c r="L94" s="188" t="e">
        <f t="shared" si="25"/>
        <v>#DIV/0!</v>
      </c>
      <c r="M94" s="188" t="e">
        <f t="shared" si="26"/>
        <v>#DIV/0!</v>
      </c>
      <c r="N94" s="194"/>
      <c r="O94" s="196"/>
    </row>
    <row r="95" spans="2:15">
      <c r="B95" s="61" t="s">
        <v>248</v>
      </c>
      <c r="C95" s="106">
        <f>SUM(C92:C94)</f>
        <v>10.0878</v>
      </c>
      <c r="D95" s="69">
        <f t="shared" si="21"/>
        <v>2.2557994964154263E-3</v>
      </c>
      <c r="E95" s="27">
        <f>SUM(E92:E93)</f>
        <v>0</v>
      </c>
      <c r="F95" s="106">
        <f>SUM(F92:F93)</f>
        <v>0</v>
      </c>
      <c r="G95" s="189">
        <f t="shared" si="22"/>
        <v>0</v>
      </c>
      <c r="H95" s="106">
        <f>SUM(H92:H94)</f>
        <v>0.42949999999999999</v>
      </c>
      <c r="I95" s="106">
        <f>SUM(I92:I94)</f>
        <v>1.0023</v>
      </c>
      <c r="J95" s="189">
        <f t="shared" si="23"/>
        <v>2.0984423415124362E-3</v>
      </c>
      <c r="K95" s="106">
        <f t="shared" si="24"/>
        <v>0.57279999999999998</v>
      </c>
      <c r="L95" s="190">
        <f t="shared" si="25"/>
        <v>1.3336437718277065</v>
      </c>
      <c r="M95" s="190" t="e">
        <f t="shared" si="26"/>
        <v>#DIV/0!</v>
      </c>
      <c r="N95" s="194"/>
      <c r="O95" s="197"/>
    </row>
    <row r="96" spans="2:15">
      <c r="B96" s="20" t="s">
        <v>249</v>
      </c>
      <c r="C96" s="20">
        <v>0</v>
      </c>
      <c r="D96" s="68">
        <f t="shared" si="21"/>
        <v>0</v>
      </c>
      <c r="E96" s="20"/>
      <c r="F96" s="107">
        <v>0</v>
      </c>
      <c r="G96" s="187">
        <f t="shared" si="22"/>
        <v>0</v>
      </c>
      <c r="H96" s="236">
        <f>'PU Wise OWE'!AQ29/10000</f>
        <v>0</v>
      </c>
      <c r="I96" s="107">
        <f>'PU Wise OWE'!AQ30/10000</f>
        <v>0</v>
      </c>
      <c r="J96" s="187">
        <f t="shared" si="23"/>
        <v>0</v>
      </c>
      <c r="K96" s="107">
        <f t="shared" si="24"/>
        <v>0</v>
      </c>
      <c r="L96" s="188" t="e">
        <f t="shared" si="25"/>
        <v>#DIV/0!</v>
      </c>
      <c r="M96" s="188">
        <v>0</v>
      </c>
      <c r="N96" s="194"/>
      <c r="O96" s="196"/>
    </row>
    <row r="97" spans="2:15">
      <c r="B97" s="20" t="s">
        <v>250</v>
      </c>
      <c r="C97" s="107">
        <v>14.564</v>
      </c>
      <c r="D97" s="68">
        <f t="shared" si="21"/>
        <v>3.2567521031140849E-3</v>
      </c>
      <c r="E97" s="20"/>
      <c r="F97" s="107">
        <v>0</v>
      </c>
      <c r="G97" s="187">
        <f t="shared" si="22"/>
        <v>0</v>
      </c>
      <c r="H97" s="111">
        <f>'PU Wise OWE'!AQ40/10000</f>
        <v>1.0406</v>
      </c>
      <c r="I97" s="107">
        <f>'PU Wise OWE'!AQ41/10000</f>
        <v>1.74</v>
      </c>
      <c r="J97" s="187">
        <f>I97/$I$7</f>
        <v>3.6429109789799848E-3</v>
      </c>
      <c r="K97" s="107">
        <f t="shared" si="24"/>
        <v>0.69940000000000002</v>
      </c>
      <c r="L97" s="188">
        <f t="shared" si="25"/>
        <v>0.6721122429367673</v>
      </c>
      <c r="M97" s="188" t="e">
        <f t="shared" si="26"/>
        <v>#DIV/0!</v>
      </c>
      <c r="N97" s="194"/>
      <c r="O97" s="196"/>
    </row>
    <row r="98" spans="2:15">
      <c r="B98" s="20" t="s">
        <v>258</v>
      </c>
      <c r="C98" s="20">
        <v>0</v>
      </c>
      <c r="D98" s="68">
        <f t="shared" si="21"/>
        <v>0</v>
      </c>
      <c r="E98" s="20"/>
      <c r="F98" s="107">
        <v>0</v>
      </c>
      <c r="G98" s="187">
        <f t="shared" si="22"/>
        <v>0</v>
      </c>
      <c r="H98" s="111">
        <f>'PU Wise OWE'!AQ51/10000</f>
        <v>0</v>
      </c>
      <c r="I98" s="107">
        <f>'PU Wise OWE'!AQ52/10000</f>
        <v>2.0000000000000001E-4</v>
      </c>
      <c r="J98" s="187">
        <f t="shared" si="23"/>
        <v>4.1872539988275691E-7</v>
      </c>
      <c r="K98" s="107">
        <f t="shared" si="24"/>
        <v>2.0000000000000001E-4</v>
      </c>
      <c r="L98" s="188" t="e">
        <f t="shared" si="25"/>
        <v>#DIV/0!</v>
      </c>
      <c r="M98" s="188">
        <v>0</v>
      </c>
      <c r="N98" s="194"/>
      <c r="O98" s="196"/>
    </row>
    <row r="99" spans="2:15">
      <c r="B99" s="61" t="s">
        <v>251</v>
      </c>
      <c r="C99" s="106">
        <f>SUM(C96:C98)</f>
        <v>14.564</v>
      </c>
      <c r="D99" s="69">
        <f t="shared" si="21"/>
        <v>3.2567521031140849E-3</v>
      </c>
      <c r="E99" s="27">
        <f>SUM(E96:E97)</f>
        <v>0</v>
      </c>
      <c r="F99" s="106">
        <f>SUM(F96:F98)</f>
        <v>0</v>
      </c>
      <c r="G99" s="189">
        <f t="shared" si="22"/>
        <v>0</v>
      </c>
      <c r="H99" s="27">
        <f>SUM(H96:H98)</f>
        <v>1.0406</v>
      </c>
      <c r="I99" s="106">
        <f>SUM(I96:I98)</f>
        <v>1.7402</v>
      </c>
      <c r="J99" s="189">
        <f t="shared" si="23"/>
        <v>3.6433297043798676E-3</v>
      </c>
      <c r="K99" s="106">
        <f t="shared" si="24"/>
        <v>0.6996</v>
      </c>
      <c r="L99" s="190">
        <f t="shared" si="25"/>
        <v>0.67230443974630028</v>
      </c>
      <c r="M99" s="190" t="e">
        <f t="shared" si="26"/>
        <v>#DIV/0!</v>
      </c>
      <c r="N99" s="194"/>
      <c r="O99" s="197"/>
    </row>
    <row r="100" spans="2:15">
      <c r="B100" s="20" t="s">
        <v>252</v>
      </c>
      <c r="C100" s="107">
        <v>-7.7175000000000002</v>
      </c>
      <c r="D100" s="68">
        <f t="shared" si="21"/>
        <v>-1.7257610790842456E-3</v>
      </c>
      <c r="E100" s="20"/>
      <c r="F100" s="107">
        <v>2.38</v>
      </c>
      <c r="G100" s="187">
        <f t="shared" si="22"/>
        <v>1.0631312341702886E-3</v>
      </c>
      <c r="H100" s="111">
        <f>'PU Wise OWE'!AC29/10000</f>
        <v>-0.2394</v>
      </c>
      <c r="I100" s="107">
        <f>'PU Wise OWE'!AC30/10000</f>
        <v>0</v>
      </c>
      <c r="J100" s="187">
        <f t="shared" si="23"/>
        <v>0</v>
      </c>
      <c r="K100" s="107">
        <f t="shared" si="24"/>
        <v>0.2394</v>
      </c>
      <c r="L100" s="188">
        <f t="shared" si="25"/>
        <v>-1</v>
      </c>
      <c r="M100" s="188">
        <f t="shared" si="26"/>
        <v>0</v>
      </c>
      <c r="N100" s="194"/>
      <c r="O100" s="196"/>
    </row>
    <row r="101" spans="2:15">
      <c r="B101" s="20" t="s">
        <v>253</v>
      </c>
      <c r="C101" s="107">
        <v>28.782399999999999</v>
      </c>
      <c r="D101" s="68">
        <f t="shared" si="21"/>
        <v>6.4362223106750093E-3</v>
      </c>
      <c r="E101" s="20"/>
      <c r="F101" s="107">
        <v>33.03</v>
      </c>
      <c r="G101" s="187">
        <f t="shared" si="22"/>
        <v>1.4754296077581778E-2</v>
      </c>
      <c r="H101" s="111">
        <f>'PU Wise OWE'!AC40/10000</f>
        <v>1.3381000000000001</v>
      </c>
      <c r="I101" s="107">
        <f>'PU Wise OWE'!AC41/10000</f>
        <v>4.0930999999999997</v>
      </c>
      <c r="J101" s="187">
        <f t="shared" si="23"/>
        <v>8.5694246713005611E-3</v>
      </c>
      <c r="K101" s="107">
        <f t="shared" si="24"/>
        <v>2.7549999999999999</v>
      </c>
      <c r="L101" s="188">
        <f t="shared" si="25"/>
        <v>2.058889470144234</v>
      </c>
      <c r="M101" s="188">
        <f t="shared" si="26"/>
        <v>0.12392067817135936</v>
      </c>
      <c r="N101" s="194"/>
      <c r="O101" s="196"/>
    </row>
    <row r="102" spans="2:15">
      <c r="B102" s="61" t="s">
        <v>254</v>
      </c>
      <c r="C102" s="106">
        <f t="shared" ref="C102:I102" si="27">SUM(C100:C101)</f>
        <v>21.064899999999998</v>
      </c>
      <c r="D102" s="69">
        <f t="shared" si="21"/>
        <v>4.7104612315907639E-3</v>
      </c>
      <c r="E102" s="27">
        <f t="shared" si="27"/>
        <v>0</v>
      </c>
      <c r="F102" s="106">
        <f t="shared" si="27"/>
        <v>35.410000000000004</v>
      </c>
      <c r="G102" s="189">
        <f t="shared" si="22"/>
        <v>1.5817427311752067E-2</v>
      </c>
      <c r="H102" s="106">
        <f>SUM(H100:H101)</f>
        <v>1.0987</v>
      </c>
      <c r="I102" s="106">
        <f t="shared" si="27"/>
        <v>4.0930999999999997</v>
      </c>
      <c r="J102" s="189">
        <f t="shared" si="23"/>
        <v>8.5694246713005611E-3</v>
      </c>
      <c r="K102" s="107">
        <f t="shared" si="24"/>
        <v>2.9943999999999997</v>
      </c>
      <c r="L102" s="188">
        <f t="shared" si="25"/>
        <v>2.7254027487030124</v>
      </c>
      <c r="M102" s="190">
        <f t="shared" si="26"/>
        <v>0.11559164077944081</v>
      </c>
      <c r="N102" s="194"/>
      <c r="O102" s="197"/>
    </row>
    <row r="103" spans="2:15">
      <c r="B103" s="20" t="s">
        <v>255</v>
      </c>
      <c r="C103" s="107">
        <v>-15.0983</v>
      </c>
      <c r="D103" s="68">
        <f t="shared" si="21"/>
        <v>-3.376230450319101E-3</v>
      </c>
      <c r="E103" s="20"/>
      <c r="F103" s="107">
        <v>1.72</v>
      </c>
      <c r="G103" s="187">
        <f t="shared" si="22"/>
        <v>7.683133288961749E-4</v>
      </c>
      <c r="H103" s="111">
        <f>'PU Wise OWE'!BB29/10000</f>
        <v>-0.1847</v>
      </c>
      <c r="I103" s="107">
        <f>'PU Wise OWE'!BB30/10000</f>
        <v>-1.0232000000000001</v>
      </c>
      <c r="J103" s="187">
        <f t="shared" si="23"/>
        <v>-2.1421991458001844E-3</v>
      </c>
      <c r="K103" s="107">
        <f t="shared" si="24"/>
        <v>-0.83850000000000013</v>
      </c>
      <c r="L103" s="188">
        <f t="shared" si="25"/>
        <v>4.5397942609637258</v>
      </c>
      <c r="M103" s="188">
        <f t="shared" si="26"/>
        <v>-0.59488372093023267</v>
      </c>
      <c r="N103" s="194"/>
      <c r="O103" s="196"/>
    </row>
    <row r="104" spans="2:15">
      <c r="B104" s="20" t="s">
        <v>256</v>
      </c>
      <c r="C104" s="107">
        <v>30.668099999999999</v>
      </c>
      <c r="D104" s="68">
        <f t="shared" si="21"/>
        <v>6.8578961256188595E-3</v>
      </c>
      <c r="E104" s="20"/>
      <c r="F104" s="107">
        <v>15.72</v>
      </c>
      <c r="G104" s="187">
        <f t="shared" si="22"/>
        <v>7.0220264710743434E-3</v>
      </c>
      <c r="H104" s="111">
        <f>'PU Wise OWE'!BB40/10000</f>
        <v>1.6971000000000001</v>
      </c>
      <c r="I104" s="107">
        <f>'PU Wise OWE'!BB41/10000</f>
        <v>4.4645999999999999</v>
      </c>
      <c r="J104" s="187">
        <f t="shared" si="23"/>
        <v>9.3472071015827819E-3</v>
      </c>
      <c r="K104" s="107">
        <f t="shared" si="24"/>
        <v>2.7675000000000001</v>
      </c>
      <c r="L104" s="188">
        <f t="shared" si="25"/>
        <v>1.6307229980555065</v>
      </c>
      <c r="M104" s="188">
        <f t="shared" si="26"/>
        <v>0.28400763358778625</v>
      </c>
      <c r="N104" s="194"/>
      <c r="O104" s="196"/>
    </row>
    <row r="105" spans="2:15">
      <c r="B105" s="61" t="s">
        <v>286</v>
      </c>
      <c r="C105" s="106">
        <f>SUM(C103:C104)</f>
        <v>15.569799999999999</v>
      </c>
      <c r="D105" s="69">
        <f t="shared" si="21"/>
        <v>3.4816656752997581E-3</v>
      </c>
      <c r="E105" s="27">
        <f>SUM(E103:E104)</f>
        <v>0</v>
      </c>
      <c r="F105" s="106">
        <f>SUM(F103:F104)</f>
        <v>17.440000000000001</v>
      </c>
      <c r="G105" s="189">
        <f t="shared" si="22"/>
        <v>7.7903397999705189E-3</v>
      </c>
      <c r="H105" s="106">
        <f>SUM(H103:H104)</f>
        <v>1.5124</v>
      </c>
      <c r="I105" s="106">
        <f>SUM(I103:I104)</f>
        <v>3.4413999999999998</v>
      </c>
      <c r="J105" s="189">
        <f t="shared" si="23"/>
        <v>7.2050079557825974E-3</v>
      </c>
      <c r="K105" s="106">
        <f t="shared" si="24"/>
        <v>1.9289999999999998</v>
      </c>
      <c r="L105" s="190">
        <f t="shared" si="25"/>
        <v>1.2754562285109758</v>
      </c>
      <c r="M105" s="190">
        <f t="shared" si="26"/>
        <v>0.19732798165137613</v>
      </c>
      <c r="N105" s="194"/>
      <c r="O105" s="197"/>
    </row>
    <row r="106" spans="2:15">
      <c r="B106" s="41"/>
      <c r="C106" s="41"/>
      <c r="D106" s="41"/>
      <c r="E106" s="41"/>
      <c r="G106" s="41"/>
      <c r="H106" s="221"/>
      <c r="K106" s="41"/>
      <c r="L106" s="41"/>
      <c r="M106" s="41"/>
      <c r="N106" s="194"/>
      <c r="O106" s="195"/>
    </row>
    <row r="107" spans="2:15" ht="15" customHeight="1">
      <c r="B107" s="191"/>
      <c r="C107" s="299" t="str">
        <f>C3</f>
        <v>Actuals 2023-24</v>
      </c>
      <c r="D107" s="299" t="s">
        <v>165</v>
      </c>
      <c r="E107" s="299"/>
      <c r="F107" s="302" t="str">
        <f>'PU Wise OWE'!$B$5</f>
        <v xml:space="preserve">VOA 2024-25 </v>
      </c>
      <c r="G107" s="299" t="str">
        <f>G90</f>
        <v>% of Total VOA 2024-25</v>
      </c>
      <c r="H107" s="302" t="str">
        <f>'PU Wise OWE'!$B$7</f>
        <v>Actuals upto April-23</v>
      </c>
      <c r="I107" s="302" t="str">
        <f>J77</f>
        <v>Actuals upto April-24</v>
      </c>
      <c r="J107" s="299" t="s">
        <v>197</v>
      </c>
      <c r="K107" s="301" t="s">
        <v>139</v>
      </c>
      <c r="L107" s="301"/>
      <c r="M107" s="292" t="str">
        <f>M90</f>
        <v>VOA Utilization</v>
      </c>
      <c r="N107" s="194"/>
      <c r="O107" s="199"/>
    </row>
    <row r="108" spans="2:15" ht="30">
      <c r="B108" s="204" t="s">
        <v>210</v>
      </c>
      <c r="C108" s="300"/>
      <c r="D108" s="300"/>
      <c r="E108" s="300"/>
      <c r="F108" s="300"/>
      <c r="G108" s="300"/>
      <c r="H108" s="300"/>
      <c r="I108" s="303"/>
      <c r="J108" s="300"/>
      <c r="K108" s="81" t="s">
        <v>137</v>
      </c>
      <c r="L108" s="81" t="s">
        <v>138</v>
      </c>
      <c r="M108" s="292"/>
      <c r="N108" s="194"/>
      <c r="O108" s="199"/>
    </row>
    <row r="109" spans="2:15">
      <c r="B109" s="20" t="s">
        <v>211</v>
      </c>
      <c r="C109" s="107">
        <v>33.57</v>
      </c>
      <c r="D109" s="68">
        <f>C109/$C$7</f>
        <v>7.5068091253460475E-3</v>
      </c>
      <c r="E109" s="20"/>
      <c r="F109" s="108">
        <v>18.03</v>
      </c>
      <c r="G109" s="187">
        <f>F109/$F$7</f>
        <v>8.053889139533742E-3</v>
      </c>
      <c r="H109" s="260">
        <v>2.12</v>
      </c>
      <c r="I109" s="260">
        <v>10.91</v>
      </c>
      <c r="J109" s="187">
        <f>I109/$I$7</f>
        <v>2.2841470563604388E-2</v>
      </c>
      <c r="K109" s="107">
        <f>I109-H109</f>
        <v>8.7899999999999991</v>
      </c>
      <c r="L109" s="188">
        <f>K109/H109</f>
        <v>4.1462264150943389</v>
      </c>
      <c r="M109" s="188">
        <f>I109/F109</f>
        <v>0.60510260676650029</v>
      </c>
      <c r="N109" s="194"/>
      <c r="O109" s="196"/>
    </row>
    <row r="110" spans="2:15">
      <c r="B110" s="20" t="s">
        <v>212</v>
      </c>
      <c r="C110" s="107">
        <v>28.49</v>
      </c>
      <c r="D110" s="68">
        <f>C110/$C$7</f>
        <v>6.3708368180252868E-3</v>
      </c>
      <c r="E110" s="20"/>
      <c r="F110" s="108">
        <v>13.49</v>
      </c>
      <c r="G110" s="187">
        <f>F110/$F$7</f>
        <v>6.0258993062845346E-3</v>
      </c>
      <c r="H110" s="260">
        <v>1.56</v>
      </c>
      <c r="I110" s="108">
        <v>6.05</v>
      </c>
      <c r="J110" s="187">
        <f>I110/$I$7</f>
        <v>1.2666443346453397E-2</v>
      </c>
      <c r="K110" s="107">
        <f>I110-H110</f>
        <v>4.49</v>
      </c>
      <c r="L110" s="188">
        <f>K110/H110</f>
        <v>2.8782051282051282</v>
      </c>
      <c r="M110" s="188">
        <f>I110/F110</f>
        <v>0.44848035581912526</v>
      </c>
      <c r="N110" s="194"/>
      <c r="O110" s="196"/>
    </row>
    <row r="111" spans="2:15">
      <c r="B111" s="192" t="s">
        <v>213</v>
      </c>
      <c r="C111" s="20">
        <v>22.59</v>
      </c>
      <c r="D111" s="68">
        <f>C111/$C$7</f>
        <v>5.0514989020425142E-3</v>
      </c>
      <c r="E111" s="20">
        <v>25.01</v>
      </c>
      <c r="F111" s="58">
        <v>14.05</v>
      </c>
      <c r="G111" s="187">
        <f>F111/$F$7</f>
        <v>6.2760478319716616E-3</v>
      </c>
      <c r="H111" s="260">
        <v>2.54</v>
      </c>
      <c r="I111" s="108">
        <v>2.7</v>
      </c>
      <c r="J111" s="187">
        <f>I111/$I$7</f>
        <v>5.6527928984172185E-3</v>
      </c>
      <c r="K111" s="107">
        <f>I111-H111</f>
        <v>0.16000000000000014</v>
      </c>
      <c r="L111" s="188">
        <f>K111/H111</f>
        <v>6.2992125984252023E-2</v>
      </c>
      <c r="M111" s="188">
        <f>I111/F111</f>
        <v>0.19217081850533807</v>
      </c>
      <c r="N111" s="194"/>
      <c r="O111" s="196"/>
    </row>
    <row r="112" spans="2:15">
      <c r="B112" s="27" t="s">
        <v>122</v>
      </c>
      <c r="C112" s="106">
        <f>SUM(C109:C111)</f>
        <v>84.65</v>
      </c>
      <c r="D112" s="69">
        <f>C112/$C$7</f>
        <v>1.8929144845413848E-2</v>
      </c>
      <c r="E112" s="27"/>
      <c r="F112" s="58">
        <f>SUM(F109:F111)</f>
        <v>45.570000000000007</v>
      </c>
      <c r="G112" s="189">
        <f>F112/$F$7</f>
        <v>2.0355836277789939E-2</v>
      </c>
      <c r="H112" s="76">
        <f>SUM(H109:H111)</f>
        <v>6.2200000000000006</v>
      </c>
      <c r="I112" s="26">
        <f>SUM(I109:I111)</f>
        <v>19.66</v>
      </c>
      <c r="J112" s="189">
        <f>I112/$I$7</f>
        <v>4.1160706808475001E-2</v>
      </c>
      <c r="K112" s="106">
        <f>I112-H112</f>
        <v>13.44</v>
      </c>
      <c r="L112" s="190">
        <f>K112/H112</f>
        <v>2.160771704180064</v>
      </c>
      <c r="M112" s="190">
        <f>I112/F112</f>
        <v>0.43142418257625625</v>
      </c>
      <c r="N112" s="194"/>
      <c r="O112" s="197"/>
    </row>
    <row r="113" spans="2:15">
      <c r="B113" s="41"/>
      <c r="C113" s="41"/>
      <c r="D113" s="41"/>
      <c r="E113" s="41"/>
      <c r="G113" s="41"/>
      <c r="H113" s="221"/>
      <c r="K113" s="41"/>
      <c r="L113" s="41"/>
      <c r="M113" s="41"/>
      <c r="N113" s="194"/>
      <c r="O113" s="195"/>
    </row>
    <row r="114" spans="2:15">
      <c r="B114" s="237"/>
      <c r="C114" s="222"/>
      <c r="D114" s="222"/>
      <c r="E114" s="222"/>
      <c r="F114" s="32"/>
      <c r="G114" s="222"/>
      <c r="H114" s="223"/>
      <c r="I114" s="32"/>
      <c r="J114" s="32"/>
      <c r="K114" s="222"/>
      <c r="L114" s="222"/>
      <c r="M114" s="222"/>
      <c r="N114" s="194"/>
      <c r="O114" s="195"/>
    </row>
    <row r="115" spans="2:15">
      <c r="B115" s="32"/>
      <c r="C115" s="238"/>
      <c r="D115" s="239"/>
      <c r="E115" s="32"/>
      <c r="F115" s="238"/>
      <c r="G115" s="240"/>
      <c r="H115" s="241"/>
      <c r="I115" s="32"/>
      <c r="J115" s="240"/>
      <c r="K115" s="238"/>
      <c r="L115" s="242"/>
      <c r="M115" s="242"/>
      <c r="N115" s="194"/>
      <c r="O115" s="196"/>
    </row>
    <row r="116" spans="2:15">
      <c r="B116" s="32"/>
      <c r="C116" s="238"/>
      <c r="D116" s="239"/>
      <c r="E116" s="32"/>
      <c r="F116" s="32"/>
      <c r="G116" s="240"/>
      <c r="H116" s="243"/>
      <c r="I116" s="238"/>
      <c r="J116" s="240"/>
      <c r="K116" s="238"/>
      <c r="L116" s="242"/>
      <c r="M116" s="242"/>
      <c r="N116" s="194"/>
      <c r="O116" s="196"/>
    </row>
    <row r="117" spans="2:15">
      <c r="B117" s="195"/>
      <c r="C117" s="32"/>
      <c r="D117" s="239"/>
      <c r="E117" s="32"/>
      <c r="F117" s="32"/>
      <c r="G117" s="240"/>
      <c r="H117" s="241"/>
      <c r="I117" s="238"/>
      <c r="J117" s="240"/>
      <c r="K117" s="238"/>
      <c r="L117" s="242"/>
      <c r="M117" s="242"/>
      <c r="N117" s="194"/>
      <c r="O117" s="196"/>
    </row>
    <row r="118" spans="2:15">
      <c r="B118" s="244"/>
      <c r="C118" s="245"/>
      <c r="D118" s="246"/>
      <c r="E118" s="244"/>
      <c r="F118" s="244"/>
      <c r="G118" s="247"/>
      <c r="H118" s="248"/>
      <c r="I118" s="244"/>
      <c r="J118" s="247"/>
      <c r="K118" s="245"/>
      <c r="L118" s="249"/>
      <c r="M118" s="249"/>
      <c r="N118" s="194"/>
      <c r="O118" s="197"/>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04" right="0.31496062992126" top="1.143700787" bottom="0.15748031496063"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H89" sqref="H89"/>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271</v>
      </c>
      <c r="C1" s="36"/>
    </row>
    <row r="2" spans="1:14">
      <c r="K2" s="36" t="s">
        <v>142</v>
      </c>
    </row>
    <row r="3" spans="1:14" s="36" customFormat="1" ht="15" customHeight="1">
      <c r="B3" s="327" t="s">
        <v>143</v>
      </c>
      <c r="C3" s="331" t="s">
        <v>288</v>
      </c>
      <c r="D3" s="333" t="str">
        <f>'PU Wise OWE'!$B$7</f>
        <v>Actuals upto April-23</v>
      </c>
      <c r="E3" s="331" t="s">
        <v>165</v>
      </c>
      <c r="F3" s="331"/>
      <c r="G3" s="346" t="str">
        <f>'PU Wise OWE'!$B$5</f>
        <v xml:space="preserve">VOA 2024-25 </v>
      </c>
      <c r="H3" s="331" t="s">
        <v>295</v>
      </c>
      <c r="I3" s="333" t="str">
        <f>'PU Wise OWE'!B8</f>
        <v>Actuals upto April-24</v>
      </c>
      <c r="J3" s="331" t="s">
        <v>197</v>
      </c>
      <c r="K3" s="335" t="s">
        <v>139</v>
      </c>
      <c r="L3" s="335"/>
      <c r="M3" s="344" t="s">
        <v>300</v>
      </c>
      <c r="N3" s="340"/>
    </row>
    <row r="4" spans="1:14" ht="15.6" customHeight="1">
      <c r="A4" s="31"/>
      <c r="B4" s="328"/>
      <c r="C4" s="332"/>
      <c r="D4" s="332"/>
      <c r="E4" s="332"/>
      <c r="F4" s="332"/>
      <c r="G4" s="328"/>
      <c r="H4" s="332"/>
      <c r="I4" s="332"/>
      <c r="J4" s="332"/>
      <c r="K4" s="19" t="s">
        <v>137</v>
      </c>
      <c r="L4" s="18" t="s">
        <v>138</v>
      </c>
      <c r="M4" s="344"/>
      <c r="N4" s="340"/>
    </row>
    <row r="5" spans="1:14">
      <c r="A5" s="31"/>
      <c r="B5" s="63" t="s">
        <v>140</v>
      </c>
      <c r="C5" s="22">
        <v>4575.6000000000004</v>
      </c>
      <c r="D5" s="72">
        <f>ROUND('PU Wise OWE'!$AD$128/10000,2)</f>
        <v>271.39</v>
      </c>
      <c r="E5" s="68">
        <f>D5/D7</f>
        <v>0.6976606683804627</v>
      </c>
      <c r="F5" s="68"/>
      <c r="G5" s="22">
        <f>ROUND('PU Wise OWE'!$AD$126/10000,2)</f>
        <v>1465.83</v>
      </c>
      <c r="H5" s="68">
        <f>G5/G7</f>
        <v>0.65477716679993025</v>
      </c>
      <c r="I5" s="23">
        <f>ROUND('PU Wise OWE'!$AD$129/10000,2)</f>
        <v>285.75</v>
      </c>
      <c r="J5" s="24">
        <f>I5/$I$7</f>
        <v>0.60935300891372035</v>
      </c>
      <c r="K5" s="22">
        <f>I5-D5</f>
        <v>14.360000000000014</v>
      </c>
      <c r="L5" s="54">
        <f>K5/D5</f>
        <v>5.2912782342754025E-2</v>
      </c>
      <c r="M5" s="54">
        <f>I5/G5</f>
        <v>0.19494075029164365</v>
      </c>
    </row>
    <row r="6" spans="1:14">
      <c r="A6" s="31"/>
      <c r="B6" s="80" t="s">
        <v>136</v>
      </c>
      <c r="C6" s="21">
        <v>3242.41</v>
      </c>
      <c r="D6" s="72">
        <f>D7-D5</f>
        <v>117.61000000000001</v>
      </c>
      <c r="E6" s="68">
        <f>D6/D7</f>
        <v>0.3023393316195373</v>
      </c>
      <c r="F6" s="68"/>
      <c r="G6" s="21">
        <f>G7-G5</f>
        <v>772.84000000000015</v>
      </c>
      <c r="H6" s="68">
        <f>G6/G7</f>
        <v>0.34522283320006975</v>
      </c>
      <c r="I6" s="21">
        <f>I7-I5</f>
        <v>183.19</v>
      </c>
      <c r="J6" s="24">
        <f>I6/$I$7</f>
        <v>0.3906469910862797</v>
      </c>
      <c r="K6" s="22">
        <f>I6-D6</f>
        <v>65.579999999999984</v>
      </c>
      <c r="L6" s="54">
        <f>K6/D6</f>
        <v>0.55760564577841998</v>
      </c>
      <c r="M6" s="54">
        <f>I6/G6</f>
        <v>0.23703483256560215</v>
      </c>
    </row>
    <row r="7" spans="1:14">
      <c r="A7" s="31"/>
      <c r="B7" s="27" t="s">
        <v>163</v>
      </c>
      <c r="C7" s="106">
        <f>SUM(C5:C6)</f>
        <v>7818.01</v>
      </c>
      <c r="D7" s="73">
        <f>ROUND('PU Wise OWE'!BK128/10000,2)</f>
        <v>389</v>
      </c>
      <c r="E7" s="69">
        <f>SUM(E5:E6)</f>
        <v>1</v>
      </c>
      <c r="F7" s="69"/>
      <c r="G7" s="26">
        <f>ROUND('PU Wise OWE'!BK126/10000,2)</f>
        <v>2238.67</v>
      </c>
      <c r="H7" s="69">
        <f>SUM(H5:H6)</f>
        <v>1</v>
      </c>
      <c r="I7" s="25">
        <f>ROUND('PU Wise OWE'!BK129/10000,2)</f>
        <v>468.94</v>
      </c>
      <c r="J7" s="56">
        <f>I7/$I$7</f>
        <v>1</v>
      </c>
      <c r="K7" s="26">
        <f>I7-D7</f>
        <v>79.94</v>
      </c>
      <c r="L7" s="57">
        <f>K7/D7</f>
        <v>0.20550128534704371</v>
      </c>
      <c r="M7" s="54">
        <f>I7/G7</f>
        <v>0.20947258863521645</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164</v>
      </c>
      <c r="C10" s="64"/>
      <c r="D10" s="75"/>
      <c r="E10" s="65"/>
      <c r="F10" s="65"/>
      <c r="G10" s="65"/>
      <c r="H10" s="65"/>
      <c r="I10" s="65"/>
      <c r="J10" s="65"/>
      <c r="K10" s="36" t="s">
        <v>142</v>
      </c>
    </row>
    <row r="11" spans="1:14" ht="15" customHeight="1">
      <c r="A11" s="31"/>
      <c r="B11" s="325"/>
      <c r="C11" s="325" t="s">
        <v>288</v>
      </c>
      <c r="D11" s="334" t="str">
        <f>'PU Wise OWE'!$B$7</f>
        <v>Actuals upto April-23</v>
      </c>
      <c r="E11" s="325" t="s">
        <v>165</v>
      </c>
      <c r="F11" s="325"/>
      <c r="G11" s="347" t="str">
        <f>'PU Wise OWE'!$B$5</f>
        <v xml:space="preserve">VOA 2024-25 </v>
      </c>
      <c r="H11" s="325" t="s">
        <v>295</v>
      </c>
      <c r="I11" s="334" t="str">
        <f>'PU Wise OWE'!B8</f>
        <v>Actuals upto April-24</v>
      </c>
      <c r="J11" s="325" t="s">
        <v>197</v>
      </c>
      <c r="K11" s="322" t="s">
        <v>139</v>
      </c>
      <c r="L11" s="322"/>
      <c r="M11" s="345" t="s">
        <v>300</v>
      </c>
      <c r="N11" s="340" t="s">
        <v>200</v>
      </c>
    </row>
    <row r="12" spans="1:14" ht="17.25" customHeight="1">
      <c r="A12" s="31"/>
      <c r="B12" s="326"/>
      <c r="C12" s="326"/>
      <c r="D12" s="326"/>
      <c r="E12" s="326"/>
      <c r="F12" s="326"/>
      <c r="G12" s="348"/>
      <c r="H12" s="326"/>
      <c r="I12" s="326"/>
      <c r="J12" s="326"/>
      <c r="K12" s="66" t="s">
        <v>137</v>
      </c>
      <c r="L12" s="67" t="s">
        <v>138</v>
      </c>
      <c r="M12" s="345"/>
      <c r="N12" s="340"/>
    </row>
    <row r="13" spans="1:14">
      <c r="A13" s="31"/>
      <c r="B13" s="20" t="s">
        <v>144</v>
      </c>
      <c r="C13" s="107">
        <v>2522.8000000000002</v>
      </c>
      <c r="D13" s="72">
        <f>ROUND('PU Wise OWE'!$C$128/10000,2)</f>
        <v>104.09</v>
      </c>
      <c r="E13" s="68">
        <f>D13/$D$7</f>
        <v>0.26758354755784064</v>
      </c>
      <c r="F13" s="21"/>
      <c r="G13" s="22">
        <f>ROUND('PU Wise OWE'!$C$126/10000,2)</f>
        <v>612.04999999999995</v>
      </c>
      <c r="H13" s="24">
        <f>G13/$G$7</f>
        <v>0.2733989377621534</v>
      </c>
      <c r="I13" s="23">
        <f>ROUND('PU Wise OWE'!$C$129/10000,2)</f>
        <v>108.79</v>
      </c>
      <c r="J13" s="24">
        <f>I13/$I$7</f>
        <v>0.23199129952659189</v>
      </c>
      <c r="K13" s="22">
        <f t="shared" ref="K13:K28" si="0">I13-D13</f>
        <v>4.7000000000000028</v>
      </c>
      <c r="L13" s="54">
        <f t="shared" ref="L13:L28" si="1">K13/D13</f>
        <v>4.5153232779325612E-2</v>
      </c>
      <c r="M13" s="54">
        <f>I13/G13</f>
        <v>0.17774691610162571</v>
      </c>
    </row>
    <row r="14" spans="1:14">
      <c r="A14" s="31"/>
      <c r="B14" s="20" t="s">
        <v>145</v>
      </c>
      <c r="C14" s="107">
        <v>441.91</v>
      </c>
      <c r="D14" s="72">
        <f>ROUND('PU Wise OWE'!$D$128/10000,2)</f>
        <v>59.89</v>
      </c>
      <c r="E14" s="68">
        <f t="shared" ref="E14:E27" si="2">D14/$D$7</f>
        <v>0.15395886889460153</v>
      </c>
      <c r="F14" s="21"/>
      <c r="G14" s="22">
        <f>ROUND('PU Wise OWE'!$D$126/10000,2)</f>
        <v>371.38</v>
      </c>
      <c r="H14" s="24">
        <f t="shared" ref="H14:H27" si="3">G14/$G$7</f>
        <v>0.165893141910152</v>
      </c>
      <c r="I14" s="23">
        <f>ROUND('PU Wise OWE'!$D$129/10000,2)</f>
        <v>72.2</v>
      </c>
      <c r="J14" s="24">
        <f t="shared" ref="J14:J28" si="4">I14/$I$7</f>
        <v>0.15396425982001963</v>
      </c>
      <c r="K14" s="22">
        <f t="shared" si="0"/>
        <v>12.310000000000002</v>
      </c>
      <c r="L14" s="54">
        <f t="shared" si="1"/>
        <v>0.20554349641008518</v>
      </c>
      <c r="M14" s="54">
        <f t="shared" ref="M14:M27" si="5">I14/G14</f>
        <v>0.1944100382357693</v>
      </c>
    </row>
    <row r="15" spans="1:14">
      <c r="B15" s="23" t="s">
        <v>166</v>
      </c>
      <c r="C15" s="22">
        <v>98.2</v>
      </c>
      <c r="D15" s="72">
        <f>ROUND('PU Wise OWE'!$E$128/10000,2)</f>
        <v>0.01</v>
      </c>
      <c r="E15" s="68">
        <f t="shared" si="2"/>
        <v>2.5706940874035991E-5</v>
      </c>
      <c r="F15" s="21"/>
      <c r="G15" s="22">
        <f>ROUND('PU Wise OWE'!$E$126/10000,2)</f>
        <v>0</v>
      </c>
      <c r="H15" s="24">
        <f t="shared" si="3"/>
        <v>0</v>
      </c>
      <c r="I15" s="23">
        <f>ROUND('PU Wise OWE'!$E$129/10000,2)</f>
        <v>0.04</v>
      </c>
      <c r="J15" s="24">
        <f t="shared" si="4"/>
        <v>8.5298758903057959E-5</v>
      </c>
      <c r="K15" s="22">
        <f t="shared" si="0"/>
        <v>0.03</v>
      </c>
      <c r="L15" s="54">
        <f t="shared" si="1"/>
        <v>3</v>
      </c>
      <c r="M15" s="54" t="e">
        <f t="shared" si="5"/>
        <v>#DIV/0!</v>
      </c>
    </row>
    <row r="16" spans="1:14">
      <c r="B16" s="23" t="s">
        <v>167</v>
      </c>
      <c r="C16" s="22">
        <v>264.85000000000002</v>
      </c>
      <c r="D16" s="72">
        <f>ROUND('PU Wise OWE'!$F$128/10000,2)</f>
        <v>11.98</v>
      </c>
      <c r="E16" s="68">
        <f t="shared" si="2"/>
        <v>3.0796915167095117E-2</v>
      </c>
      <c r="F16" s="21"/>
      <c r="G16" s="22">
        <f>ROUND('PU Wise OWE'!$F$126/10000,2)</f>
        <v>84.25</v>
      </c>
      <c r="H16" s="24">
        <f t="shared" si="3"/>
        <v>3.7633952302036477E-2</v>
      </c>
      <c r="I16" s="23">
        <f>ROUND('PU Wise OWE'!$F$129/10000,2)</f>
        <v>12.88</v>
      </c>
      <c r="J16" s="24">
        <f t="shared" si="4"/>
        <v>2.7466200366784665E-2</v>
      </c>
      <c r="K16" s="22">
        <f t="shared" si="0"/>
        <v>0.90000000000000036</v>
      </c>
      <c r="L16" s="54">
        <f t="shared" si="1"/>
        <v>7.5125208681135258E-2</v>
      </c>
      <c r="M16" s="54">
        <f t="shared" si="5"/>
        <v>0.15287833827893177</v>
      </c>
    </row>
    <row r="17" spans="1:14">
      <c r="B17" s="23" t="s">
        <v>168</v>
      </c>
      <c r="C17" s="22">
        <v>134.78</v>
      </c>
      <c r="D17" s="72">
        <f>ROUND('PU Wise OWE'!$G$128/10000,2)</f>
        <v>8.65</v>
      </c>
      <c r="E17" s="68">
        <f t="shared" si="2"/>
        <v>2.2236503856041132E-2</v>
      </c>
      <c r="F17" s="21"/>
      <c r="G17" s="22">
        <f>ROUND('PU Wise OWE'!$G$126/10000,2)</f>
        <v>51.95</v>
      </c>
      <c r="H17" s="24">
        <f t="shared" si="3"/>
        <v>2.3205742695439704E-2</v>
      </c>
      <c r="I17" s="23">
        <f>ROUND('PU Wise OWE'!$G$129/10000,2)</f>
        <v>9.8000000000000007</v>
      </c>
      <c r="J17" s="24">
        <f t="shared" si="4"/>
        <v>2.0898195931249201E-2</v>
      </c>
      <c r="K17" s="22">
        <f t="shared" si="0"/>
        <v>1.1500000000000004</v>
      </c>
      <c r="L17" s="54">
        <f t="shared" si="1"/>
        <v>0.13294797687861276</v>
      </c>
      <c r="M17" s="54">
        <f t="shared" si="5"/>
        <v>0.18864292589027912</v>
      </c>
    </row>
    <row r="18" spans="1:14">
      <c r="A18" s="31"/>
      <c r="B18" s="20" t="s">
        <v>146</v>
      </c>
      <c r="C18" s="107">
        <v>247.05</v>
      </c>
      <c r="D18" s="72">
        <f>ROUND('PU Wise OWE'!$H$128/10000,2)</f>
        <v>15.35</v>
      </c>
      <c r="E18" s="68">
        <f t="shared" si="2"/>
        <v>3.9460154241645243E-2</v>
      </c>
      <c r="F18" s="21"/>
      <c r="G18" s="22">
        <f>ROUND('PU Wise OWE'!$H$126/10000,2)</f>
        <v>80.98</v>
      </c>
      <c r="H18" s="24">
        <f t="shared" si="3"/>
        <v>3.6173263589542003E-2</v>
      </c>
      <c r="I18" s="23">
        <f>ROUND('PU Wise OWE'!$H$129/10000,2)</f>
        <v>17.66</v>
      </c>
      <c r="J18" s="24">
        <f t="shared" si="4"/>
        <v>3.7659402055700092E-2</v>
      </c>
      <c r="K18" s="22">
        <f t="shared" si="0"/>
        <v>2.3100000000000005</v>
      </c>
      <c r="L18" s="54">
        <f t="shared" si="1"/>
        <v>0.15048859934853423</v>
      </c>
      <c r="M18" s="54">
        <f t="shared" si="5"/>
        <v>0.2180785379105952</v>
      </c>
    </row>
    <row r="19" spans="1:14" ht="45" customHeight="1">
      <c r="A19" s="31"/>
      <c r="B19" s="58" t="s">
        <v>147</v>
      </c>
      <c r="C19" s="108">
        <v>188.24</v>
      </c>
      <c r="D19" s="72">
        <f>ROUND('PU Wise OWE'!$J$128/10000,2)</f>
        <v>24.19</v>
      </c>
      <c r="E19" s="68">
        <f t="shared" si="2"/>
        <v>6.2185089974293062E-2</v>
      </c>
      <c r="F19" s="21"/>
      <c r="G19" s="22">
        <f>ROUND('PU Wise OWE'!$J$126/10000,2)</f>
        <v>83.58</v>
      </c>
      <c r="H19" s="24">
        <f t="shared" si="3"/>
        <v>3.7334667458803664E-2</v>
      </c>
      <c r="I19" s="23">
        <f>ROUND('PU Wise OWE'!$J$129/10000,2)</f>
        <v>15.42</v>
      </c>
      <c r="J19" s="24">
        <f t="shared" si="4"/>
        <v>3.2882671557128845E-2</v>
      </c>
      <c r="K19" s="22">
        <f t="shared" si="0"/>
        <v>-8.7700000000000014</v>
      </c>
      <c r="L19" s="54">
        <f t="shared" si="1"/>
        <v>-0.36254650682100042</v>
      </c>
      <c r="M19" s="54">
        <f t="shared" si="5"/>
        <v>0.18449389806173727</v>
      </c>
      <c r="N19" s="71"/>
    </row>
    <row r="20" spans="1:14">
      <c r="A20" s="31"/>
      <c r="B20" s="20" t="s">
        <v>148</v>
      </c>
      <c r="C20" s="107">
        <v>12.03</v>
      </c>
      <c r="D20" s="72">
        <f>ROUND('PU Wise OWE'!$K$128/10000,2)</f>
        <v>0.91</v>
      </c>
      <c r="E20" s="68">
        <f t="shared" si="2"/>
        <v>2.3393316195372753E-3</v>
      </c>
      <c r="F20" s="21"/>
      <c r="G20" s="22">
        <f>ROUND('PU Wise OWE'!$K$126/10000,2)</f>
        <v>4.8499999999999996</v>
      </c>
      <c r="H20" s="24">
        <f t="shared" si="3"/>
        <v>2.1664649099688653E-3</v>
      </c>
      <c r="I20" s="23">
        <f>ROUND('PU Wise OWE'!$K$129/10000,2)</f>
        <v>0.76</v>
      </c>
      <c r="J20" s="24">
        <f t="shared" si="4"/>
        <v>1.6206764191581012E-3</v>
      </c>
      <c r="K20" s="22">
        <f t="shared" si="0"/>
        <v>-0.15000000000000002</v>
      </c>
      <c r="L20" s="54">
        <f t="shared" si="1"/>
        <v>-0.16483516483516486</v>
      </c>
      <c r="M20" s="54">
        <f t="shared" si="5"/>
        <v>0.15670103092783508</v>
      </c>
    </row>
    <row r="21" spans="1:14">
      <c r="A21" s="31"/>
      <c r="B21" s="20" t="s">
        <v>149</v>
      </c>
      <c r="C21" s="107">
        <v>48.93</v>
      </c>
      <c r="D21" s="72">
        <f>ROUND('PU Wise OWE'!$L$128/10000,2)</f>
        <v>6.98</v>
      </c>
      <c r="E21" s="68">
        <f t="shared" si="2"/>
        <v>1.7943444730077123E-2</v>
      </c>
      <c r="F21" s="21"/>
      <c r="G21" s="22">
        <f>ROUND('PU Wise OWE'!$L$126/10000,2)</f>
        <v>19.3</v>
      </c>
      <c r="H21" s="24">
        <f t="shared" si="3"/>
        <v>8.6211902602884756E-3</v>
      </c>
      <c r="I21" s="23">
        <f>ROUND('PU Wise OWE'!$L$129/10000,2)</f>
        <v>4.45</v>
      </c>
      <c r="J21" s="24">
        <f t="shared" si="4"/>
        <v>9.4894869279651978E-3</v>
      </c>
      <c r="K21" s="22">
        <f t="shared" si="0"/>
        <v>-2.5300000000000002</v>
      </c>
      <c r="L21" s="54">
        <f t="shared" si="1"/>
        <v>-0.36246418338108882</v>
      </c>
      <c r="M21" s="54">
        <f t="shared" si="5"/>
        <v>0.23056994818652851</v>
      </c>
      <c r="N21" s="71"/>
    </row>
    <row r="22" spans="1:14">
      <c r="A22" s="31"/>
      <c r="B22" s="20" t="s">
        <v>171</v>
      </c>
      <c r="C22" s="107">
        <v>120.4</v>
      </c>
      <c r="D22" s="72">
        <f>ROUND('PU Wise OWE'!$M$128/10000,2)</f>
        <v>6.15</v>
      </c>
      <c r="E22" s="68">
        <f t="shared" si="2"/>
        <v>1.5809768637532133E-2</v>
      </c>
      <c r="F22" s="21"/>
      <c r="G22" s="22">
        <f>ROUND('PU Wise OWE'!$M$126/10000,2)</f>
        <v>36.68</v>
      </c>
      <c r="H22" s="24">
        <f t="shared" si="3"/>
        <v>1.6384728432506799E-2</v>
      </c>
      <c r="I22" s="23">
        <f>ROUND('PU Wise OWE'!$M$129/10000,2)</f>
        <v>5.88</v>
      </c>
      <c r="J22" s="24">
        <f t="shared" si="4"/>
        <v>1.2538917558749521E-2</v>
      </c>
      <c r="K22" s="22">
        <f t="shared" si="0"/>
        <v>-0.27000000000000046</v>
      </c>
      <c r="L22" s="54">
        <f t="shared" si="1"/>
        <v>-4.3902439024390318E-2</v>
      </c>
      <c r="M22" s="54">
        <f t="shared" si="5"/>
        <v>0.16030534351145037</v>
      </c>
      <c r="N22" s="71"/>
    </row>
    <row r="23" spans="1:14">
      <c r="A23" s="31"/>
      <c r="B23" s="58" t="s">
        <v>150</v>
      </c>
      <c r="C23" s="108">
        <v>88.73</v>
      </c>
      <c r="D23" s="72">
        <f>ROUND('PU Wise OWE'!$P$128/10000,2)</f>
        <v>10.93</v>
      </c>
      <c r="E23" s="68">
        <f t="shared" si="2"/>
        <v>2.8097686375321337E-2</v>
      </c>
      <c r="F23" s="21"/>
      <c r="G23" s="22">
        <f>ROUND('PU Wise OWE'!$P$126/10000,2)</f>
        <v>29.51</v>
      </c>
      <c r="H23" s="24">
        <f t="shared" si="3"/>
        <v>1.318193391611984E-2</v>
      </c>
      <c r="I23" s="23">
        <f>ROUND('PU Wise OWE'!$P$129/10000,2)</f>
        <v>5.78</v>
      </c>
      <c r="J23" s="24">
        <f t="shared" si="4"/>
        <v>1.2325670661491876E-2</v>
      </c>
      <c r="K23" s="22">
        <f t="shared" si="0"/>
        <v>-5.1499999999999995</v>
      </c>
      <c r="L23" s="54">
        <f t="shared" si="1"/>
        <v>-0.4711802378774016</v>
      </c>
      <c r="M23" s="54">
        <f t="shared" si="5"/>
        <v>0.19586580820060995</v>
      </c>
    </row>
    <row r="24" spans="1:14">
      <c r="B24" s="58" t="s">
        <v>151</v>
      </c>
      <c r="C24" s="108">
        <v>81.78</v>
      </c>
      <c r="D24" s="72">
        <f>ROUND('PU Wise OWE'!$S$128/10000,2)</f>
        <v>5.17</v>
      </c>
      <c r="E24" s="68">
        <f t="shared" si="2"/>
        <v>1.3290488431876607E-2</v>
      </c>
      <c r="F24" s="21"/>
      <c r="G24" s="22">
        <f>ROUND('PU Wise OWE'!$S$126/10000,2)</f>
        <v>44.34</v>
      </c>
      <c r="H24" s="24">
        <f t="shared" si="3"/>
        <v>1.9806402908870001E-2</v>
      </c>
      <c r="I24" s="23">
        <f>ROUND('PU Wise OWE'!$S$129/10000,2)</f>
        <v>1.45</v>
      </c>
      <c r="J24" s="24">
        <f t="shared" si="4"/>
        <v>3.0920800102358509E-3</v>
      </c>
      <c r="K24" s="22">
        <f t="shared" si="0"/>
        <v>-3.7199999999999998</v>
      </c>
      <c r="L24" s="54">
        <f t="shared" si="1"/>
        <v>-0.71953578336557056</v>
      </c>
      <c r="M24" s="54">
        <f t="shared" si="5"/>
        <v>3.2701849345963006E-2</v>
      </c>
      <c r="N24" s="71"/>
    </row>
    <row r="25" spans="1:14">
      <c r="B25" s="58" t="s">
        <v>152</v>
      </c>
      <c r="C25" s="108">
        <v>90.5</v>
      </c>
      <c r="D25" s="72">
        <f>ROUND('PU Wise OWE'!$T$128/10000,2)</f>
        <v>13.35</v>
      </c>
      <c r="E25" s="68">
        <f t="shared" si="2"/>
        <v>3.4318766066838043E-2</v>
      </c>
      <c r="F25" s="21"/>
      <c r="G25" s="22">
        <f>ROUND('PU Wise OWE'!$T$126/10000,2)</f>
        <v>22.73</v>
      </c>
      <c r="H25" s="24">
        <f t="shared" si="3"/>
        <v>1.0153349980122127E-2</v>
      </c>
      <c r="I25" s="23">
        <f>ROUND('PU Wise OWE'!$T$129/10000,2)</f>
        <v>23.18</v>
      </c>
      <c r="J25" s="24">
        <f t="shared" si="4"/>
        <v>4.943063078432209E-2</v>
      </c>
      <c r="K25" s="22">
        <f t="shared" si="0"/>
        <v>9.83</v>
      </c>
      <c r="L25" s="54">
        <f t="shared" si="1"/>
        <v>0.73632958801498127</v>
      </c>
      <c r="M25" s="54">
        <f t="shared" si="5"/>
        <v>1.0197976242850857</v>
      </c>
    </row>
    <row r="26" spans="1:14">
      <c r="B26" s="58" t="s">
        <v>170</v>
      </c>
      <c r="C26" s="108">
        <v>41.07</v>
      </c>
      <c r="D26" s="72">
        <f>ROUND('PU Wise OWE'!$V$128/10000,2)</f>
        <v>0.43</v>
      </c>
      <c r="E26" s="68">
        <f t="shared" si="2"/>
        <v>1.1053984575835475E-3</v>
      </c>
      <c r="F26" s="22"/>
      <c r="G26" s="22">
        <f>ROUND('PU Wise OWE'!$V$126/10000,2)</f>
        <v>3.83</v>
      </c>
      <c r="H26" s="24">
        <f t="shared" si="3"/>
        <v>1.7108372381815988E-3</v>
      </c>
      <c r="I26" s="23">
        <f>ROUND('PU Wise OWE'!$V$129/10000,2)</f>
        <v>1</v>
      </c>
      <c r="J26" s="24">
        <f t="shared" si="4"/>
        <v>2.1324689725764488E-3</v>
      </c>
      <c r="K26" s="22">
        <f t="shared" si="0"/>
        <v>0.57000000000000006</v>
      </c>
      <c r="L26" s="54">
        <f t="shared" si="1"/>
        <v>1.3255813953488373</v>
      </c>
      <c r="M26" s="54">
        <f t="shared" si="5"/>
        <v>0.2610966057441253</v>
      </c>
      <c r="N26" s="71"/>
    </row>
    <row r="27" spans="1:14">
      <c r="B27" s="58" t="s">
        <v>169</v>
      </c>
      <c r="C27" s="108">
        <v>169.78</v>
      </c>
      <c r="D27" s="72">
        <f>ROUND('PU Wise OWE'!$AC$128/10000,2)</f>
        <v>1.1000000000000001</v>
      </c>
      <c r="E27" s="68">
        <f t="shared" si="2"/>
        <v>2.8277634961439589E-3</v>
      </c>
      <c r="F27" s="22"/>
      <c r="G27" s="22">
        <f>ROUND('PU Wise OWE'!$AC$126/10000,2)</f>
        <v>10.37</v>
      </c>
      <c r="H27" s="24">
        <f t="shared" si="3"/>
        <v>4.6322146631705427E-3</v>
      </c>
      <c r="I27" s="23">
        <f>ROUND('PU Wise OWE'!$AC$129/10000,2)</f>
        <v>4.09</v>
      </c>
      <c r="J27" s="24">
        <f t="shared" si="4"/>
        <v>8.7217980978376766E-3</v>
      </c>
      <c r="K27" s="22">
        <f t="shared" si="0"/>
        <v>2.9899999999999998</v>
      </c>
      <c r="L27" s="54">
        <f t="shared" si="1"/>
        <v>2.7181818181818178</v>
      </c>
      <c r="M27" s="54">
        <f t="shared" si="5"/>
        <v>0.39440694310511093</v>
      </c>
    </row>
    <row r="28" spans="1:14">
      <c r="B28" s="25" t="s">
        <v>141</v>
      </c>
      <c r="C28" s="26">
        <f>SUM(C13:C27)</f>
        <v>4551.0499999999993</v>
      </c>
      <c r="D28" s="76">
        <f>SUM(D13:D27)</f>
        <v>269.18</v>
      </c>
      <c r="E28" s="56">
        <f>SUM(E13:E27)</f>
        <v>0.69197943444730081</v>
      </c>
      <c r="F28" s="26"/>
      <c r="G28" s="26">
        <f>G5</f>
        <v>1465.83</v>
      </c>
      <c r="H28" s="56">
        <f>SUM(H13:H27)</f>
        <v>0.65029682802735556</v>
      </c>
      <c r="I28" s="26">
        <f>SUM(I13:I27)</f>
        <v>283.37999999999994</v>
      </c>
      <c r="J28" s="56">
        <f t="shared" si="4"/>
        <v>0.60429905744871404</v>
      </c>
      <c r="K28" s="26">
        <f t="shared" si="0"/>
        <v>14.199999999999932</v>
      </c>
      <c r="L28" s="57">
        <f t="shared" si="1"/>
        <v>5.2752804814621933E-2</v>
      </c>
    </row>
    <row r="29" spans="1:14">
      <c r="I29" s="70"/>
      <c r="J29" s="70"/>
    </row>
    <row r="31" spans="1:14">
      <c r="B31" s="77" t="s">
        <v>172</v>
      </c>
      <c r="C31" s="77"/>
      <c r="D31" s="78"/>
      <c r="E31" s="79"/>
      <c r="K31" t="s">
        <v>142</v>
      </c>
    </row>
    <row r="32" spans="1:14" ht="15" customHeight="1">
      <c r="B32" s="292"/>
      <c r="C32" s="316" t="s">
        <v>288</v>
      </c>
      <c r="D32" s="321" t="str">
        <f>'PU Wise OWE'!$B$7</f>
        <v>Actuals upto April-23</v>
      </c>
      <c r="E32" s="316" t="s">
        <v>165</v>
      </c>
      <c r="F32" s="316"/>
      <c r="G32" s="341" t="str">
        <f>'PU Wise OWE'!$B$5</f>
        <v xml:space="preserve">VOA 2024-25 </v>
      </c>
      <c r="H32" s="316" t="s">
        <v>295</v>
      </c>
      <c r="I32" s="321" t="str">
        <f>'PU Wise OWE'!B8</f>
        <v>Actuals upto April-24</v>
      </c>
      <c r="J32" s="316" t="s">
        <v>197</v>
      </c>
      <c r="K32" s="289" t="s">
        <v>139</v>
      </c>
      <c r="L32" s="289"/>
      <c r="M32" s="292" t="s">
        <v>300</v>
      </c>
      <c r="N32" s="340" t="s">
        <v>200</v>
      </c>
    </row>
    <row r="33" spans="2:14" ht="17.25" customHeight="1">
      <c r="B33" s="292"/>
      <c r="C33" s="317"/>
      <c r="D33" s="317"/>
      <c r="E33" s="317"/>
      <c r="F33" s="317"/>
      <c r="G33" s="342"/>
      <c r="H33" s="317"/>
      <c r="I33" s="317"/>
      <c r="J33" s="317"/>
      <c r="K33" s="81" t="s">
        <v>137</v>
      </c>
      <c r="L33" s="82" t="s">
        <v>138</v>
      </c>
      <c r="M33" s="292"/>
      <c r="N33" s="340"/>
    </row>
    <row r="34" spans="2:14">
      <c r="B34" s="86" t="s">
        <v>173</v>
      </c>
      <c r="C34" s="109">
        <v>10.44</v>
      </c>
      <c r="D34" s="72">
        <f>ROUND(('PU Wise OWE'!$AE$128+'PU Wise OWE'!$AF$128)/10000,2)</f>
        <v>0.16</v>
      </c>
      <c r="E34" s="87">
        <f>D34/$D$7</f>
        <v>4.1131105398457585E-4</v>
      </c>
      <c r="F34" s="21"/>
      <c r="G34" s="22">
        <f>ROUND(('PU Wise OWE'!$AE$126+'PU Wise OWE'!$AF$126)/10000,2)</f>
        <v>0.84</v>
      </c>
      <c r="H34" s="24">
        <f>G34/$G$7</f>
        <v>3.7522278853069005E-4</v>
      </c>
      <c r="I34" s="23">
        <f>ROUND(('PU Wise OWE'!$AE$129+'PU Wise OWE'!$AF$129)/10000,2)</f>
        <v>0.15</v>
      </c>
      <c r="J34" s="24">
        <f>I34/$I$7</f>
        <v>3.1987034588646735E-4</v>
      </c>
      <c r="K34" s="22">
        <f>I34-D34</f>
        <v>-1.0000000000000009E-2</v>
      </c>
      <c r="L34" s="54">
        <f>K34/D34</f>
        <v>-6.2500000000000056E-2</v>
      </c>
      <c r="M34" s="54">
        <f>I34/G34</f>
        <v>0.17857142857142858</v>
      </c>
      <c r="N34" s="343"/>
    </row>
    <row r="35" spans="2:14" ht="16.5" customHeight="1">
      <c r="B35" s="86" t="s">
        <v>174</v>
      </c>
      <c r="C35" s="109">
        <v>21.76</v>
      </c>
      <c r="D35" s="72">
        <f>ROUND('PU Wise OWE'!$AG$128/10000,2)</f>
        <v>0.62</v>
      </c>
      <c r="E35" s="87">
        <f>D35/$D$7</f>
        <v>1.5938303341902313E-3</v>
      </c>
      <c r="F35" s="21"/>
      <c r="G35" s="22">
        <f>ROUND('PU Wise OWE'!$AG$126/10000,2)</f>
        <v>2.58</v>
      </c>
      <c r="H35" s="24">
        <f>G35/$G$7</f>
        <v>1.1524699933442625E-3</v>
      </c>
      <c r="I35" s="23">
        <f>ROUND('PU Wise OWE'!$AG$129/10000,2)</f>
        <v>0.95</v>
      </c>
      <c r="J35" s="24">
        <f>I35/$I$7</f>
        <v>2.0258455239476267E-3</v>
      </c>
      <c r="K35" s="22">
        <f>I35-D35</f>
        <v>0.32999999999999996</v>
      </c>
      <c r="L35" s="54">
        <f>K35/D35</f>
        <v>0.532258064516129</v>
      </c>
      <c r="M35" s="54">
        <f>I35/G35</f>
        <v>0.36821705426356588</v>
      </c>
      <c r="N35" s="343"/>
    </row>
    <row r="36" spans="2:14" ht="15.75" customHeight="1">
      <c r="B36" s="86" t="s">
        <v>175</v>
      </c>
      <c r="C36" s="109">
        <v>2.42</v>
      </c>
      <c r="D36" s="72">
        <f>ROUND('PU Wise OWE'!$AJ$128/10000,2)</f>
        <v>0.06</v>
      </c>
      <c r="E36" s="87">
        <f>D36/$D$7</f>
        <v>1.5424164524421594E-4</v>
      </c>
      <c r="F36" s="21"/>
      <c r="G36" s="22">
        <f>ROUND('PU Wise OWE'!$AJ$126/10000,2)</f>
        <v>1.1000000000000001</v>
      </c>
      <c r="H36" s="24">
        <f>G36/$G$7</f>
        <v>4.9136317545685605E-4</v>
      </c>
      <c r="I36" s="23">
        <f>ROUND('PU Wise OWE'!$AJ$129/10000,2)</f>
        <v>0.22</v>
      </c>
      <c r="J36" s="24">
        <f>I36/$I$7</f>
        <v>4.6914317396681881E-4</v>
      </c>
      <c r="K36" s="22">
        <f>I36-D36</f>
        <v>0.16</v>
      </c>
      <c r="L36" s="54">
        <f>K36/D36</f>
        <v>2.666666666666667</v>
      </c>
      <c r="M36" s="54">
        <f>I36/G36</f>
        <v>0.19999999999999998</v>
      </c>
      <c r="N36" s="343"/>
    </row>
    <row r="37" spans="2:14">
      <c r="B37" s="25" t="s">
        <v>141</v>
      </c>
      <c r="C37" s="26">
        <v>34.619999999999997</v>
      </c>
      <c r="D37" s="76">
        <f>SUM(D34:D36)</f>
        <v>0.84000000000000008</v>
      </c>
      <c r="E37" s="88">
        <f>D37/$D$7</f>
        <v>2.1593830334190232E-3</v>
      </c>
      <c r="F37" s="26"/>
      <c r="G37" s="76">
        <f>SUM(G34:G36)</f>
        <v>4.5199999999999996</v>
      </c>
      <c r="H37" s="56">
        <f>G37/$G$7</f>
        <v>2.0190559573318085E-3</v>
      </c>
      <c r="I37" s="76">
        <f>SUM(I34:I36)</f>
        <v>1.3199999999999998</v>
      </c>
      <c r="J37" s="56">
        <f>I37/$I$7</f>
        <v>2.8148590438009124E-3</v>
      </c>
      <c r="K37" s="26">
        <f>I37-D37</f>
        <v>0.47999999999999976</v>
      </c>
      <c r="L37" s="57">
        <f>K37/D37</f>
        <v>0.57142857142857106</v>
      </c>
      <c r="M37" s="54">
        <f>I37/G37</f>
        <v>0.29203539823008851</v>
      </c>
    </row>
    <row r="39" spans="2:14">
      <c r="B39" s="84"/>
      <c r="C39" s="84"/>
      <c r="D39" s="85"/>
      <c r="E39" s="84"/>
      <c r="K39" t="s">
        <v>142</v>
      </c>
    </row>
    <row r="40" spans="2:14" ht="15" customHeight="1">
      <c r="B40" s="292" t="s">
        <v>156</v>
      </c>
      <c r="C40" s="316" t="s">
        <v>288</v>
      </c>
      <c r="D40" s="321" t="str">
        <f>'PU Wise OWE'!$B$7</f>
        <v>Actuals upto April-23</v>
      </c>
      <c r="E40" s="316" t="s">
        <v>165</v>
      </c>
      <c r="F40" s="316"/>
      <c r="G40" s="341" t="str">
        <f>'PU Wise OWE'!$B$5</f>
        <v xml:space="preserve">VOA 2024-25 </v>
      </c>
      <c r="H40" s="316" t="s">
        <v>287</v>
      </c>
      <c r="I40" s="321" t="str">
        <f>'PU Wise OWE'!B8</f>
        <v>Actuals upto April-24</v>
      </c>
      <c r="J40" s="316" t="s">
        <v>197</v>
      </c>
      <c r="K40" s="289" t="s">
        <v>139</v>
      </c>
      <c r="L40" s="289"/>
      <c r="M40" s="292" t="s">
        <v>300</v>
      </c>
      <c r="N40" s="340" t="s">
        <v>200</v>
      </c>
    </row>
    <row r="41" spans="2:14">
      <c r="B41" s="292"/>
      <c r="C41" s="317"/>
      <c r="D41" s="317"/>
      <c r="E41" s="317"/>
      <c r="F41" s="317"/>
      <c r="G41" s="342"/>
      <c r="H41" s="317"/>
      <c r="I41" s="317"/>
      <c r="J41" s="317"/>
      <c r="K41" s="81" t="s">
        <v>137</v>
      </c>
      <c r="L41" s="82" t="s">
        <v>138</v>
      </c>
      <c r="M41" s="292"/>
      <c r="N41" s="340"/>
    </row>
    <row r="42" spans="2:14">
      <c r="B42" s="27" t="s">
        <v>157</v>
      </c>
      <c r="C42" s="106">
        <v>273.47000000000003</v>
      </c>
      <c r="D42" s="72">
        <f>SUM(D43:D47)</f>
        <v>4.57</v>
      </c>
      <c r="E42" s="87">
        <f t="shared" ref="E42:E49" si="6">D42/$D$7</f>
        <v>1.1748071979434447E-2</v>
      </c>
      <c r="F42" s="99"/>
      <c r="G42" s="21">
        <f>SUM(G43:G47)</f>
        <v>12.29</v>
      </c>
      <c r="H42" s="24">
        <f t="shared" ref="H42:H49" si="7">G42/$G$7</f>
        <v>5.4898667512406915E-3</v>
      </c>
      <c r="I42" s="21">
        <f>SUM(I43:I47)</f>
        <v>2.36</v>
      </c>
      <c r="J42" s="24">
        <f t="shared" ref="J42:J49" si="8">I42/$I$7</f>
        <v>5.0326267752804198E-3</v>
      </c>
      <c r="K42" s="22">
        <f t="shared" ref="K42:K49" si="9">I42-D42</f>
        <v>-2.2100000000000004</v>
      </c>
      <c r="L42" s="54">
        <f t="shared" ref="L42:L49" si="10">K42/D42</f>
        <v>-0.48358862144420139</v>
      </c>
      <c r="M42" s="54">
        <f t="shared" ref="M42:M49" si="11">I42/G42</f>
        <v>0.19202603742880392</v>
      </c>
    </row>
    <row r="43" spans="2:14">
      <c r="B43" s="59" t="s">
        <v>153</v>
      </c>
      <c r="C43" s="21">
        <v>19.690000000000001</v>
      </c>
      <c r="D43" s="72">
        <f>ROUND('PU Wise OWE'!$AK$84/10000,2)</f>
        <v>0.02</v>
      </c>
      <c r="E43" s="87">
        <f t="shared" si="6"/>
        <v>5.1413881748071981E-5</v>
      </c>
      <c r="F43" s="99"/>
      <c r="G43" s="21">
        <f>ROUND('PU Wise OWE'!$AK$82/10000,2)</f>
        <v>0.02</v>
      </c>
      <c r="H43" s="24">
        <f t="shared" si="7"/>
        <v>8.9338759173973829E-6</v>
      </c>
      <c r="I43" s="21">
        <f>ROUND('PU Wise OWE'!$AK$85/10000,2)</f>
        <v>0.03</v>
      </c>
      <c r="J43" s="24">
        <f t="shared" si="8"/>
        <v>6.3974069177293472E-5</v>
      </c>
      <c r="K43" s="22">
        <f t="shared" si="9"/>
        <v>9.9999999999999985E-3</v>
      </c>
      <c r="L43" s="54">
        <f t="shared" si="10"/>
        <v>0.49999999999999989</v>
      </c>
      <c r="M43" s="54">
        <f t="shared" si="11"/>
        <v>1.5</v>
      </c>
    </row>
    <row r="44" spans="2:14">
      <c r="B44" s="60" t="s">
        <v>160</v>
      </c>
      <c r="C44" s="110">
        <v>114.4</v>
      </c>
      <c r="D44" s="72">
        <f>ROUND('PU Wise OWE'!$AR$84/10000,2)</f>
        <v>0.45</v>
      </c>
      <c r="E44" s="87">
        <f t="shared" si="6"/>
        <v>1.1568123393316196E-3</v>
      </c>
      <c r="F44" s="99"/>
      <c r="G44" s="21">
        <f>ROUND('PU Wise OWE'!$AR$82/10000,2)</f>
        <v>0.53</v>
      </c>
      <c r="H44" s="24">
        <f t="shared" si="7"/>
        <v>2.3674771181103065E-4</v>
      </c>
      <c r="I44" s="21">
        <f>ROUND('PU Wise OWE'!$AR$85/10000,2)</f>
        <v>0.21</v>
      </c>
      <c r="J44" s="24">
        <f t="shared" si="8"/>
        <v>4.4781848424105427E-4</v>
      </c>
      <c r="K44" s="22">
        <f t="shared" si="9"/>
        <v>-0.24000000000000002</v>
      </c>
      <c r="L44" s="54">
        <f t="shared" si="10"/>
        <v>-0.53333333333333333</v>
      </c>
      <c r="M44" s="54">
        <f t="shared" si="11"/>
        <v>0.39622641509433959</v>
      </c>
    </row>
    <row r="45" spans="2:14">
      <c r="B45" s="60" t="s">
        <v>161</v>
      </c>
      <c r="C45" s="110">
        <v>46.69</v>
      </c>
      <c r="D45" s="72">
        <f>ROUND('PU Wise OWE'!$AU$84/10000,2)</f>
        <v>0.4</v>
      </c>
      <c r="E45" s="87">
        <f t="shared" si="6"/>
        <v>1.0282776349614397E-3</v>
      </c>
      <c r="F45" s="99"/>
      <c r="G45" s="21">
        <f>ROUND('PU Wise OWE'!$AU$82/10000,2)</f>
        <v>0.13</v>
      </c>
      <c r="H45" s="24">
        <f t="shared" si="7"/>
        <v>5.8070193463082995E-5</v>
      </c>
      <c r="I45" s="21">
        <f>ROUND('PU Wise OWE'!$AU$85/10000,2)</f>
        <v>0.15</v>
      </c>
      <c r="J45" s="24">
        <f t="shared" si="8"/>
        <v>3.1987034588646735E-4</v>
      </c>
      <c r="K45" s="22">
        <f t="shared" si="9"/>
        <v>-0.25</v>
      </c>
      <c r="L45" s="54">
        <f t="shared" si="10"/>
        <v>-0.625</v>
      </c>
      <c r="M45" s="54">
        <f t="shared" si="11"/>
        <v>1.1538461538461537</v>
      </c>
    </row>
    <row r="46" spans="2:14">
      <c r="B46" s="59" t="s">
        <v>158</v>
      </c>
      <c r="C46" s="21">
        <v>54.55</v>
      </c>
      <c r="D46" s="72">
        <f>ROUND('PU Wise OWE'!$AZ$84/10000,2)</f>
        <v>0</v>
      </c>
      <c r="E46" s="87">
        <f t="shared" si="6"/>
        <v>0</v>
      </c>
      <c r="F46" s="99"/>
      <c r="G46" s="21">
        <f>ROUND('PU Wise OWE'!$AZ$82/10000,2)</f>
        <v>0</v>
      </c>
      <c r="H46" s="24">
        <f t="shared" si="7"/>
        <v>0</v>
      </c>
      <c r="I46" s="21">
        <f>ROUND('PU Wise OWE'!$AZ$85/10000,2)</f>
        <v>0</v>
      </c>
      <c r="J46" s="24">
        <f t="shared" si="8"/>
        <v>0</v>
      </c>
      <c r="K46" s="22">
        <f t="shared" si="9"/>
        <v>0</v>
      </c>
      <c r="L46" s="54" t="e">
        <f t="shared" si="10"/>
        <v>#DIV/0!</v>
      </c>
      <c r="M46" s="54" t="e">
        <f t="shared" si="11"/>
        <v>#DIV/0!</v>
      </c>
    </row>
    <row r="47" spans="2:14">
      <c r="B47" s="60" t="s">
        <v>159</v>
      </c>
      <c r="C47" s="110">
        <v>38.14</v>
      </c>
      <c r="D47" s="72">
        <f>ROUND('PU Wise OWE'!$BA$84/10000,2)</f>
        <v>3.7</v>
      </c>
      <c r="E47" s="87">
        <f t="shared" si="6"/>
        <v>9.5115681233933162E-3</v>
      </c>
      <c r="F47" s="99"/>
      <c r="G47" s="21">
        <f>ROUND('PU Wise OWE'!$BA$82/10000,2)</f>
        <v>11.61</v>
      </c>
      <c r="H47" s="24">
        <f t="shared" si="7"/>
        <v>5.1861149700491802E-3</v>
      </c>
      <c r="I47" s="21">
        <f>ROUND('PU Wise OWE'!$BA$85/10000,2)</f>
        <v>1.97</v>
      </c>
      <c r="J47" s="24">
        <f t="shared" si="8"/>
        <v>4.2009638759756048E-3</v>
      </c>
      <c r="K47" s="22">
        <f t="shared" si="9"/>
        <v>-1.7300000000000002</v>
      </c>
      <c r="L47" s="54">
        <f t="shared" si="10"/>
        <v>-0.46756756756756762</v>
      </c>
      <c r="M47" s="54">
        <f t="shared" si="11"/>
        <v>0.16968130921619295</v>
      </c>
    </row>
    <row r="48" spans="2:14">
      <c r="B48" s="61" t="s">
        <v>162</v>
      </c>
      <c r="C48" s="105">
        <v>663.48</v>
      </c>
      <c r="D48" s="72">
        <f>ROUND('PU Wise OWE'!$AM$84/10000,2)-ROUND('PU Wise OWE'!$BJ$84/10000,2)</f>
        <v>61.72</v>
      </c>
      <c r="E48" s="87">
        <f t="shared" si="6"/>
        <v>0.15866323907455013</v>
      </c>
      <c r="F48" s="99"/>
      <c r="G48" s="21">
        <f>ROUND('PU Wise OWE'!$AM$82/10000,2)-ROUND('PU Wise OWE'!$BJ$82/10000,2)</f>
        <v>498.07000000000005</v>
      </c>
      <c r="H48" s="24">
        <f t="shared" si="7"/>
        <v>0.22248477890890575</v>
      </c>
      <c r="I48" s="21">
        <f>ROUND('PU Wise OWE'!$AM$85/10000,2)-ROUND('PU Wise OWE'!$BJ$85/10000,2)</f>
        <v>88.34</v>
      </c>
      <c r="J48" s="24">
        <f t="shared" si="8"/>
        <v>0.18838230903740352</v>
      </c>
      <c r="K48" s="22">
        <f t="shared" si="9"/>
        <v>26.620000000000005</v>
      </c>
      <c r="L48" s="54">
        <f t="shared" si="10"/>
        <v>0.431302657161374</v>
      </c>
      <c r="M48" s="54">
        <f t="shared" si="11"/>
        <v>0.17736462746200332</v>
      </c>
    </row>
    <row r="49" spans="2:14" s="36" customFormat="1">
      <c r="B49" s="62" t="s">
        <v>122</v>
      </c>
      <c r="C49" s="76">
        <f>C42+C48</f>
        <v>936.95</v>
      </c>
      <c r="D49" s="76">
        <f>D42+D48</f>
        <v>66.289999999999992</v>
      </c>
      <c r="E49" s="88">
        <f t="shared" si="6"/>
        <v>0.17041131105398455</v>
      </c>
      <c r="F49" s="100"/>
      <c r="G49" s="26">
        <f>G42+G48</f>
        <v>510.36000000000007</v>
      </c>
      <c r="H49" s="56">
        <f t="shared" si="7"/>
        <v>0.22797464566014644</v>
      </c>
      <c r="I49" s="26">
        <f>I42+I48</f>
        <v>90.7</v>
      </c>
      <c r="J49" s="56">
        <f t="shared" si="8"/>
        <v>0.19341493581268393</v>
      </c>
      <c r="K49" s="26">
        <f t="shared" si="9"/>
        <v>24.410000000000011</v>
      </c>
      <c r="L49" s="57">
        <f t="shared" si="10"/>
        <v>0.36823050233821109</v>
      </c>
      <c r="M49" s="54">
        <f t="shared" si="11"/>
        <v>0.17771768947409669</v>
      </c>
    </row>
    <row r="51" spans="2:14">
      <c r="B51" s="77" t="s">
        <v>176</v>
      </c>
      <c r="C51" s="77"/>
    </row>
    <row r="52" spans="2:14" ht="48" customHeight="1">
      <c r="B52" s="83" t="s">
        <v>177</v>
      </c>
      <c r="C52" s="111">
        <v>188.88</v>
      </c>
      <c r="D52" s="72">
        <f>ROUND('PU Wise OWE'!$AK$128/10000,2)-D43</f>
        <v>14.290000000000001</v>
      </c>
      <c r="E52" s="87">
        <f>D52/$D$7</f>
        <v>3.6735218508997435E-2</v>
      </c>
      <c r="F52" s="311"/>
      <c r="G52" s="22">
        <f>ROUND('PU Wise OWE'!$AK$126/10000,2)-G43</f>
        <v>51.489999999999995</v>
      </c>
      <c r="H52" s="24">
        <f>G52/$G$7</f>
        <v>2.300026354933956E-2</v>
      </c>
      <c r="I52" s="22">
        <f>ROUND('PU Wise OWE'!$AK$129/10000,2)-I43</f>
        <v>9.6900000000000013</v>
      </c>
      <c r="J52" s="24">
        <f>I52/$I$7</f>
        <v>2.0663624344265795E-2</v>
      </c>
      <c r="K52" s="22">
        <f>I52-D52</f>
        <v>-4.5999999999999996</v>
      </c>
      <c r="L52" s="54">
        <f>K52/D52</f>
        <v>-0.32190342897130858</v>
      </c>
      <c r="M52" s="54">
        <f>I52/G52</f>
        <v>0.18819188191881922</v>
      </c>
    </row>
    <row r="53" spans="2:14">
      <c r="B53" s="20" t="s">
        <v>154</v>
      </c>
      <c r="C53" s="107">
        <v>121.46</v>
      </c>
      <c r="D53" s="72">
        <f>ROUND('PU Wise OWE'!$AL$128/10000,2)</f>
        <v>6.19</v>
      </c>
      <c r="E53" s="87">
        <f>D53/$D$7</f>
        <v>1.5912596401028278E-2</v>
      </c>
      <c r="F53" s="312"/>
      <c r="G53" s="22">
        <f>ROUND('PU Wise OWE'!$AL$126/10000,2)</f>
        <v>29.49</v>
      </c>
      <c r="H53" s="24">
        <f>G53/$G$7</f>
        <v>1.3173000040202441E-2</v>
      </c>
      <c r="I53" s="23">
        <f>ROUND('PU Wise OWE'!$AL$129/10000,2)</f>
        <v>10.53</v>
      </c>
      <c r="J53" s="24">
        <f>I53/$I$7</f>
        <v>2.2454898281230005E-2</v>
      </c>
      <c r="K53" s="22">
        <f>I53-D53</f>
        <v>4.339999999999999</v>
      </c>
      <c r="L53" s="54">
        <f>K53/D53</f>
        <v>0.70113085621970894</v>
      </c>
      <c r="M53" s="54">
        <f>I53/G53</f>
        <v>0.35707019328585959</v>
      </c>
    </row>
    <row r="54" spans="2:14" s="36" customFormat="1">
      <c r="B54" s="25" t="s">
        <v>122</v>
      </c>
      <c r="C54" s="26">
        <f>C52+C53</f>
        <v>310.33999999999997</v>
      </c>
      <c r="D54" s="76">
        <f>SUM(D52:D53)</f>
        <v>20.48</v>
      </c>
      <c r="E54" s="88">
        <f>D54/$D$7</f>
        <v>5.2647814910025709E-2</v>
      </c>
      <c r="F54" s="313"/>
      <c r="G54" s="76">
        <f>SUM(G52:G53)</f>
        <v>80.97999999999999</v>
      </c>
      <c r="H54" s="56">
        <f>G54/$G$7</f>
        <v>3.6173263589541996E-2</v>
      </c>
      <c r="I54" s="76">
        <f>SUM(I52:I53)</f>
        <v>20.22</v>
      </c>
      <c r="J54" s="56">
        <f>I54/$I$7</f>
        <v>4.3118522625495793E-2</v>
      </c>
      <c r="K54" s="26">
        <f>I54-D54</f>
        <v>-0.26000000000000156</v>
      </c>
      <c r="L54" s="104">
        <f>K54/D54</f>
        <v>-1.2695312500000076E-2</v>
      </c>
      <c r="M54" s="54">
        <f>I54/G54</f>
        <v>0.24969128179797481</v>
      </c>
    </row>
    <row r="56" spans="2:14" s="36" customFormat="1">
      <c r="B56" s="80" t="s">
        <v>155</v>
      </c>
      <c r="C56" s="112">
        <v>348.19</v>
      </c>
      <c r="D56" s="73">
        <f>ROUND('PU Wise OWE'!$AO$128/10000,2)</f>
        <v>20.07</v>
      </c>
      <c r="E56" s="88">
        <f>D56/$D$7</f>
        <v>5.1593830334190231E-2</v>
      </c>
      <c r="F56" s="55"/>
      <c r="G56" s="26">
        <f>ROUND('PU Wise OWE'!$AO$126/10000,2)</f>
        <v>116.37</v>
      </c>
      <c r="H56" s="56">
        <f>G56/$G$7</f>
        <v>5.1981757025376676E-2</v>
      </c>
      <c r="I56" s="25">
        <f>ROUND('PU Wise OWE'!$AO$129/10000,2)</f>
        <v>45.05</v>
      </c>
      <c r="J56" s="56">
        <f>I56/$I$7</f>
        <v>9.6067727214569021E-2</v>
      </c>
      <c r="K56" s="26">
        <f>I56-D56</f>
        <v>24.979999999999997</v>
      </c>
      <c r="L56" s="57">
        <f>K56/D56</f>
        <v>1.2446437468858991</v>
      </c>
      <c r="M56" s="54">
        <f>I56/G56</f>
        <v>0.38712726647761447</v>
      </c>
      <c r="N56" s="120"/>
    </row>
    <row r="57" spans="2:14" s="36" customFormat="1">
      <c r="B57" s="118"/>
      <c r="C57" s="119"/>
      <c r="D57" s="115"/>
      <c r="E57" s="116"/>
      <c r="F57" s="117"/>
      <c r="G57" s="93"/>
      <c r="H57" s="92"/>
      <c r="I57" s="90"/>
      <c r="J57" s="92"/>
      <c r="K57" s="26"/>
      <c r="L57" s="57"/>
      <c r="M57" s="102"/>
    </row>
    <row r="58" spans="2:14">
      <c r="C58" s="316" t="s">
        <v>288</v>
      </c>
      <c r="D58" s="321" t="str">
        <f>'PU Wise OWE'!$B$7</f>
        <v>Actuals upto April-23</v>
      </c>
      <c r="E58" s="316" t="s">
        <v>165</v>
      </c>
      <c r="F58" s="316"/>
      <c r="G58" s="341" t="str">
        <f>'PU Wise OWE'!$B$5</f>
        <v xml:space="preserve">VOA 2024-25 </v>
      </c>
      <c r="H58" s="316" t="s">
        <v>287</v>
      </c>
      <c r="I58" s="321" t="str">
        <f>'PU Wise OWE'!B8</f>
        <v>Actuals upto April-24</v>
      </c>
      <c r="J58" s="316" t="s">
        <v>197</v>
      </c>
      <c r="K58" s="289" t="s">
        <v>139</v>
      </c>
      <c r="L58" s="289"/>
      <c r="M58" s="292" t="s">
        <v>300</v>
      </c>
      <c r="N58" s="340" t="s">
        <v>200</v>
      </c>
    </row>
    <row r="59" spans="2:14">
      <c r="B59" s="77" t="s">
        <v>178</v>
      </c>
      <c r="C59" s="317"/>
      <c r="D59" s="317"/>
      <c r="E59" s="317"/>
      <c r="F59" s="317"/>
      <c r="G59" s="342"/>
      <c r="H59" s="317"/>
      <c r="I59" s="317"/>
      <c r="J59" s="317"/>
      <c r="K59" s="81" t="s">
        <v>137</v>
      </c>
      <c r="L59" s="82" t="s">
        <v>138</v>
      </c>
      <c r="M59" s="292"/>
      <c r="N59" s="340"/>
    </row>
    <row r="60" spans="2:14">
      <c r="B60" s="23" t="s">
        <v>179</v>
      </c>
      <c r="C60" s="22">
        <v>80.099999999999994</v>
      </c>
      <c r="D60" s="72">
        <f>ROUND('PU Wise OWE'!$AM$62/10000,2)</f>
        <v>1.99</v>
      </c>
      <c r="E60" s="87">
        <f>D60/$D$7</f>
        <v>5.1156812339331623E-3</v>
      </c>
      <c r="F60" s="308"/>
      <c r="G60" s="22">
        <f>ROUND('PU Wise OWE'!$AM$60/10000,2)</f>
        <v>30.49</v>
      </c>
      <c r="H60" s="24" t="b">
        <f>H58=G60/$G$7</f>
        <v>0</v>
      </c>
      <c r="I60" s="23">
        <f>ROUND('PU Wise OWE'!$AM$63/10000,2)</f>
        <v>3.16</v>
      </c>
      <c r="J60" s="96">
        <f>I60/$I$7</f>
        <v>6.7386019533415796E-3</v>
      </c>
      <c r="K60" s="22">
        <f>I60-D60</f>
        <v>1.1700000000000002</v>
      </c>
      <c r="L60" s="54">
        <f>K60/D60</f>
        <v>0.58793969849246241</v>
      </c>
      <c r="M60" s="54">
        <f>I60/G60</f>
        <v>0.10364053788127256</v>
      </c>
      <c r="N60" s="71"/>
    </row>
    <row r="61" spans="2:14">
      <c r="B61" s="23" t="s">
        <v>180</v>
      </c>
      <c r="C61" s="22">
        <v>21.26</v>
      </c>
      <c r="D61" s="72">
        <f>ROUND('PU Wise OWE'!$AM$95/10000,2)</f>
        <v>-0.72</v>
      </c>
      <c r="E61" s="87">
        <f>D61/$D$7</f>
        <v>-1.8508997429305912E-3</v>
      </c>
      <c r="F61" s="309"/>
      <c r="G61" s="22">
        <f>ROUND('PU Wise OWE'!$AM$93/10000,2)</f>
        <v>2.5299999999999998</v>
      </c>
      <c r="H61" s="24">
        <f>G61/$G$7</f>
        <v>1.1301353035507689E-3</v>
      </c>
      <c r="I61" s="23">
        <f>ROUND('PU Wise OWE'!$AM$96/10000,2)</f>
        <v>0.18</v>
      </c>
      <c r="J61" s="96">
        <f>I61/$I$7</f>
        <v>3.8384441506376081E-4</v>
      </c>
      <c r="K61" s="22">
        <f>I61-D61</f>
        <v>0.89999999999999991</v>
      </c>
      <c r="L61" s="54">
        <f>K61/D61</f>
        <v>-1.25</v>
      </c>
      <c r="M61" s="54">
        <f>I61/G61</f>
        <v>7.1146245059288543E-2</v>
      </c>
    </row>
    <row r="62" spans="2:14">
      <c r="B62" s="23" t="s">
        <v>181</v>
      </c>
      <c r="C62" s="22">
        <v>9.89</v>
      </c>
      <c r="D62" s="72">
        <f>ROUND('PU Wise OWE'!$AN$18/10000,2)</f>
        <v>1.0900000000000001</v>
      </c>
      <c r="E62" s="87">
        <f>D62/$D$7</f>
        <v>2.8020565552699232E-3</v>
      </c>
      <c r="F62" s="309"/>
      <c r="G62" s="22">
        <f>ROUND('PU Wise OWE'!$AN$16/10000,2)</f>
        <v>7.43</v>
      </c>
      <c r="H62" s="24">
        <f>G62/$G$7</f>
        <v>3.3189349033131278E-3</v>
      </c>
      <c r="I62" s="23">
        <f>ROUND('PU Wise OWE'!$AN$19/10000,2)</f>
        <v>1.76</v>
      </c>
      <c r="J62" s="96">
        <f>I62/$I$7</f>
        <v>3.7531453917345504E-3</v>
      </c>
      <c r="K62" s="22">
        <f>I62-D62</f>
        <v>0.66999999999999993</v>
      </c>
      <c r="L62" s="54">
        <f>K62/D62</f>
        <v>0.61467889908256867</v>
      </c>
      <c r="M62" s="54">
        <f>I62/G62</f>
        <v>0.23687752355316286</v>
      </c>
      <c r="N62" s="71"/>
    </row>
    <row r="63" spans="2:14">
      <c r="B63" s="23" t="s">
        <v>182</v>
      </c>
      <c r="C63" s="22">
        <v>1.64</v>
      </c>
      <c r="D63" s="72">
        <f>ROUND('PU Wise OWE'!$AN$62/10000,2)</f>
        <v>0.15</v>
      </c>
      <c r="E63" s="87">
        <f>D63/$D$7</f>
        <v>3.8560411311053982E-4</v>
      </c>
      <c r="F63" s="309"/>
      <c r="G63" s="22">
        <f>ROUND('PU Wise OWE'!$AN$60/10000,2)</f>
        <v>9.91</v>
      </c>
      <c r="H63" s="24">
        <f>G63/$G$7</f>
        <v>4.4267355170704032E-3</v>
      </c>
      <c r="I63" s="23">
        <f>ROUND('PU Wise OWE'!$AN$63/10000,2)</f>
        <v>0.7</v>
      </c>
      <c r="J63" s="96">
        <f>I63/$I$7</f>
        <v>1.4927282808035141E-3</v>
      </c>
      <c r="K63" s="22">
        <f>I63-D63</f>
        <v>0.54999999999999993</v>
      </c>
      <c r="L63" s="54">
        <f>K63/D63</f>
        <v>3.6666666666666665</v>
      </c>
      <c r="M63" s="54">
        <f>I63/G63</f>
        <v>7.0635721493440967E-2</v>
      </c>
    </row>
    <row r="64" spans="2:14" s="36" customFormat="1">
      <c r="B64" s="25" t="s">
        <v>122</v>
      </c>
      <c r="C64" s="26">
        <f>C60+C61+C62+C63</f>
        <v>112.89</v>
      </c>
      <c r="D64" s="76">
        <f>SUM(D60:D63)</f>
        <v>2.5100000000000002</v>
      </c>
      <c r="E64" s="88">
        <f>D64/$D$7</f>
        <v>6.4524421593830338E-3</v>
      </c>
      <c r="F64" s="310"/>
      <c r="G64" s="26">
        <f>SUM(G60:G63)</f>
        <v>50.36</v>
      </c>
      <c r="H64" s="56">
        <f>G64/$G$7</f>
        <v>2.2495499560006609E-2</v>
      </c>
      <c r="I64" s="26">
        <f>SUM(I60:I63)</f>
        <v>5.8000000000000007</v>
      </c>
      <c r="J64" s="56">
        <f>I64/$I$7</f>
        <v>1.2368320040943405E-2</v>
      </c>
      <c r="K64" s="26">
        <f>I64-D64</f>
        <v>3.2900000000000005</v>
      </c>
      <c r="L64" s="57">
        <f>K64/D64</f>
        <v>1.310756972111554</v>
      </c>
      <c r="M64" s="54">
        <f>I64/G64</f>
        <v>0.11517077045274028</v>
      </c>
    </row>
    <row r="66" spans="2:13">
      <c r="B66" s="77" t="s">
        <v>183</v>
      </c>
      <c r="C66" s="77"/>
    </row>
    <row r="67" spans="2:13">
      <c r="B67" s="23" t="s">
        <v>184</v>
      </c>
      <c r="C67" s="22">
        <v>1117.51</v>
      </c>
      <c r="D67" s="72">
        <f>ROUND('PU Wise OWE'!$AP$73/10000,2)</f>
        <v>0</v>
      </c>
      <c r="E67" s="87">
        <f>D67/$D$7</f>
        <v>0</v>
      </c>
      <c r="F67" s="23"/>
      <c r="G67" s="22">
        <f>ROUND('PU Wise OWE'!$AP$71/10000,2)</f>
        <v>-0.05</v>
      </c>
      <c r="H67" s="24">
        <f>G67/$G$7</f>
        <v>-2.233468979349346E-5</v>
      </c>
      <c r="I67" s="23">
        <f>ROUND('PU Wise OWE'!$AP$74/10000,2)</f>
        <v>0</v>
      </c>
      <c r="J67" s="96">
        <f>I67/$I$7</f>
        <v>0</v>
      </c>
      <c r="K67" s="22">
        <f>I67-D67</f>
        <v>0</v>
      </c>
      <c r="L67" s="54" t="e">
        <f>K67/D67</f>
        <v>#DIV/0!</v>
      </c>
      <c r="M67" s="54">
        <f>I67/G67</f>
        <v>0</v>
      </c>
    </row>
    <row r="68" spans="2:13">
      <c r="B68" s="89" t="s">
        <v>185</v>
      </c>
      <c r="C68" s="113">
        <v>38.520000000000003</v>
      </c>
      <c r="D68" s="72">
        <f>ROUND('PU Wise OWE'!$AP$128/10000,2)-D67</f>
        <v>-0.05</v>
      </c>
      <c r="E68" s="87">
        <f>D68/$D$7</f>
        <v>-1.2853470437017997E-4</v>
      </c>
      <c r="F68" s="23"/>
      <c r="G68" s="22">
        <f>ROUND('PU Wise OWE'!$AP$126/10000,2)-G67</f>
        <v>-42.71</v>
      </c>
      <c r="H68" s="24">
        <f>G68/$G$7</f>
        <v>-1.9078292021602113E-2</v>
      </c>
      <c r="I68" s="23">
        <f>ROUND('PU Wise OWE'!$AP$129/10000,2)-I67</f>
        <v>-13.33</v>
      </c>
      <c r="J68" s="96">
        <f>I68/$I$7</f>
        <v>-2.8425811404444067E-2</v>
      </c>
      <c r="K68" s="22">
        <f>I68-D68</f>
        <v>-13.28</v>
      </c>
      <c r="L68" s="54">
        <f>K68/D68</f>
        <v>265.59999999999997</v>
      </c>
      <c r="M68" s="54">
        <f>I68/G68</f>
        <v>0.31210489346757198</v>
      </c>
    </row>
    <row r="69" spans="2:13" s="36" customFormat="1">
      <c r="B69" s="25" t="s">
        <v>122</v>
      </c>
      <c r="C69" s="26">
        <f>C67+C68</f>
        <v>1156.03</v>
      </c>
      <c r="D69" s="76">
        <f>SUM(D67:D68)</f>
        <v>-0.05</v>
      </c>
      <c r="E69" s="88">
        <f>D69/$D$7</f>
        <v>-1.2853470437017997E-4</v>
      </c>
      <c r="F69" s="90"/>
      <c r="G69" s="91">
        <f>SUM(G67:G68)</f>
        <v>-42.76</v>
      </c>
      <c r="H69" s="92">
        <f>G69/$G$7</f>
        <v>-1.9100626711395605E-2</v>
      </c>
      <c r="I69" s="91">
        <f>SUM(I67:I68)</f>
        <v>-13.33</v>
      </c>
      <c r="J69" s="56">
        <f>I69/$I$7</f>
        <v>-2.8425811404444067E-2</v>
      </c>
      <c r="K69" s="93">
        <f>I69-D69</f>
        <v>-13.28</v>
      </c>
      <c r="L69" s="103">
        <f>K69/D69</f>
        <v>265.59999999999997</v>
      </c>
    </row>
    <row r="70" spans="2:13">
      <c r="F70" s="31"/>
      <c r="G70" s="34"/>
      <c r="H70" s="34"/>
      <c r="I70" s="31"/>
      <c r="J70" s="31"/>
      <c r="K70" s="34"/>
      <c r="L70" s="94"/>
    </row>
    <row r="71" spans="2:13">
      <c r="B71" s="77" t="s">
        <v>187</v>
      </c>
      <c r="C71" s="77"/>
      <c r="F71" s="31"/>
      <c r="G71" s="34"/>
      <c r="H71" s="34"/>
      <c r="I71" s="31"/>
      <c r="J71" s="31"/>
      <c r="K71" s="34"/>
      <c r="L71" s="94"/>
    </row>
    <row r="72" spans="2:13">
      <c r="B72" s="23" t="s">
        <v>186</v>
      </c>
      <c r="C72" s="22">
        <v>12.31</v>
      </c>
      <c r="D72" s="72">
        <f>ROUND('PU Wise OWE'!$AQ$29/10000,2)+ROUND('PU Wise OWE'!$BB$29/10000,2)</f>
        <v>-0.18</v>
      </c>
      <c r="E72" s="87">
        <f>D72/$D$7</f>
        <v>-4.627249357326478E-4</v>
      </c>
      <c r="F72" s="23"/>
      <c r="G72" s="72">
        <f>ROUND('PU Wise OWE'!$AQ$27/10000,2)+ROUND('PU Wise OWE'!$BB$27/10000,2)</f>
        <v>-4.58</v>
      </c>
      <c r="H72" s="24">
        <f>G72/$G$7</f>
        <v>-2.0458575850840007E-3</v>
      </c>
      <c r="I72" s="72">
        <f>ROUND('PU Wise OWE'!$AQ$30/10000,2)+ROUND('PU Wise OWE'!$BB$30/10000,2)</f>
        <v>-1.02</v>
      </c>
      <c r="J72" s="96">
        <f>I72/$I$7</f>
        <v>-2.1751183520279781E-3</v>
      </c>
      <c r="K72" s="22">
        <f>I72-D72</f>
        <v>-0.84000000000000008</v>
      </c>
      <c r="L72" s="54">
        <f>K72/D72</f>
        <v>4.666666666666667</v>
      </c>
      <c r="M72" s="54">
        <f>I72/G72</f>
        <v>0.22270742358078602</v>
      </c>
    </row>
    <row r="73" spans="2:13">
      <c r="B73" s="23" t="s">
        <v>188</v>
      </c>
      <c r="C73" s="22">
        <v>114.52</v>
      </c>
      <c r="D73" s="72">
        <f>ROUND('PU Wise OWE'!$AQ$40/10000,2)+ROUND('PU Wise OWE'!$BB$40/10000,2)</f>
        <v>2.74</v>
      </c>
      <c r="E73" s="87">
        <f>D73/$D$7</f>
        <v>7.0437017994858615E-3</v>
      </c>
      <c r="F73" s="23"/>
      <c r="G73" s="72">
        <f>ROUND('PU Wise OWE'!$AQ$38/10000,2)+ROUND('PU Wise OWE'!$BB$38/10000,2)</f>
        <v>18.87</v>
      </c>
      <c r="H73" s="24">
        <f>G73/$G$7</f>
        <v>8.4291119280644321E-3</v>
      </c>
      <c r="I73" s="72">
        <f>ROUND('PU Wise OWE'!$AQ$41/10000,2)+ROUND('PU Wise OWE'!$BB$41/10000,2)</f>
        <v>6.2</v>
      </c>
      <c r="J73" s="96">
        <f>I73/$I$7</f>
        <v>1.3221307629973984E-2</v>
      </c>
      <c r="K73" s="22">
        <f>I73-D73</f>
        <v>3.46</v>
      </c>
      <c r="L73" s="54">
        <f>K73/D73</f>
        <v>1.2627737226277371</v>
      </c>
      <c r="M73" s="54">
        <f>I73/G73</f>
        <v>0.32856385797562265</v>
      </c>
    </row>
    <row r="74" spans="2:13" s="36" customFormat="1">
      <c r="B74" s="25" t="s">
        <v>122</v>
      </c>
      <c r="C74" s="26">
        <f>C72+C73</f>
        <v>126.83</v>
      </c>
      <c r="D74" s="76">
        <f>SUM(D72:D73)</f>
        <v>2.56</v>
      </c>
      <c r="E74" s="88">
        <f>D74/$D$7</f>
        <v>6.5809768637532136E-3</v>
      </c>
      <c r="F74" s="25"/>
      <c r="G74" s="76">
        <f>SUM(G72:G73)</f>
        <v>14.290000000000001</v>
      </c>
      <c r="H74" s="56">
        <f>G74/$G$7</f>
        <v>6.3832543429804302E-3</v>
      </c>
      <c r="I74" s="76">
        <f>SUM(I72:I73)</f>
        <v>5.18</v>
      </c>
      <c r="J74" s="56">
        <f>I74/$I$7</f>
        <v>1.1046189277946006E-2</v>
      </c>
      <c r="K74" s="26">
        <f>I74-D74</f>
        <v>2.6199999999999997</v>
      </c>
      <c r="L74" s="57">
        <f>K74/D74</f>
        <v>1.0234374999999998</v>
      </c>
    </row>
    <row r="75" spans="2:13">
      <c r="E75" s="31"/>
      <c r="F75" s="31"/>
      <c r="G75" s="34"/>
      <c r="H75" s="34"/>
      <c r="I75" s="31"/>
      <c r="J75" s="31"/>
      <c r="K75" s="34"/>
      <c r="L75" s="94"/>
    </row>
    <row r="76" spans="2:13">
      <c r="B76" s="77" t="s">
        <v>189</v>
      </c>
      <c r="C76" s="77"/>
      <c r="E76" s="31"/>
      <c r="F76" s="31"/>
      <c r="G76" s="34"/>
      <c r="H76" s="34"/>
      <c r="I76" s="31"/>
      <c r="J76" s="31"/>
      <c r="K76" s="34"/>
      <c r="L76" s="94"/>
    </row>
    <row r="77" spans="2:13">
      <c r="B77" s="23" t="s">
        <v>191</v>
      </c>
      <c r="C77" s="22">
        <v>2</v>
      </c>
      <c r="D77" s="72">
        <f>ROUND('PU Wise OWE'!$AW$128/10000,2)</f>
        <v>0.01</v>
      </c>
      <c r="E77" s="87">
        <f t="shared" ref="E77:E83" si="12">D77/$D$7</f>
        <v>2.5706940874035991E-5</v>
      </c>
      <c r="F77" s="23"/>
      <c r="G77" s="22">
        <f>ROUND('PU Wise OWE'!$AW$126/10000,2)</f>
        <v>0</v>
      </c>
      <c r="H77" s="24">
        <f t="shared" ref="H77:H83" si="13">G77/$G$7</f>
        <v>0</v>
      </c>
      <c r="I77" s="23">
        <f>ROUND('PU Wise OWE'!$AW$129/10000,2)</f>
        <v>0</v>
      </c>
      <c r="J77" s="96">
        <f t="shared" ref="J77:J85" si="14">I77/$I$7</f>
        <v>0</v>
      </c>
      <c r="K77" s="22">
        <f t="shared" ref="K77:K83" si="15">I77-D77</f>
        <v>-0.01</v>
      </c>
      <c r="L77" s="54">
        <f t="shared" ref="L77:L83" si="16">K77/D77</f>
        <v>-1</v>
      </c>
      <c r="M77" s="54" t="e">
        <f t="shared" ref="M77:M82" si="17">I77/G77</f>
        <v>#DIV/0!</v>
      </c>
    </row>
    <row r="78" spans="2:13">
      <c r="B78" s="23" t="s">
        <v>190</v>
      </c>
      <c r="C78" s="22">
        <v>1.66</v>
      </c>
      <c r="D78" s="72">
        <f>ROUND('PU Wise OWE'!$AX$128/10000,2)</f>
        <v>0.02</v>
      </c>
      <c r="E78" s="87">
        <f t="shared" si="12"/>
        <v>5.1413881748071981E-5</v>
      </c>
      <c r="F78" s="23"/>
      <c r="G78" s="22">
        <f>ROUND('PU Wise OWE'!$AX$126/10000,2)</f>
        <v>0.16</v>
      </c>
      <c r="H78" s="24">
        <f t="shared" si="13"/>
        <v>7.1471007339179063E-5</v>
      </c>
      <c r="I78" s="23">
        <f>ROUND('PU Wise OWE'!$AX$129/10000,2)</f>
        <v>0.01</v>
      </c>
      <c r="J78" s="96">
        <f t="shared" si="14"/>
        <v>2.132468972576449E-5</v>
      </c>
      <c r="K78" s="22">
        <f t="shared" si="15"/>
        <v>-0.01</v>
      </c>
      <c r="L78" s="54">
        <f t="shared" si="16"/>
        <v>-0.5</v>
      </c>
      <c r="M78" s="54">
        <f t="shared" si="17"/>
        <v>6.25E-2</v>
      </c>
    </row>
    <row r="79" spans="2:13">
      <c r="B79" s="23" t="s">
        <v>192</v>
      </c>
      <c r="C79" s="22">
        <v>16.940000000000001</v>
      </c>
      <c r="D79" s="72">
        <f>ROUND('PU Wise OWE'!$BC$128/10000,2)</f>
        <v>1.3</v>
      </c>
      <c r="E79" s="87">
        <f t="shared" si="12"/>
        <v>3.3419023136246786E-3</v>
      </c>
      <c r="F79" s="23"/>
      <c r="G79" s="22">
        <f>ROUND('PU Wise OWE'!$BC$126/10000,2)</f>
        <v>5.58</v>
      </c>
      <c r="H79" s="24">
        <f t="shared" si="13"/>
        <v>2.49255138095387E-3</v>
      </c>
      <c r="I79" s="23">
        <f>ROUND('PU Wise OWE'!$BC$129/10000,2)</f>
        <v>2.23</v>
      </c>
      <c r="J79" s="96">
        <f t="shared" si="14"/>
        <v>4.7554058088454809E-3</v>
      </c>
      <c r="K79" s="22">
        <f t="shared" si="15"/>
        <v>0.92999999999999994</v>
      </c>
      <c r="L79" s="54">
        <f t="shared" si="16"/>
        <v>0.71538461538461529</v>
      </c>
      <c r="M79" s="54">
        <f t="shared" si="17"/>
        <v>0.3996415770609319</v>
      </c>
    </row>
    <row r="80" spans="2:13">
      <c r="B80" s="23" t="s">
        <v>193</v>
      </c>
      <c r="C80" s="22">
        <v>16.95</v>
      </c>
      <c r="D80" s="72">
        <f>ROUND('PU Wise OWE'!$BD$128/10000,2)</f>
        <v>1.3</v>
      </c>
      <c r="E80" s="87">
        <f t="shared" si="12"/>
        <v>3.3419023136246786E-3</v>
      </c>
      <c r="F80" s="23"/>
      <c r="G80" s="22">
        <f>ROUND('PU Wise OWE'!$BD$126/10000,2)</f>
        <v>5.65</v>
      </c>
      <c r="H80" s="24">
        <f t="shared" si="13"/>
        <v>2.523819946664761E-3</v>
      </c>
      <c r="I80" s="23">
        <f>ROUND('PU Wise OWE'!$BD$129/10000,2)</f>
        <v>2.23</v>
      </c>
      <c r="J80" s="96">
        <f t="shared" si="14"/>
        <v>4.7554058088454809E-3</v>
      </c>
      <c r="K80" s="22">
        <f t="shared" si="15"/>
        <v>0.92999999999999994</v>
      </c>
      <c r="L80" s="54">
        <f t="shared" si="16"/>
        <v>0.71538461538461529</v>
      </c>
      <c r="M80" s="54">
        <f t="shared" si="17"/>
        <v>0.39469026548672564</v>
      </c>
    </row>
    <row r="81" spans="2:13">
      <c r="B81" s="23" t="s">
        <v>194</v>
      </c>
      <c r="C81" s="22">
        <v>17.329999999999998</v>
      </c>
      <c r="D81" s="72">
        <f>ROUND('PU Wise OWE'!$BF$128/10000,2)</f>
        <v>1.0900000000000001</v>
      </c>
      <c r="E81" s="87">
        <f t="shared" si="12"/>
        <v>2.8020565552699232E-3</v>
      </c>
      <c r="F81" s="23"/>
      <c r="G81" s="22">
        <f>ROUND('PU Wise OWE'!$BF$126/10000,2)</f>
        <v>7.37</v>
      </c>
      <c r="H81" s="24">
        <f t="shared" si="13"/>
        <v>3.2921332755609357E-3</v>
      </c>
      <c r="I81" s="23">
        <f>ROUND('PU Wise OWE'!$BF$129/10000,2)</f>
        <v>3.13</v>
      </c>
      <c r="J81" s="96">
        <f t="shared" si="14"/>
        <v>6.674627884164285E-3</v>
      </c>
      <c r="K81" s="22">
        <f t="shared" si="15"/>
        <v>2.04</v>
      </c>
      <c r="L81" s="54">
        <f t="shared" si="16"/>
        <v>1.8715596330275228</v>
      </c>
      <c r="M81" s="54">
        <f t="shared" si="17"/>
        <v>0.42469470827679778</v>
      </c>
    </row>
    <row r="82" spans="2:13">
      <c r="B82" s="23" t="s">
        <v>195</v>
      </c>
      <c r="C82" s="22">
        <v>166.71</v>
      </c>
      <c r="D82" s="72">
        <f>ROUND('PU Wise OWE'!$BG$128/10000,2)-ROUND('PU Wise OWE'!$BG$117/10000,2)</f>
        <v>1.379999999999999</v>
      </c>
      <c r="E82" s="87">
        <f t="shared" si="12"/>
        <v>3.5475578406169639E-3</v>
      </c>
      <c r="F82" s="23"/>
      <c r="G82" s="22">
        <f>ROUND('PU Wise OWE'!$BG$126/10000,2)-ROUND('PU Wise OWE'!$BG$115/10000,2)</f>
        <v>27.530000000000015</v>
      </c>
      <c r="H82" s="24">
        <f t="shared" si="13"/>
        <v>1.2297480200297504E-2</v>
      </c>
      <c r="I82" s="23">
        <f>ROUND('PU Wise OWE'!$BG$129/10000,2)-ROUND('PU Wise OWE'!$BG$118/10000,2)</f>
        <v>21.089999999999996</v>
      </c>
      <c r="J82" s="96">
        <f t="shared" si="14"/>
        <v>4.4973770631637301E-2</v>
      </c>
      <c r="K82" s="22">
        <f t="shared" si="15"/>
        <v>19.709999999999997</v>
      </c>
      <c r="L82" s="54">
        <f t="shared" si="16"/>
        <v>14.282608695652183</v>
      </c>
      <c r="M82" s="54">
        <f t="shared" si="17"/>
        <v>0.76607337450054425</v>
      </c>
    </row>
    <row r="83" spans="2:13" s="36" customFormat="1">
      <c r="B83" s="25" t="s">
        <v>122</v>
      </c>
      <c r="C83" s="26">
        <f>C77+C78+C79+C80+C81+C82</f>
        <v>221.59</v>
      </c>
      <c r="D83" s="76">
        <f>SUM(D77:D82)</f>
        <v>5.0999999999999988</v>
      </c>
      <c r="E83" s="88">
        <f t="shared" si="12"/>
        <v>1.3110539845758351E-2</v>
      </c>
      <c r="F83" s="25"/>
      <c r="G83" s="76">
        <f>SUM(G77:G82)</f>
        <v>46.29000000000002</v>
      </c>
      <c r="H83" s="56">
        <f t="shared" si="13"/>
        <v>2.0677455810816252E-2</v>
      </c>
      <c r="I83" s="76">
        <f>SUM(I77:I82)</f>
        <v>28.689999999999998</v>
      </c>
      <c r="J83" s="56">
        <f t="shared" si="14"/>
        <v>6.1180534823218315E-2</v>
      </c>
      <c r="K83" s="26">
        <f t="shared" si="15"/>
        <v>23.59</v>
      </c>
      <c r="L83" s="57">
        <f t="shared" si="16"/>
        <v>4.6254901960784327</v>
      </c>
      <c r="M83" s="25"/>
    </row>
    <row r="85" spans="2:13" s="36" customFormat="1" ht="31.5" customHeight="1">
      <c r="B85" s="95" t="s">
        <v>196</v>
      </c>
      <c r="C85" s="114">
        <v>3247.44</v>
      </c>
      <c r="D85" s="76">
        <f>D37+D49+D54+D56+D64+D69+D74+D83</f>
        <v>117.80000000000001</v>
      </c>
      <c r="E85" s="88">
        <f>D85/$D$7</f>
        <v>0.30282776349614399</v>
      </c>
      <c r="F85" s="25"/>
      <c r="G85" s="76">
        <f>G37+G49+G54+G56+G64+G69+G74+G83</f>
        <v>780.41000000000008</v>
      </c>
      <c r="H85" s="56">
        <f>G85/$G$7</f>
        <v>0.34860430523480462</v>
      </c>
      <c r="I85" s="76">
        <f>I37+I49+I54+I56+I64+I69+I74+I83</f>
        <v>183.63</v>
      </c>
      <c r="J85" s="56">
        <f t="shared" si="14"/>
        <v>0.39158527743421334</v>
      </c>
      <c r="K85" s="26">
        <f>I85-D85</f>
        <v>65.829999999999984</v>
      </c>
      <c r="L85" s="57">
        <f>K85/D85</f>
        <v>0.55882852292020357</v>
      </c>
      <c r="M85" s="54">
        <f>I85/G85</f>
        <v>0.23529939390833021</v>
      </c>
    </row>
    <row r="86" spans="2:13">
      <c r="B86" s="179"/>
      <c r="C86" s="179"/>
      <c r="D86" s="139"/>
      <c r="E86" s="179"/>
      <c r="F86" s="179"/>
      <c r="G86" s="179"/>
      <c r="H86" s="179"/>
      <c r="I86" s="179"/>
      <c r="J86" s="179"/>
      <c r="K86" s="179"/>
      <c r="L86" s="179"/>
      <c r="M86" s="179"/>
    </row>
    <row r="87" spans="2:13" s="149" customFormat="1" ht="16.5" customHeight="1">
      <c r="B87" s="186"/>
      <c r="C87" s="299" t="s">
        <v>288</v>
      </c>
      <c r="D87" s="302" t="s">
        <v>289</v>
      </c>
      <c r="E87" s="299" t="s">
        <v>165</v>
      </c>
      <c r="F87" s="299"/>
      <c r="G87" s="338" t="s">
        <v>293</v>
      </c>
      <c r="H87" s="299" t="s">
        <v>295</v>
      </c>
      <c r="I87" s="302" t="s">
        <v>290</v>
      </c>
      <c r="J87" s="299" t="s">
        <v>197</v>
      </c>
      <c r="K87" s="301" t="s">
        <v>139</v>
      </c>
      <c r="L87" s="301"/>
      <c r="M87" s="294" t="s">
        <v>292</v>
      </c>
    </row>
    <row r="88" spans="2:13" s="149" customFormat="1">
      <c r="B88" s="80" t="s">
        <v>245</v>
      </c>
      <c r="C88" s="300"/>
      <c r="D88" s="300"/>
      <c r="E88" s="300"/>
      <c r="F88" s="300"/>
      <c r="G88" s="339"/>
      <c r="H88" s="300"/>
      <c r="I88" s="303"/>
      <c r="J88" s="300"/>
      <c r="K88" s="81" t="s">
        <v>137</v>
      </c>
      <c r="L88" s="81" t="s">
        <v>138</v>
      </c>
      <c r="M88" s="294"/>
    </row>
    <row r="89" spans="2:13" s="149" customFormat="1" ht="15" customHeight="1">
      <c r="B89" s="20" t="s">
        <v>246</v>
      </c>
      <c r="C89" s="20">
        <v>17</v>
      </c>
      <c r="D89" s="83">
        <v>0</v>
      </c>
      <c r="E89" s="87">
        <f t="shared" ref="E89:E102" si="18">D89/$D$7</f>
        <v>0</v>
      </c>
      <c r="F89" s="20"/>
      <c r="G89" s="107">
        <v>0.69</v>
      </c>
      <c r="H89" s="187">
        <f t="shared" ref="H89:H102" si="19">G89/$G$7</f>
        <v>3.0821871915020967E-4</v>
      </c>
      <c r="I89" s="20">
        <v>0</v>
      </c>
      <c r="J89" s="187">
        <f t="shared" ref="J89:J102" si="20">I89/$I$7</f>
        <v>0</v>
      </c>
      <c r="K89" s="107">
        <f>I89-D89</f>
        <v>0</v>
      </c>
      <c r="L89" s="188">
        <v>0</v>
      </c>
      <c r="M89" s="188">
        <f t="shared" ref="M89:M102" si="21">I89/G89</f>
        <v>0</v>
      </c>
    </row>
    <row r="90" spans="2:13" s="149" customFormat="1">
      <c r="B90" s="20" t="s">
        <v>247</v>
      </c>
      <c r="C90" s="20">
        <v>33.630000000000003</v>
      </c>
      <c r="D90" s="111">
        <v>1.86</v>
      </c>
      <c r="E90" s="87">
        <f t="shared" si="18"/>
        <v>4.7814910025706942E-3</v>
      </c>
      <c r="F90" s="20"/>
      <c r="G90" s="107">
        <v>33.28</v>
      </c>
      <c r="H90" s="187">
        <f t="shared" si="19"/>
        <v>1.4865969526549247E-2</v>
      </c>
      <c r="I90" s="107">
        <v>2.77</v>
      </c>
      <c r="J90" s="187">
        <f t="shared" si="20"/>
        <v>5.9069390540367637E-3</v>
      </c>
      <c r="K90" s="107">
        <f t="shared" ref="K90:K102" si="22">I90-D90</f>
        <v>0.90999999999999992</v>
      </c>
      <c r="L90" s="188">
        <f t="shared" ref="L90:L102" si="23">K90/D90</f>
        <v>0.48924731182795694</v>
      </c>
      <c r="M90" s="188">
        <f t="shared" si="21"/>
        <v>8.3233173076923073E-2</v>
      </c>
    </row>
    <row r="91" spans="2:13" s="149" customFormat="1">
      <c r="B91" s="20" t="s">
        <v>257</v>
      </c>
      <c r="C91" s="20">
        <v>7.44</v>
      </c>
      <c r="D91" s="111">
        <v>0.04</v>
      </c>
      <c r="E91" s="87">
        <f t="shared" si="18"/>
        <v>1.0282776349614396E-4</v>
      </c>
      <c r="F91" s="20"/>
      <c r="G91" s="107">
        <v>0.53</v>
      </c>
      <c r="H91" s="187">
        <f t="shared" si="19"/>
        <v>2.3674771181103065E-4</v>
      </c>
      <c r="I91" s="107">
        <v>0</v>
      </c>
      <c r="J91" s="187">
        <f t="shared" si="20"/>
        <v>0</v>
      </c>
      <c r="K91" s="107">
        <f t="shared" si="22"/>
        <v>-0.04</v>
      </c>
      <c r="L91" s="188">
        <f t="shared" si="23"/>
        <v>-1</v>
      </c>
      <c r="M91" s="188">
        <f t="shared" si="21"/>
        <v>0</v>
      </c>
    </row>
    <row r="92" spans="2:13" s="149" customFormat="1">
      <c r="B92" s="61" t="s">
        <v>248</v>
      </c>
      <c r="C92" s="27">
        <f>SUM(C89:C91)</f>
        <v>58.07</v>
      </c>
      <c r="D92" s="106">
        <f>SUM(D89:D91)</f>
        <v>1.9000000000000001</v>
      </c>
      <c r="E92" s="88">
        <f t="shared" si="18"/>
        <v>4.8843187660668388E-3</v>
      </c>
      <c r="F92" s="27">
        <f>SUM(F89:F90)</f>
        <v>0</v>
      </c>
      <c r="G92" s="106">
        <f>SUM(G89:G90)</f>
        <v>33.97</v>
      </c>
      <c r="H92" s="189">
        <f t="shared" si="19"/>
        <v>1.5174188245699454E-2</v>
      </c>
      <c r="I92" s="106">
        <f>SUM(I89:I91)</f>
        <v>2.77</v>
      </c>
      <c r="J92" s="189">
        <f t="shared" si="20"/>
        <v>5.9069390540367637E-3</v>
      </c>
      <c r="K92" s="106">
        <f t="shared" si="22"/>
        <v>0.86999999999999988</v>
      </c>
      <c r="L92" s="190">
        <f t="shared" si="23"/>
        <v>0.45789473684210519</v>
      </c>
      <c r="M92" s="190">
        <f t="shared" si="21"/>
        <v>8.1542537533117465E-2</v>
      </c>
    </row>
    <row r="93" spans="2:13" s="149" customFormat="1">
      <c r="B93" s="20" t="s">
        <v>249</v>
      </c>
      <c r="C93" s="20">
        <v>0</v>
      </c>
      <c r="D93" s="83">
        <v>0</v>
      </c>
      <c r="E93" s="87">
        <f t="shared" si="18"/>
        <v>0</v>
      </c>
      <c r="F93" s="20"/>
      <c r="G93" s="107">
        <v>0</v>
      </c>
      <c r="H93" s="187">
        <f t="shared" si="19"/>
        <v>0</v>
      </c>
      <c r="I93" s="107">
        <v>0</v>
      </c>
      <c r="J93" s="187">
        <f t="shared" si="20"/>
        <v>0</v>
      </c>
      <c r="K93" s="107">
        <f t="shared" si="22"/>
        <v>0</v>
      </c>
      <c r="L93" s="188">
        <v>0</v>
      </c>
      <c r="M93" s="188">
        <v>0</v>
      </c>
    </row>
    <row r="94" spans="2:13" s="149" customFormat="1">
      <c r="B94" s="20" t="s">
        <v>250</v>
      </c>
      <c r="C94" s="20">
        <v>13.17</v>
      </c>
      <c r="D94" s="111">
        <v>0.17</v>
      </c>
      <c r="E94" s="87">
        <f t="shared" si="18"/>
        <v>4.3701799485861188E-4</v>
      </c>
      <c r="F94" s="20"/>
      <c r="G94" s="107">
        <v>14.55</v>
      </c>
      <c r="H94" s="187">
        <f t="shared" si="19"/>
        <v>6.4993947299065965E-3</v>
      </c>
      <c r="I94" s="107">
        <v>3.38</v>
      </c>
      <c r="J94" s="187">
        <f t="shared" si="20"/>
        <v>7.2077451273083971E-3</v>
      </c>
      <c r="K94" s="107">
        <f t="shared" si="22"/>
        <v>3.21</v>
      </c>
      <c r="L94" s="188">
        <f t="shared" si="23"/>
        <v>18.882352941176467</v>
      </c>
      <c r="M94" s="188">
        <f t="shared" si="21"/>
        <v>0.23230240549828177</v>
      </c>
    </row>
    <row r="95" spans="2:13" s="149" customFormat="1">
      <c r="B95" s="20" t="s">
        <v>258</v>
      </c>
      <c r="C95" s="20">
        <v>-0.3</v>
      </c>
      <c r="D95" s="111">
        <v>0</v>
      </c>
      <c r="E95" s="87">
        <f t="shared" si="18"/>
        <v>0</v>
      </c>
      <c r="F95" s="20"/>
      <c r="G95" s="107">
        <v>0.05</v>
      </c>
      <c r="H95" s="187">
        <f t="shared" si="19"/>
        <v>2.233468979349346E-5</v>
      </c>
      <c r="I95" s="107">
        <v>0</v>
      </c>
      <c r="J95" s="187">
        <f t="shared" si="20"/>
        <v>0</v>
      </c>
      <c r="K95" s="107">
        <f t="shared" si="22"/>
        <v>0</v>
      </c>
      <c r="L95" s="188">
        <v>0</v>
      </c>
      <c r="M95" s="188">
        <v>0</v>
      </c>
    </row>
    <row r="96" spans="2:13" s="149" customFormat="1">
      <c r="B96" s="61" t="s">
        <v>251</v>
      </c>
      <c r="C96" s="27">
        <f>SUM(C93:C95)</f>
        <v>12.87</v>
      </c>
      <c r="D96" s="27">
        <f>SUM(D93:D95)</f>
        <v>0.17</v>
      </c>
      <c r="E96" s="88">
        <f t="shared" si="18"/>
        <v>4.3701799485861188E-4</v>
      </c>
      <c r="F96" s="27">
        <f>SUM(F93:F94)</f>
        <v>0</v>
      </c>
      <c r="G96" s="106">
        <f>SUM(G93:G95)</f>
        <v>14.600000000000001</v>
      </c>
      <c r="H96" s="189">
        <f t="shared" si="19"/>
        <v>6.5217294197000902E-3</v>
      </c>
      <c r="I96" s="106">
        <f>SUM(I93:I95)</f>
        <v>3.38</v>
      </c>
      <c r="J96" s="189">
        <f t="shared" si="20"/>
        <v>7.2077451273083971E-3</v>
      </c>
      <c r="K96" s="106">
        <f t="shared" si="22"/>
        <v>3.21</v>
      </c>
      <c r="L96" s="190">
        <f t="shared" si="23"/>
        <v>18.882352941176467</v>
      </c>
      <c r="M96" s="190">
        <f t="shared" si="21"/>
        <v>0.23150684931506846</v>
      </c>
    </row>
    <row r="97" spans="2:13" s="149" customFormat="1">
      <c r="B97" s="20" t="s">
        <v>252</v>
      </c>
      <c r="C97" s="107">
        <v>24.12</v>
      </c>
      <c r="D97" s="111">
        <v>1.61</v>
      </c>
      <c r="E97" s="87">
        <f t="shared" si="18"/>
        <v>4.1388174807197942E-3</v>
      </c>
      <c r="F97" s="20"/>
      <c r="G97" s="107">
        <v>17.600000000000001</v>
      </c>
      <c r="H97" s="187">
        <f t="shared" si="19"/>
        <v>7.8618108073096968E-3</v>
      </c>
      <c r="I97" s="107">
        <v>0.15</v>
      </c>
      <c r="J97" s="187">
        <f t="shared" si="20"/>
        <v>3.1987034588646735E-4</v>
      </c>
      <c r="K97" s="107">
        <f t="shared" si="22"/>
        <v>-1.4600000000000002</v>
      </c>
      <c r="L97" s="188">
        <f t="shared" si="23"/>
        <v>-0.90683229813664601</v>
      </c>
      <c r="M97" s="188">
        <f t="shared" si="21"/>
        <v>8.5227272727272721E-3</v>
      </c>
    </row>
    <row r="98" spans="2:13" s="149" customFormat="1">
      <c r="B98" s="20" t="s">
        <v>253</v>
      </c>
      <c r="C98" s="20">
        <v>145.66</v>
      </c>
      <c r="D98" s="111">
        <v>4.3499999999999996</v>
      </c>
      <c r="E98" s="87">
        <f t="shared" si="18"/>
        <v>1.1182519280205654E-2</v>
      </c>
      <c r="F98" s="20"/>
      <c r="G98" s="107">
        <v>11.56</v>
      </c>
      <c r="H98" s="187">
        <f t="shared" si="19"/>
        <v>5.1637802802556873E-3</v>
      </c>
      <c r="I98" s="107">
        <v>6.27</v>
      </c>
      <c r="J98" s="187">
        <f t="shared" si="20"/>
        <v>1.3370580458054334E-2</v>
      </c>
      <c r="K98" s="107">
        <f t="shared" si="22"/>
        <v>1.92</v>
      </c>
      <c r="L98" s="188">
        <f t="shared" si="23"/>
        <v>0.44137931034482758</v>
      </c>
      <c r="M98" s="188">
        <f t="shared" si="21"/>
        <v>0.54238754325259508</v>
      </c>
    </row>
    <row r="99" spans="2:13" s="149" customFormat="1">
      <c r="B99" s="61" t="s">
        <v>254</v>
      </c>
      <c r="C99" s="27">
        <f>SUM(C97:C98)</f>
        <v>169.78</v>
      </c>
      <c r="D99" s="106">
        <f t="shared" ref="D99:I99" si="24">SUM(D97:D98)</f>
        <v>5.96</v>
      </c>
      <c r="E99" s="88">
        <f t="shared" si="18"/>
        <v>1.5321336760925449E-2</v>
      </c>
      <c r="F99" s="27">
        <f t="shared" si="24"/>
        <v>0</v>
      </c>
      <c r="G99" s="106">
        <f t="shared" si="24"/>
        <v>29.160000000000004</v>
      </c>
      <c r="H99" s="189">
        <f t="shared" si="19"/>
        <v>1.3025591087565387E-2</v>
      </c>
      <c r="I99" s="106">
        <f t="shared" si="24"/>
        <v>6.42</v>
      </c>
      <c r="J99" s="189">
        <f t="shared" si="20"/>
        <v>1.3690450803940803E-2</v>
      </c>
      <c r="K99" s="106">
        <f t="shared" si="22"/>
        <v>0.45999999999999996</v>
      </c>
      <c r="L99" s="190">
        <f t="shared" si="23"/>
        <v>7.7181208053691275E-2</v>
      </c>
      <c r="M99" s="190">
        <f t="shared" si="21"/>
        <v>0.22016460905349791</v>
      </c>
    </row>
    <row r="100" spans="2:13" s="149" customFormat="1">
      <c r="B100" s="20" t="s">
        <v>255</v>
      </c>
      <c r="C100" s="107">
        <v>12.31</v>
      </c>
      <c r="D100" s="111">
        <v>4.28</v>
      </c>
      <c r="E100" s="87">
        <f t="shared" si="18"/>
        <v>1.1002570694087404E-2</v>
      </c>
      <c r="F100" s="20"/>
      <c r="G100" s="107">
        <v>13.17</v>
      </c>
      <c r="H100" s="187">
        <f t="shared" si="19"/>
        <v>5.882957291606177E-3</v>
      </c>
      <c r="I100" s="107">
        <v>1.93</v>
      </c>
      <c r="J100" s="187">
        <f t="shared" si="20"/>
        <v>4.1156651170725462E-3</v>
      </c>
      <c r="K100" s="107">
        <f t="shared" si="22"/>
        <v>-2.3500000000000005</v>
      </c>
      <c r="L100" s="188">
        <f t="shared" si="23"/>
        <v>-0.54906542056074781</v>
      </c>
      <c r="M100" s="188">
        <f t="shared" si="21"/>
        <v>0.14654517843583903</v>
      </c>
    </row>
    <row r="101" spans="2:13" s="149" customFormat="1">
      <c r="B101" s="20" t="s">
        <v>256</v>
      </c>
      <c r="C101" s="107">
        <v>101.34</v>
      </c>
      <c r="D101" s="111">
        <v>1.64</v>
      </c>
      <c r="E101" s="87">
        <f t="shared" si="18"/>
        <v>4.2159383033419017E-3</v>
      </c>
      <c r="F101" s="20"/>
      <c r="G101" s="107">
        <v>65.03</v>
      </c>
      <c r="H101" s="187">
        <f t="shared" si="19"/>
        <v>2.9048497545417593E-2</v>
      </c>
      <c r="I101" s="107">
        <v>5.95</v>
      </c>
      <c r="J101" s="187">
        <f t="shared" si="20"/>
        <v>1.2688190386829872E-2</v>
      </c>
      <c r="K101" s="107">
        <f t="shared" si="22"/>
        <v>4.3100000000000005</v>
      </c>
      <c r="L101" s="188">
        <f t="shared" si="23"/>
        <v>2.6280487804878052</v>
      </c>
      <c r="M101" s="188">
        <f t="shared" si="21"/>
        <v>9.1496232508073191E-2</v>
      </c>
    </row>
    <row r="102" spans="2:13" s="149" customFormat="1">
      <c r="B102" s="61" t="s">
        <v>286</v>
      </c>
      <c r="C102" s="106">
        <f>SUM(C100:C101)</f>
        <v>113.65</v>
      </c>
      <c r="D102" s="106">
        <f t="shared" ref="D102:I102" si="25">SUM(D100:D101)</f>
        <v>5.92</v>
      </c>
      <c r="E102" s="88">
        <f t="shared" si="18"/>
        <v>1.5218508997429306E-2</v>
      </c>
      <c r="F102" s="27">
        <f t="shared" si="25"/>
        <v>0</v>
      </c>
      <c r="G102" s="106">
        <f t="shared" si="25"/>
        <v>78.2</v>
      </c>
      <c r="H102" s="189">
        <f t="shared" si="19"/>
        <v>3.493145483702377E-2</v>
      </c>
      <c r="I102" s="106">
        <f t="shared" si="25"/>
        <v>7.88</v>
      </c>
      <c r="J102" s="189">
        <f t="shared" si="20"/>
        <v>1.6803855503902419E-2</v>
      </c>
      <c r="K102" s="106">
        <f t="shared" si="22"/>
        <v>1.96</v>
      </c>
      <c r="L102" s="190">
        <f t="shared" si="23"/>
        <v>0.33108108108108109</v>
      </c>
      <c r="M102" s="190">
        <f t="shared" si="21"/>
        <v>0.10076726342710997</v>
      </c>
    </row>
    <row r="103" spans="2:13">
      <c r="B103" s="179"/>
      <c r="C103" s="179"/>
      <c r="D103" s="139"/>
      <c r="E103" s="179"/>
      <c r="F103" s="179"/>
      <c r="G103" s="179"/>
      <c r="H103" s="179"/>
      <c r="I103" s="179"/>
      <c r="J103" s="179"/>
      <c r="K103" s="179"/>
      <c r="L103" s="179"/>
      <c r="M103" s="179"/>
    </row>
    <row r="104" spans="2:13" ht="15" customHeight="1">
      <c r="B104" s="191"/>
      <c r="C104" s="299" t="s">
        <v>288</v>
      </c>
      <c r="D104" s="302" t="str">
        <f>'PU Wise OWE'!$B$7</f>
        <v>Actuals upto April-23</v>
      </c>
      <c r="E104" s="299" t="s">
        <v>165</v>
      </c>
      <c r="F104" s="299"/>
      <c r="G104" s="338" t="str">
        <f>'PU Wise OWE'!$B$5</f>
        <v xml:space="preserve">VOA 2024-25 </v>
      </c>
      <c r="H104" s="299" t="s">
        <v>296</v>
      </c>
      <c r="I104" s="302" t="str">
        <f>I40</f>
        <v>Actuals upto April-24</v>
      </c>
      <c r="J104" s="299" t="s">
        <v>197</v>
      </c>
      <c r="K104" s="301" t="s">
        <v>139</v>
      </c>
      <c r="L104" s="301"/>
      <c r="M104" s="294" t="s">
        <v>292</v>
      </c>
    </row>
    <row r="105" spans="2:13">
      <c r="B105" s="80" t="s">
        <v>183</v>
      </c>
      <c r="C105" s="300"/>
      <c r="D105" s="300"/>
      <c r="E105" s="300"/>
      <c r="F105" s="300"/>
      <c r="G105" s="339"/>
      <c r="H105" s="300"/>
      <c r="I105" s="300"/>
      <c r="J105" s="300"/>
      <c r="K105" s="81" t="s">
        <v>137</v>
      </c>
      <c r="L105" s="81" t="s">
        <v>138</v>
      </c>
      <c r="M105" s="294"/>
    </row>
    <row r="106" spans="2:13">
      <c r="B106" s="20" t="s">
        <v>209</v>
      </c>
      <c r="C106" s="20">
        <v>305.92</v>
      </c>
      <c r="D106" s="111">
        <v>19.18</v>
      </c>
      <c r="E106" s="87">
        <f>D106/$D$7</f>
        <v>4.9305912596401026E-2</v>
      </c>
      <c r="F106" s="20"/>
      <c r="G106" s="20">
        <v>115.89</v>
      </c>
      <c r="H106" s="187">
        <f>G106/$G$7</f>
        <v>5.1767344003359139E-2</v>
      </c>
      <c r="I106" s="107">
        <v>28.26</v>
      </c>
      <c r="J106" s="187">
        <f>I106/$I$7</f>
        <v>6.0263573165010451E-2</v>
      </c>
      <c r="K106" s="107">
        <f>I106-D106</f>
        <v>9.0800000000000018</v>
      </c>
      <c r="L106" s="188">
        <f>K106/D106</f>
        <v>0.47340980187695525</v>
      </c>
      <c r="M106" s="188">
        <f>I106/G106</f>
        <v>0.24385192855293814</v>
      </c>
    </row>
    <row r="107" spans="2:13">
      <c r="B107" s="20" t="s">
        <v>208</v>
      </c>
      <c r="C107" s="20">
        <v>266.58999999999997</v>
      </c>
      <c r="D107" s="83">
        <v>27.95</v>
      </c>
      <c r="E107" s="87">
        <f>D107/$D$7</f>
        <v>7.1850899742930588E-2</v>
      </c>
      <c r="F107" s="20"/>
      <c r="G107" s="107">
        <v>750</v>
      </c>
      <c r="H107" s="187">
        <f>G107/$G$7</f>
        <v>0.33502034690240184</v>
      </c>
      <c r="I107" s="107">
        <v>40.58</v>
      </c>
      <c r="J107" s="187">
        <f>I107/$I$7</f>
        <v>8.6535590907152293E-2</v>
      </c>
      <c r="K107" s="107">
        <f>I107-D107</f>
        <v>12.629999999999999</v>
      </c>
      <c r="L107" s="188">
        <f>K107/D107</f>
        <v>0.45187835420393557</v>
      </c>
      <c r="M107" s="188">
        <f>I107/G107</f>
        <v>5.4106666666666664E-2</v>
      </c>
    </row>
    <row r="108" spans="2:13" ht="15.75" customHeight="1">
      <c r="B108" s="192" t="s">
        <v>207</v>
      </c>
      <c r="C108" s="20">
        <v>544.78</v>
      </c>
      <c r="D108" s="83">
        <v>165.44</v>
      </c>
      <c r="E108" s="87">
        <f>D108/$D$7</f>
        <v>0.42529562982005142</v>
      </c>
      <c r="F108" s="20"/>
      <c r="G108" s="107">
        <v>676.5</v>
      </c>
      <c r="H108" s="187">
        <f>G108/$G$7</f>
        <v>0.30218835290596646</v>
      </c>
      <c r="I108" s="20">
        <v>301.26</v>
      </c>
      <c r="J108" s="187">
        <f>I108/$I$7</f>
        <v>0.64242760267838106</v>
      </c>
      <c r="K108" s="107">
        <f>I108-D108</f>
        <v>135.82</v>
      </c>
      <c r="L108" s="188">
        <f>K108/D108</f>
        <v>0.82096228239845259</v>
      </c>
      <c r="M108" s="188">
        <f>I108/G108</f>
        <v>0.44532150776053214</v>
      </c>
    </row>
    <row r="109" spans="2:13">
      <c r="B109" s="27" t="s">
        <v>122</v>
      </c>
      <c r="C109" s="27">
        <f>SUM(C106:C108)</f>
        <v>1117.29</v>
      </c>
      <c r="D109" s="141">
        <f>+D106+D107+D108</f>
        <v>212.57</v>
      </c>
      <c r="E109" s="88">
        <f>D109/$D$7</f>
        <v>0.54645244215938304</v>
      </c>
      <c r="F109" s="27"/>
      <c r="G109" s="141">
        <f>+G106+G107+G108</f>
        <v>1542.3899999999999</v>
      </c>
      <c r="H109" s="189">
        <f>G109/$G$7</f>
        <v>0.68897604381172739</v>
      </c>
      <c r="I109" s="106">
        <f>SUM(I106:I108)</f>
        <v>370.1</v>
      </c>
      <c r="J109" s="189">
        <f>I109/$I$7</f>
        <v>0.78922676675054382</v>
      </c>
      <c r="K109" s="106">
        <f>I109-D109</f>
        <v>157.53000000000003</v>
      </c>
      <c r="L109" s="190">
        <f>K109/D109</f>
        <v>0.74107352871995125</v>
      </c>
      <c r="M109" s="190">
        <f>I109/G109</f>
        <v>0.23995228184830039</v>
      </c>
    </row>
    <row r="110" spans="2:13">
      <c r="B110" s="179"/>
      <c r="C110" s="179"/>
      <c r="D110" s="139"/>
      <c r="E110" s="179"/>
      <c r="F110" s="179"/>
      <c r="G110" s="179"/>
      <c r="H110" s="179"/>
      <c r="I110" s="179"/>
      <c r="J110" s="179"/>
      <c r="K110" s="179"/>
      <c r="L110" s="179"/>
      <c r="M110" s="179"/>
    </row>
    <row r="111" spans="2:13">
      <c r="B111" s="80" t="s">
        <v>210</v>
      </c>
      <c r="C111" s="20"/>
      <c r="D111" s="83"/>
      <c r="E111" s="20"/>
      <c r="F111" s="20"/>
      <c r="G111" s="20"/>
      <c r="H111" s="20"/>
      <c r="I111" s="20"/>
      <c r="J111" s="20"/>
      <c r="K111" s="20"/>
      <c r="L111" s="20"/>
      <c r="M111" s="20"/>
    </row>
    <row r="112" spans="2:13">
      <c r="B112" s="20" t="s">
        <v>211</v>
      </c>
      <c r="C112" s="107">
        <v>28.69</v>
      </c>
      <c r="D112" s="111">
        <v>5.63</v>
      </c>
      <c r="E112" s="87">
        <f>D112/$D$7</f>
        <v>1.4473007712082262E-2</v>
      </c>
      <c r="F112" s="20"/>
      <c r="G112" s="107">
        <v>27.91</v>
      </c>
      <c r="H112" s="187">
        <f>G112/$G$7</f>
        <v>1.2467223842728048E-2</v>
      </c>
      <c r="I112" s="20">
        <v>0.22</v>
      </c>
      <c r="J112" s="187">
        <f>I112/$I$7</f>
        <v>4.6914317396681881E-4</v>
      </c>
      <c r="K112" s="107">
        <f>I112-D112</f>
        <v>-5.41</v>
      </c>
      <c r="L112" s="188">
        <f>K112/D112</f>
        <v>-0.96092362344582594</v>
      </c>
      <c r="M112" s="188">
        <f>I112/G112</f>
        <v>7.8824793980652088E-3</v>
      </c>
    </row>
    <row r="113" spans="2:13">
      <c r="B113" s="20" t="s">
        <v>212</v>
      </c>
      <c r="C113" s="107">
        <v>38.6</v>
      </c>
      <c r="D113" s="83">
        <v>2.54</v>
      </c>
      <c r="E113" s="87">
        <f>D113/$D$7</f>
        <v>6.5295629820051413E-3</v>
      </c>
      <c r="F113" s="20"/>
      <c r="G113" s="20">
        <v>33.72</v>
      </c>
      <c r="H113" s="187">
        <f>G113/$G$7</f>
        <v>1.5062514796731987E-2</v>
      </c>
      <c r="I113" s="107">
        <v>0.11</v>
      </c>
      <c r="J113" s="187">
        <f>I113/$I$7</f>
        <v>2.345715869834094E-4</v>
      </c>
      <c r="K113" s="107">
        <f>I113-D113</f>
        <v>-2.4300000000000002</v>
      </c>
      <c r="L113" s="188">
        <f>K113/D113</f>
        <v>-0.95669291338582685</v>
      </c>
      <c r="M113" s="188">
        <f>I113/G113</f>
        <v>3.2621589561091344E-3</v>
      </c>
    </row>
    <row r="114" spans="2:13">
      <c r="B114" s="192" t="s">
        <v>213</v>
      </c>
      <c r="C114" s="20">
        <v>33.32</v>
      </c>
      <c r="D114" s="83">
        <v>2.81</v>
      </c>
      <c r="E114" s="87">
        <f>D114/$D$7</f>
        <v>7.2236503856041136E-3</v>
      </c>
      <c r="F114" s="20"/>
      <c r="G114" s="20">
        <v>33.19</v>
      </c>
      <c r="H114" s="187">
        <f>G114/$G$7</f>
        <v>1.4825767084920956E-2</v>
      </c>
      <c r="I114" s="107">
        <v>3.03</v>
      </c>
      <c r="J114" s="187">
        <f>I114/$I$7</f>
        <v>6.4613809869066398E-3</v>
      </c>
      <c r="K114" s="107">
        <f>I114-D114</f>
        <v>0.21999999999999975</v>
      </c>
      <c r="L114" s="188">
        <f>K114/D114</f>
        <v>7.8291814946619132E-2</v>
      </c>
      <c r="M114" s="188">
        <f>I114/G114</f>
        <v>9.1292557999397408E-2</v>
      </c>
    </row>
    <row r="115" spans="2:13">
      <c r="B115" s="27" t="s">
        <v>122</v>
      </c>
      <c r="C115" s="106">
        <f>SUM(C112:C114)</f>
        <v>100.61000000000001</v>
      </c>
      <c r="D115" s="148">
        <f>SUM(D112:D114)</f>
        <v>10.98</v>
      </c>
      <c r="E115" s="88">
        <f>D115/$D$7</f>
        <v>2.8226221079691517E-2</v>
      </c>
      <c r="F115" s="27"/>
      <c r="G115" s="27">
        <f>SUM(G112:G114)</f>
        <v>94.82</v>
      </c>
      <c r="H115" s="189">
        <f>G115/$G$7</f>
        <v>4.2355505724380987E-2</v>
      </c>
      <c r="I115" s="27">
        <f>SUM(I112:I114)</f>
        <v>3.36</v>
      </c>
      <c r="J115" s="189">
        <f>I115/$I$7</f>
        <v>7.1650957478568682E-3</v>
      </c>
      <c r="K115" s="106">
        <f>I115-D115</f>
        <v>-7.620000000000001</v>
      </c>
      <c r="L115" s="190">
        <f>K115/D115</f>
        <v>-0.69398907103825147</v>
      </c>
      <c r="M115" s="190">
        <f>I115/G115</f>
        <v>3.543556211769669E-2</v>
      </c>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87" t="s">
        <v>204</v>
      </c>
      <c r="D1" s="287"/>
      <c r="E1" s="287"/>
      <c r="F1" s="287"/>
      <c r="G1" s="287"/>
      <c r="H1" s="287"/>
      <c r="I1" s="287"/>
      <c r="J1" s="287"/>
      <c r="K1" s="287"/>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88" t="s">
        <v>61</v>
      </c>
      <c r="N2" s="288"/>
      <c r="O2" s="288"/>
      <c r="P2" s="1"/>
      <c r="Q2" s="1"/>
      <c r="R2" s="1"/>
      <c r="S2" s="1"/>
      <c r="T2" s="1"/>
      <c r="U2" s="1"/>
      <c r="V2" s="1"/>
      <c r="W2" s="1"/>
      <c r="X2" s="1"/>
      <c r="Y2" s="1"/>
      <c r="Z2" s="1"/>
      <c r="AA2" s="1"/>
      <c r="AB2" s="1"/>
      <c r="AC2" s="2"/>
      <c r="AD2" s="1"/>
      <c r="AE2" s="1"/>
      <c r="AF2" s="1"/>
      <c r="AG2" s="1"/>
      <c r="AH2" s="1"/>
      <c r="AI2" s="1"/>
      <c r="AJ2" s="1"/>
      <c r="AK2" s="1"/>
      <c r="AL2" s="1"/>
      <c r="AM2" s="1"/>
      <c r="AN2" s="1"/>
      <c r="AO2" s="1"/>
      <c r="AP2" s="288" t="s">
        <v>61</v>
      </c>
      <c r="AQ2" s="288"/>
      <c r="AR2" s="288"/>
      <c r="AS2" s="1"/>
      <c r="AT2" s="1"/>
      <c r="AU2" s="1"/>
      <c r="AV2" s="2"/>
      <c r="AW2" s="1"/>
      <c r="AX2" s="1"/>
      <c r="AY2" s="1"/>
      <c r="AZ2" s="1"/>
      <c r="BA2" s="1"/>
      <c r="BB2" s="1"/>
      <c r="BC2" s="1"/>
      <c r="BD2" s="1"/>
      <c r="BE2" s="1"/>
      <c r="BF2" s="1"/>
      <c r="BG2" s="2"/>
      <c r="BH2" s="288" t="s">
        <v>61</v>
      </c>
      <c r="BI2" s="288"/>
      <c r="BJ2" s="288"/>
    </row>
    <row r="3" spans="1:63" ht="47.25">
      <c r="A3" s="3"/>
      <c r="B3" s="3"/>
      <c r="C3" s="3" t="s">
        <v>62</v>
      </c>
      <c r="D3" s="4" t="s">
        <v>63</v>
      </c>
      <c r="E3" s="3" t="s">
        <v>64</v>
      </c>
      <c r="F3" s="3" t="s">
        <v>65</v>
      </c>
      <c r="G3" s="3" t="s">
        <v>66</v>
      </c>
      <c r="H3" s="3" t="s">
        <v>67</v>
      </c>
      <c r="I3" s="3" t="s">
        <v>68</v>
      </c>
      <c r="J3" s="3" t="s">
        <v>69</v>
      </c>
      <c r="K3" s="4" t="s">
        <v>70</v>
      </c>
      <c r="L3" s="3" t="s">
        <v>71</v>
      </c>
      <c r="M3" s="3" t="s">
        <v>72</v>
      </c>
      <c r="N3" s="3" t="s">
        <v>73</v>
      </c>
      <c r="O3" s="3" t="s">
        <v>74</v>
      </c>
      <c r="P3" s="4" t="s">
        <v>75</v>
      </c>
      <c r="Q3" s="3" t="s">
        <v>76</v>
      </c>
      <c r="R3" s="4" t="s">
        <v>77</v>
      </c>
      <c r="S3" s="3" t="s">
        <v>78</v>
      </c>
      <c r="T3" s="3" t="s">
        <v>79</v>
      </c>
      <c r="U3" s="3" t="s">
        <v>95</v>
      </c>
      <c r="V3" s="3" t="s">
        <v>80</v>
      </c>
      <c r="W3" s="3" t="s">
        <v>81</v>
      </c>
      <c r="X3" s="3" t="s">
        <v>82</v>
      </c>
      <c r="Y3" s="3" t="s">
        <v>83</v>
      </c>
      <c r="Z3" s="3" t="s">
        <v>84</v>
      </c>
      <c r="AA3" s="3" t="s">
        <v>85</v>
      </c>
      <c r="AB3" s="3" t="s">
        <v>111</v>
      </c>
      <c r="AC3" s="4" t="s">
        <v>86</v>
      </c>
      <c r="AD3" s="3" t="s">
        <v>87</v>
      </c>
      <c r="AE3" s="3" t="s">
        <v>88</v>
      </c>
      <c r="AF3" s="3" t="s">
        <v>89</v>
      </c>
      <c r="AG3" s="3" t="s">
        <v>90</v>
      </c>
      <c r="AH3" s="3" t="s">
        <v>91</v>
      </c>
      <c r="AI3" s="3" t="s">
        <v>92</v>
      </c>
      <c r="AJ3" s="3" t="s">
        <v>93</v>
      </c>
      <c r="AK3" s="3" t="s">
        <v>94</v>
      </c>
      <c r="AL3" s="3" t="s">
        <v>96</v>
      </c>
      <c r="AM3" s="3" t="s">
        <v>97</v>
      </c>
      <c r="AN3" s="3" t="s">
        <v>98</v>
      </c>
      <c r="AO3" s="3" t="s">
        <v>99</v>
      </c>
      <c r="AP3" s="3" t="s">
        <v>100</v>
      </c>
      <c r="AQ3" s="3" t="s">
        <v>101</v>
      </c>
      <c r="AR3" s="3" t="s">
        <v>102</v>
      </c>
      <c r="AS3" s="3" t="s">
        <v>103</v>
      </c>
      <c r="AT3" s="39" t="s">
        <v>104</v>
      </c>
      <c r="AU3" s="39" t="s">
        <v>105</v>
      </c>
      <c r="AV3" s="39" t="s">
        <v>106</v>
      </c>
      <c r="AW3" s="3" t="s">
        <v>107</v>
      </c>
      <c r="AX3" s="3" t="s">
        <v>108</v>
      </c>
      <c r="AY3" s="3" t="s">
        <v>109</v>
      </c>
      <c r="AZ3" s="3" t="s">
        <v>110</v>
      </c>
      <c r="BA3" s="3" t="s">
        <v>112</v>
      </c>
      <c r="BB3" s="3" t="s">
        <v>113</v>
      </c>
      <c r="BC3" s="3" t="s">
        <v>114</v>
      </c>
      <c r="BD3" s="3" t="s">
        <v>115</v>
      </c>
      <c r="BE3" s="3" t="s">
        <v>116</v>
      </c>
      <c r="BF3" s="3" t="s">
        <v>117</v>
      </c>
      <c r="BG3" s="4" t="s">
        <v>136</v>
      </c>
      <c r="BH3" s="43" t="s">
        <v>118</v>
      </c>
      <c r="BI3" s="3" t="s">
        <v>119</v>
      </c>
      <c r="BJ3" s="49" t="s">
        <v>120</v>
      </c>
    </row>
    <row r="4" spans="1:63" ht="15.75">
      <c r="A4" s="130" t="s">
        <v>199</v>
      </c>
      <c r="B4" s="5" t="s">
        <v>121</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122</v>
      </c>
      <c r="BI4" s="5">
        <v>98</v>
      </c>
      <c r="BJ4" s="50"/>
    </row>
    <row r="5" spans="1:63" ht="15.75">
      <c r="A5" s="8" t="s">
        <v>123</v>
      </c>
      <c r="B5" s="11" t="s">
        <v>205</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BH5-BI5</f>
        <v>3762999</v>
      </c>
    </row>
    <row r="6" spans="1:63" ht="15.75">
      <c r="A6" s="130" t="s">
        <v>123</v>
      </c>
      <c r="B6" s="5" t="s">
        <v>202</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SUM(C6:AB6)</f>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SUM(AD6:BF6)</f>
        <v>180077.92000000004</v>
      </c>
      <c r="BH6" s="125">
        <f>AC6+BG6</f>
        <v>2023456.6</v>
      </c>
      <c r="BI6" s="38">
        <v>9256.5</v>
      </c>
      <c r="BJ6" s="126">
        <f>BH6-BI6</f>
        <v>2014200.1</v>
      </c>
    </row>
    <row r="7" spans="1:63" ht="15.75">
      <c r="A7" s="130"/>
      <c r="B7" s="134" t="s">
        <v>206</v>
      </c>
      <c r="C7" s="37">
        <f>C5-C6</f>
        <v>1166389.44</v>
      </c>
      <c r="D7" s="37">
        <f t="shared" ref="D7:AB7" si="0">D5-D6</f>
        <v>125874.52000000002</v>
      </c>
      <c r="E7" s="37">
        <f t="shared" si="0"/>
        <v>76770</v>
      </c>
      <c r="F7" s="37">
        <f t="shared" si="0"/>
        <v>139023.84</v>
      </c>
      <c r="G7" s="37">
        <f t="shared" si="0"/>
        <v>51248.159999999996</v>
      </c>
      <c r="H7" s="37">
        <f t="shared" si="0"/>
        <v>0</v>
      </c>
      <c r="I7" s="37">
        <f t="shared" si="0"/>
        <v>0</v>
      </c>
      <c r="J7" s="37">
        <f t="shared" si="0"/>
        <v>0</v>
      </c>
      <c r="K7" s="37">
        <f t="shared" si="0"/>
        <v>0</v>
      </c>
      <c r="L7" s="37">
        <f t="shared" si="0"/>
        <v>1776</v>
      </c>
      <c r="M7" s="37">
        <f t="shared" si="0"/>
        <v>3727.2</v>
      </c>
      <c r="N7" s="37">
        <f t="shared" si="0"/>
        <v>2844.96</v>
      </c>
      <c r="O7" s="37">
        <f t="shared" si="0"/>
        <v>5995.68</v>
      </c>
      <c r="P7" s="37">
        <f t="shared" si="0"/>
        <v>30125.760000000002</v>
      </c>
      <c r="Q7" s="37">
        <f t="shared" si="0"/>
        <v>0</v>
      </c>
      <c r="R7" s="37">
        <f t="shared" si="0"/>
        <v>-668.15999999999985</v>
      </c>
      <c r="S7" s="37">
        <f t="shared" si="0"/>
        <v>0</v>
      </c>
      <c r="T7" s="37">
        <f t="shared" si="0"/>
        <v>0</v>
      </c>
      <c r="U7" s="37">
        <f t="shared" si="0"/>
        <v>0</v>
      </c>
      <c r="V7" s="37">
        <f t="shared" si="0"/>
        <v>0</v>
      </c>
      <c r="W7" s="37">
        <f t="shared" si="0"/>
        <v>266.39999999999998</v>
      </c>
      <c r="X7" s="37">
        <f t="shared" si="0"/>
        <v>177.11999999999998</v>
      </c>
      <c r="Y7" s="37">
        <f t="shared" si="0"/>
        <v>254.39999999999998</v>
      </c>
      <c r="Z7" s="37">
        <f t="shared" si="0"/>
        <v>0</v>
      </c>
      <c r="AA7" s="37">
        <f t="shared" si="0"/>
        <v>0</v>
      </c>
      <c r="AB7" s="37">
        <f t="shared" si="0"/>
        <v>0</v>
      </c>
      <c r="AC7" s="123">
        <f>SUM(C7:AB7)</f>
        <v>1603805.3199999998</v>
      </c>
      <c r="AD7" s="37">
        <f>AD5-AD6</f>
        <v>36099.039999999994</v>
      </c>
      <c r="AE7" s="37">
        <f t="shared" ref="AE7:BF7" si="1">AE5-AE6</f>
        <v>11053.44</v>
      </c>
      <c r="AF7" s="37">
        <f t="shared" si="1"/>
        <v>5651.5199999999995</v>
      </c>
      <c r="AG7" s="37">
        <f t="shared" si="1"/>
        <v>0</v>
      </c>
      <c r="AH7" s="37">
        <f t="shared" si="1"/>
        <v>60</v>
      </c>
      <c r="AI7" s="37">
        <f t="shared" si="1"/>
        <v>115.19999999999999</v>
      </c>
      <c r="AJ7" s="37">
        <f t="shared" si="1"/>
        <v>785.03999999999905</v>
      </c>
      <c r="AK7" s="37">
        <f t="shared" si="1"/>
        <v>8558.4</v>
      </c>
      <c r="AL7" s="37">
        <f t="shared" si="1"/>
        <v>506.4</v>
      </c>
      <c r="AM7" s="37">
        <f t="shared" si="1"/>
        <v>-8.4</v>
      </c>
      <c r="AN7" s="37">
        <f t="shared" si="1"/>
        <v>38234.399999999994</v>
      </c>
      <c r="AO7" s="37">
        <f t="shared" si="1"/>
        <v>0.96</v>
      </c>
      <c r="AP7" s="37">
        <f t="shared" si="1"/>
        <v>0</v>
      </c>
      <c r="AQ7" s="37">
        <f t="shared" si="1"/>
        <v>0</v>
      </c>
      <c r="AR7" s="37">
        <f t="shared" si="1"/>
        <v>0</v>
      </c>
      <c r="AS7" s="37">
        <f t="shared" si="1"/>
        <v>0</v>
      </c>
      <c r="AT7" s="37">
        <f t="shared" si="1"/>
        <v>0</v>
      </c>
      <c r="AU7" s="37">
        <f t="shared" si="1"/>
        <v>0</v>
      </c>
      <c r="AV7" s="37">
        <f t="shared" si="1"/>
        <v>5654.4000000000005</v>
      </c>
      <c r="AW7" s="37">
        <f t="shared" si="1"/>
        <v>5009.76</v>
      </c>
      <c r="AX7" s="37">
        <f t="shared" si="1"/>
        <v>978.72</v>
      </c>
      <c r="AY7" s="37">
        <f t="shared" si="1"/>
        <v>0</v>
      </c>
      <c r="AZ7" s="37">
        <f t="shared" si="1"/>
        <v>0</v>
      </c>
      <c r="BA7" s="37">
        <f t="shared" si="1"/>
        <v>0</v>
      </c>
      <c r="BB7" s="37">
        <f t="shared" si="1"/>
        <v>909.12</v>
      </c>
      <c r="BC7" s="37">
        <f t="shared" si="1"/>
        <v>945.12</v>
      </c>
      <c r="BD7" s="37">
        <f t="shared" si="1"/>
        <v>91.679999999999993</v>
      </c>
      <c r="BE7" s="37">
        <f t="shared" si="1"/>
        <v>360.95999999999992</v>
      </c>
      <c r="BF7" s="37">
        <f t="shared" si="1"/>
        <v>39244.32</v>
      </c>
      <c r="BG7" s="124">
        <f>SUM(AD7:BF7)</f>
        <v>154250.07999999996</v>
      </c>
      <c r="BH7" s="125">
        <f>AC7+BG7</f>
        <v>1758055.4</v>
      </c>
      <c r="BI7" s="38">
        <f>BI5-BI6</f>
        <v>9256.5</v>
      </c>
      <c r="BJ7" s="126">
        <f>BH7-BI7</f>
        <v>1748798.9</v>
      </c>
    </row>
    <row r="8" spans="1:63" ht="15.75">
      <c r="A8" s="130"/>
      <c r="B8" s="12" t="s">
        <v>203</v>
      </c>
      <c r="C8" s="9">
        <f>IF('Upto Month Current'!$B$4="",0,'Upto Month Current'!$B$4)</f>
        <v>55086</v>
      </c>
      <c r="D8" s="9">
        <f>IF('Upto Month Current'!$B$5="",0,'Upto Month Current'!$B$5)</f>
        <v>33767</v>
      </c>
      <c r="E8" s="9">
        <f>IF('Upto Month Current'!$B$6="",0,'Upto Month Current'!$B$6)</f>
        <v>19</v>
      </c>
      <c r="F8" s="9">
        <f>IF('Upto Month Current'!$B$7="",0,'Upto Month Current'!$B$7)</f>
        <v>6174</v>
      </c>
      <c r="G8" s="9">
        <f>IF('Upto Month Current'!$B$8="",0,'Upto Month Current'!$B$8)</f>
        <v>3146</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58</v>
      </c>
      <c r="M8" s="9">
        <f>IF('Upto Month Current'!$B$14="",0,'Upto Month Current'!$B$14)</f>
        <v>252</v>
      </c>
      <c r="N8" s="9">
        <f>IF('Upto Month Current'!$B$15="",0,'Upto Month Current'!$B$15)</f>
        <v>38</v>
      </c>
      <c r="O8" s="9">
        <f>IF('Upto Month Current'!$B$16="",0,'Upto Month Current'!$B$16)</f>
        <v>212</v>
      </c>
      <c r="P8" s="9">
        <f>IF('Upto Month Current'!$B$17="",0,'Upto Month Current'!$B$17)</f>
        <v>1909</v>
      </c>
      <c r="Q8" s="9">
        <f>IF('Upto Month Current'!$B$18="",0,'Upto Month Current'!$B$18)</f>
        <v>0</v>
      </c>
      <c r="R8" s="9">
        <f>IF('Upto Month Current'!$B$21="",0,'Upto Month Current'!$B$21)</f>
        <v>338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289</v>
      </c>
      <c r="Z8" s="9">
        <f>IF('Upto Month Current'!$B$43="",0,'Upto Month Current'!$B$43)</f>
        <v>124</v>
      </c>
      <c r="AA8" s="9">
        <f>IF('Upto Month Current'!$B$44="",0,'Upto Month Current'!$B$44)</f>
        <v>275</v>
      </c>
      <c r="AB8" s="9">
        <f>IF('Upto Month Current'!$B$51="",0,'Upto Month Current'!$B$51)</f>
        <v>0</v>
      </c>
      <c r="AC8" s="123">
        <f>SUM(C8:AB8)</f>
        <v>101687</v>
      </c>
      <c r="AD8" s="9">
        <f>IF('Upto Month Current'!$B$19="",0,'Upto Month Current'!$B$19)</f>
        <v>50</v>
      </c>
      <c r="AE8" s="9">
        <f>IF('Upto Month Current'!$B$20="",0,'Upto Month Current'!$B$20)</f>
        <v>643</v>
      </c>
      <c r="AF8" s="9">
        <f>IF('Upto Month Current'!$B$22="",0,'Upto Month Current'!$B$22)</f>
        <v>390</v>
      </c>
      <c r="AG8" s="9">
        <f>IF('Upto Month Current'!$B$23="",0,'Upto Month Current'!$B$23)</f>
        <v>0</v>
      </c>
      <c r="AH8" s="9">
        <f>IF('Upto Month Current'!$B$24="",0,'Upto Month Current'!$B$24)</f>
        <v>0</v>
      </c>
      <c r="AI8" s="9">
        <f>IF('Upto Month Current'!$B$25="",0,'Upto Month Current'!$B$25)</f>
        <v>0</v>
      </c>
      <c r="AJ8" s="9">
        <f>IF('Upto Month Current'!$B$28="",0,'Upto Month Current'!$B$28)</f>
        <v>124</v>
      </c>
      <c r="AK8" s="9">
        <f>IF('Upto Month Current'!$B$29="",0,'Upto Month Current'!$B$29)</f>
        <v>527</v>
      </c>
      <c r="AL8" s="9">
        <f>IF('Upto Month Current'!$B$31="",0,'Upto Month Current'!$B$31)</f>
        <v>0</v>
      </c>
      <c r="AM8" s="9">
        <f>IF('Upto Month Current'!$B$32="",0,'Upto Month Current'!$B$32)</f>
        <v>0</v>
      </c>
      <c r="AN8" s="9">
        <f>IF('Upto Month Current'!$B$33="",0,'Upto Month Current'!$B$33)</f>
        <v>318</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59</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73</v>
      </c>
      <c r="BC8" s="9">
        <f>IF('Upto Month Current'!$B$54="",0,'Upto Month Current'!$B$54)</f>
        <v>73</v>
      </c>
      <c r="BD8" s="9">
        <f>IF('Upto Month Current'!$B$55="",0,'Upto Month Current'!$B$55)</f>
        <v>0</v>
      </c>
      <c r="BE8" s="9">
        <f>IF('Upto Month Current'!$B$56="",0,'Upto Month Current'!$B$56)</f>
        <v>3</v>
      </c>
      <c r="BF8" s="9">
        <f>IF('Upto Month Current'!$B$58="",0,'Upto Month Current'!$B$58)</f>
        <v>1683</v>
      </c>
      <c r="BG8" s="124">
        <f>SUM(AD8:BF8)</f>
        <v>3943</v>
      </c>
      <c r="BH8" s="125">
        <f>AC8+BG8</f>
        <v>105630</v>
      </c>
      <c r="BI8" s="9">
        <f>IF('Upto Month Current'!$B$60="",0,'Upto Month Current'!$B$60)</f>
        <v>0</v>
      </c>
      <c r="BJ8" s="126">
        <f>BH8-BI8</f>
        <v>105630</v>
      </c>
      <c r="BK8">
        <f>'Upto Month Current'!$B$61</f>
        <v>105713</v>
      </c>
    </row>
    <row r="9" spans="1:63" ht="15.75">
      <c r="A9" s="130"/>
      <c r="B9" s="5" t="s">
        <v>201</v>
      </c>
      <c r="C9" s="128">
        <f t="shared" ref="C9:AH9" si="2">C8/C5</f>
        <v>2.2669341039301589E-2</v>
      </c>
      <c r="D9" s="128">
        <f t="shared" si="2"/>
        <v>7.6978666557241018E-2</v>
      </c>
      <c r="E9" s="128">
        <f t="shared" si="2"/>
        <v>2.4749251009508925E-4</v>
      </c>
      <c r="F9" s="128">
        <f t="shared" si="2"/>
        <v>2.1316631737405615E-2</v>
      </c>
      <c r="G9" s="128">
        <f t="shared" si="2"/>
        <v>2.9466033512227562E-2</v>
      </c>
      <c r="H9" s="128" t="e">
        <f t="shared" si="2"/>
        <v>#DIV/0!</v>
      </c>
      <c r="I9" s="128" t="e">
        <f t="shared" si="2"/>
        <v>#DIV/0!</v>
      </c>
      <c r="J9" s="128" t="e">
        <f t="shared" si="2"/>
        <v>#DIV/0!</v>
      </c>
      <c r="K9" s="128" t="e">
        <f t="shared" si="2"/>
        <v>#DIV/0!</v>
      </c>
      <c r="L9" s="128">
        <f t="shared" si="2"/>
        <v>1.5675675675675675E-2</v>
      </c>
      <c r="M9" s="128">
        <f t="shared" si="2"/>
        <v>3.2453316162266578E-2</v>
      </c>
      <c r="N9" s="128">
        <f t="shared" si="2"/>
        <v>6.4113379449974696E-3</v>
      </c>
      <c r="O9" s="128">
        <f t="shared" si="2"/>
        <v>1.6972219998398846E-2</v>
      </c>
      <c r="P9" s="128">
        <f t="shared" si="2"/>
        <v>3.0416494056913421E-2</v>
      </c>
      <c r="Q9" s="128" t="e">
        <f t="shared" si="2"/>
        <v>#DIV/0!</v>
      </c>
      <c r="R9" s="128">
        <f t="shared" si="2"/>
        <v>2.9956571833732164E-2</v>
      </c>
      <c r="S9" s="128" t="e">
        <f t="shared" si="2"/>
        <v>#DIV/0!</v>
      </c>
      <c r="T9" s="128" t="e">
        <f t="shared" si="2"/>
        <v>#DIV/0!</v>
      </c>
      <c r="U9" s="128" t="e">
        <f t="shared" si="2"/>
        <v>#DIV/0!</v>
      </c>
      <c r="V9" s="128" t="e">
        <f t="shared" si="2"/>
        <v>#DIV/0!</v>
      </c>
      <c r="W9" s="128">
        <f t="shared" si="2"/>
        <v>0</v>
      </c>
      <c r="X9" s="128">
        <f t="shared" si="2"/>
        <v>0</v>
      </c>
      <c r="Y9" s="128">
        <f t="shared" si="2"/>
        <v>0.54528301886792452</v>
      </c>
      <c r="Z9" s="128" t="e">
        <f t="shared" si="2"/>
        <v>#DIV/0!</v>
      </c>
      <c r="AA9" s="128" t="e">
        <f t="shared" si="2"/>
        <v>#DIV/0!</v>
      </c>
      <c r="AB9" s="128" t="e">
        <f t="shared" si="2"/>
        <v>#DIV/0!</v>
      </c>
      <c r="AC9" s="128">
        <f t="shared" si="2"/>
        <v>2.9498570427340113E-2</v>
      </c>
      <c r="AD9" s="128">
        <f t="shared" si="2"/>
        <v>6.2087120647692838E-4</v>
      </c>
      <c r="AE9" s="128">
        <f t="shared" si="2"/>
        <v>2.7922529095014765E-2</v>
      </c>
      <c r="AF9" s="128">
        <f t="shared" si="2"/>
        <v>3.3123832172583662E-2</v>
      </c>
      <c r="AG9" s="128" t="e">
        <f t="shared" si="2"/>
        <v>#DIV/0!</v>
      </c>
      <c r="AH9" s="128">
        <f t="shared" si="2"/>
        <v>0</v>
      </c>
      <c r="AI9" s="128">
        <f t="shared" ref="AI9:BJ9" si="3">AI8/AI5</f>
        <v>0</v>
      </c>
      <c r="AJ9" s="128">
        <f t="shared" si="3"/>
        <v>1.3242204186245195E-2</v>
      </c>
      <c r="AK9" s="128">
        <f t="shared" si="3"/>
        <v>2.9556926528323053E-2</v>
      </c>
      <c r="AL9" s="128">
        <f t="shared" si="3"/>
        <v>0</v>
      </c>
      <c r="AM9" s="128">
        <f t="shared" si="3"/>
        <v>0</v>
      </c>
      <c r="AN9" s="128">
        <f t="shared" si="3"/>
        <v>3.9922164333689031E-3</v>
      </c>
      <c r="AO9" s="128">
        <f t="shared" si="3"/>
        <v>0</v>
      </c>
      <c r="AP9" s="128" t="e">
        <f t="shared" si="3"/>
        <v>#DIV/0!</v>
      </c>
      <c r="AQ9" s="128" t="e">
        <f t="shared" si="3"/>
        <v>#DIV/0!</v>
      </c>
      <c r="AR9" s="128" t="e">
        <f t="shared" si="3"/>
        <v>#DIV/0!</v>
      </c>
      <c r="AS9" s="128" t="e">
        <f t="shared" si="3"/>
        <v>#DIV/0!</v>
      </c>
      <c r="AT9" s="128" t="e">
        <f t="shared" si="3"/>
        <v>#DIV/0!</v>
      </c>
      <c r="AU9" s="128" t="e">
        <f t="shared" si="3"/>
        <v>#DIV/0!</v>
      </c>
      <c r="AV9" s="128">
        <f t="shared" si="3"/>
        <v>0</v>
      </c>
      <c r="AW9" s="128">
        <f t="shared" si="3"/>
        <v>5.6529654115167194E-3</v>
      </c>
      <c r="AX9" s="128">
        <f t="shared" si="3"/>
        <v>0</v>
      </c>
      <c r="AY9" s="128" t="e">
        <f t="shared" si="3"/>
        <v>#DIV/0!</v>
      </c>
      <c r="AZ9" s="128" t="e">
        <f t="shared" si="3"/>
        <v>#DIV/0!</v>
      </c>
      <c r="BA9" s="128" t="e">
        <f t="shared" si="3"/>
        <v>#DIV/0!</v>
      </c>
      <c r="BB9" s="128">
        <f t="shared" si="3"/>
        <v>3.8542766631467794E-2</v>
      </c>
      <c r="BC9" s="128">
        <f t="shared" si="3"/>
        <v>3.7074657186389033E-2</v>
      </c>
      <c r="BD9" s="128">
        <f t="shared" si="3"/>
        <v>0</v>
      </c>
      <c r="BE9" s="128">
        <f t="shared" si="3"/>
        <v>3.9893617021276593E-3</v>
      </c>
      <c r="BF9" s="128">
        <f t="shared" si="3"/>
        <v>2.0610098090841182E-2</v>
      </c>
      <c r="BG9" s="128">
        <f t="shared" si="3"/>
        <v>1.1793807279079228E-2</v>
      </c>
      <c r="BH9" s="128">
        <f t="shared" si="3"/>
        <v>2.7933271135990048E-2</v>
      </c>
      <c r="BI9" s="128">
        <f t="shared" si="3"/>
        <v>0</v>
      </c>
      <c r="BJ9" s="128">
        <f t="shared" si="3"/>
        <v>2.8070695740285874E-2</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128</v>
      </c>
      <c r="B11" s="11" t="s">
        <v>205</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BH11-BI11</f>
        <v>8368212</v>
      </c>
    </row>
    <row r="12" spans="1:63" ht="15.75">
      <c r="A12" s="130" t="s">
        <v>128</v>
      </c>
      <c r="B12" s="5" t="s">
        <v>202</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SUM(C12:AB12)</f>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SUM(AD12:BF12)</f>
        <v>855324.6</v>
      </c>
      <c r="BH12" s="125">
        <f>AC12+BG12</f>
        <v>4509088.4799999995</v>
      </c>
      <c r="BI12" s="37">
        <v>31979.500000000004</v>
      </c>
      <c r="BJ12" s="126">
        <f>BH12-BI12</f>
        <v>4477108.9799999995</v>
      </c>
    </row>
    <row r="13" spans="1:63" ht="15.75">
      <c r="A13" s="130"/>
      <c r="B13" s="5"/>
      <c r="C13" s="37">
        <f>C11-C12</f>
        <v>2236971.84</v>
      </c>
      <c r="D13" s="37">
        <f t="shared" ref="D13:AB13" si="4">D11-D12</f>
        <v>140892</v>
      </c>
      <c r="E13" s="37">
        <f t="shared" si="4"/>
        <v>277075</v>
      </c>
      <c r="F13" s="37">
        <f t="shared" si="4"/>
        <v>163680.47999999998</v>
      </c>
      <c r="G13" s="37">
        <f t="shared" si="4"/>
        <v>122043.84</v>
      </c>
      <c r="H13" s="37">
        <f t="shared" si="4"/>
        <v>0</v>
      </c>
      <c r="I13" s="37">
        <f t="shared" si="4"/>
        <v>0</v>
      </c>
      <c r="J13" s="37">
        <f t="shared" si="4"/>
        <v>0</v>
      </c>
      <c r="K13" s="37">
        <f t="shared" si="4"/>
        <v>0</v>
      </c>
      <c r="L13" s="37">
        <f t="shared" si="4"/>
        <v>25042.559999999998</v>
      </c>
      <c r="M13" s="37">
        <f t="shared" si="4"/>
        <v>148098.72</v>
      </c>
      <c r="N13" s="37">
        <f t="shared" si="4"/>
        <v>126.72</v>
      </c>
      <c r="O13" s="37">
        <f t="shared" si="4"/>
        <v>4305.6000000000004</v>
      </c>
      <c r="P13" s="37">
        <f t="shared" si="4"/>
        <v>115777.43999999997</v>
      </c>
      <c r="Q13" s="37">
        <f t="shared" si="4"/>
        <v>0</v>
      </c>
      <c r="R13" s="37">
        <f t="shared" si="4"/>
        <v>-1355.08</v>
      </c>
      <c r="S13" s="37">
        <f t="shared" si="4"/>
        <v>0</v>
      </c>
      <c r="T13" s="37">
        <f t="shared" si="4"/>
        <v>0</v>
      </c>
      <c r="U13" s="37">
        <f t="shared" si="4"/>
        <v>0</v>
      </c>
      <c r="V13" s="37">
        <f t="shared" si="4"/>
        <v>0</v>
      </c>
      <c r="W13" s="37">
        <f t="shared" si="4"/>
        <v>0</v>
      </c>
      <c r="X13" s="37">
        <f t="shared" si="4"/>
        <v>0</v>
      </c>
      <c r="Y13" s="37">
        <f t="shared" si="4"/>
        <v>0</v>
      </c>
      <c r="Z13" s="37">
        <f t="shared" si="4"/>
        <v>0</v>
      </c>
      <c r="AA13" s="37">
        <f t="shared" si="4"/>
        <v>0</v>
      </c>
      <c r="AB13" s="37">
        <f t="shared" si="4"/>
        <v>0</v>
      </c>
      <c r="AC13" s="123">
        <f>SUM(C13:AB13)</f>
        <v>3232659.12</v>
      </c>
      <c r="AD13" s="37">
        <f>AD11-AD12</f>
        <v>4343.96</v>
      </c>
      <c r="AE13" s="37">
        <f t="shared" ref="AE13:BF13" si="5">AE11-AE12</f>
        <v>24</v>
      </c>
      <c r="AF13" s="37">
        <f t="shared" si="5"/>
        <v>14392.319999999996</v>
      </c>
      <c r="AG13" s="37">
        <f t="shared" si="5"/>
        <v>0</v>
      </c>
      <c r="AH13" s="37">
        <f t="shared" si="5"/>
        <v>0</v>
      </c>
      <c r="AI13" s="37">
        <f t="shared" si="5"/>
        <v>0</v>
      </c>
      <c r="AJ13" s="37">
        <f t="shared" si="5"/>
        <v>50121.199999999983</v>
      </c>
      <c r="AK13" s="37">
        <f t="shared" si="5"/>
        <v>166010.4</v>
      </c>
      <c r="AL13" s="37">
        <f t="shared" si="5"/>
        <v>0</v>
      </c>
      <c r="AM13" s="37">
        <f t="shared" si="5"/>
        <v>16496.16</v>
      </c>
      <c r="AN13" s="37">
        <f t="shared" si="5"/>
        <v>429793.44</v>
      </c>
      <c r="AO13" s="37">
        <f t="shared" si="5"/>
        <v>-33864.959999999999</v>
      </c>
      <c r="AP13" s="37">
        <f t="shared" si="5"/>
        <v>0</v>
      </c>
      <c r="AQ13" s="37">
        <f t="shared" si="5"/>
        <v>0</v>
      </c>
      <c r="AR13" s="37">
        <f t="shared" si="5"/>
        <v>0</v>
      </c>
      <c r="AS13" s="37">
        <f t="shared" si="5"/>
        <v>0</v>
      </c>
      <c r="AT13" s="37">
        <f t="shared" si="5"/>
        <v>0</v>
      </c>
      <c r="AU13" s="37">
        <f t="shared" si="5"/>
        <v>1</v>
      </c>
      <c r="AV13" s="37">
        <f t="shared" si="5"/>
        <v>98.4</v>
      </c>
      <c r="AW13" s="37">
        <f t="shared" si="5"/>
        <v>191.04</v>
      </c>
      <c r="AX13" s="37">
        <f t="shared" si="5"/>
        <v>126.72</v>
      </c>
      <c r="AY13" s="37">
        <f t="shared" si="5"/>
        <v>0</v>
      </c>
      <c r="AZ13" s="37">
        <f t="shared" si="5"/>
        <v>0</v>
      </c>
      <c r="BA13" s="37">
        <f t="shared" si="5"/>
        <v>0</v>
      </c>
      <c r="BB13" s="37">
        <f t="shared" si="5"/>
        <v>11664</v>
      </c>
      <c r="BC13" s="37">
        <f t="shared" si="5"/>
        <v>11663.039999999999</v>
      </c>
      <c r="BD13" s="37">
        <f t="shared" si="5"/>
        <v>0</v>
      </c>
      <c r="BE13" s="37">
        <f t="shared" si="5"/>
        <v>4849.4400000000005</v>
      </c>
      <c r="BF13" s="37">
        <f t="shared" si="5"/>
        <v>14513.239999999998</v>
      </c>
      <c r="BG13" s="124">
        <f>SUM(AD13:BF13)</f>
        <v>690423.4</v>
      </c>
      <c r="BH13" s="125">
        <f>AC13+BG13</f>
        <v>3923082.52</v>
      </c>
      <c r="BI13" s="38">
        <f>BI11-BI12</f>
        <v>31979.499999999996</v>
      </c>
      <c r="BJ13" s="126">
        <f>BH13-BI13</f>
        <v>3891103.02</v>
      </c>
    </row>
    <row r="14" spans="1:63" ht="15.75">
      <c r="A14" s="130"/>
      <c r="B14" s="12" t="s">
        <v>203</v>
      </c>
      <c r="C14" s="9">
        <f>IF('Upto Month Current'!$C$4="",0,'Upto Month Current'!$C$4)</f>
        <v>214701</v>
      </c>
      <c r="D14" s="9">
        <f>IF('Upto Month Current'!$C$5="",0,'Upto Month Current'!$C$5)</f>
        <v>133284</v>
      </c>
      <c r="E14" s="9">
        <f>IF('Upto Month Current'!$C$6="",0,'Upto Month Current'!$C$6)</f>
        <v>113</v>
      </c>
      <c r="F14" s="9">
        <f>IF('Upto Month Current'!$C$7="",0,'Upto Month Current'!$C$7)</f>
        <v>16922</v>
      </c>
      <c r="G14" s="9">
        <f>IF('Upto Month Current'!$C$8="",0,'Upto Month Current'!$C$8)</f>
        <v>19860</v>
      </c>
      <c r="H14" s="9">
        <f>IF('Upto Month Current'!$C$9="",0,'Upto Month Current'!$C$9)</f>
        <v>0</v>
      </c>
      <c r="I14" s="9">
        <f>IF('Upto Month Current'!$C$10="",0,'Upto Month Current'!$C$10)</f>
        <v>0</v>
      </c>
      <c r="J14" s="9">
        <f>IF('Upto Month Current'!$C$11="",0,'Upto Month Current'!$C$11)</f>
        <v>0</v>
      </c>
      <c r="K14" s="9">
        <f>IF('Upto Month Current'!$C$12="",0,'Upto Month Current'!$C$12)</f>
        <v>84</v>
      </c>
      <c r="L14" s="9">
        <f>IF('Upto Month Current'!$C$13="",0,'Upto Month Current'!$C$13)</f>
        <v>7948</v>
      </c>
      <c r="M14" s="9">
        <f>IF('Upto Month Current'!$C$14="",0,'Upto Month Current'!$C$14)</f>
        <v>19345</v>
      </c>
      <c r="N14" s="9">
        <f>IF('Upto Month Current'!$C$15="",0,'Upto Month Current'!$C$15)</f>
        <v>0</v>
      </c>
      <c r="O14" s="9">
        <f>IF('Upto Month Current'!$C$16="",0,'Upto Month Current'!$C$16)</f>
        <v>203</v>
      </c>
      <c r="P14" s="9">
        <f>IF('Upto Month Current'!$C$17="",0,'Upto Month Current'!$C$17)</f>
        <v>12359</v>
      </c>
      <c r="Q14" s="9">
        <f>IF('Upto Month Current'!$C$18="",0,'Upto Month Current'!$C$18)</f>
        <v>0</v>
      </c>
      <c r="R14" s="9">
        <f>IF('Upto Month Current'!$C$21="",0,'Upto Month Current'!$C$21)</f>
        <v>132</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961</v>
      </c>
      <c r="Z14" s="9">
        <f>IF('Upto Month Current'!$C$43="",0,'Upto Month Current'!$C$43)</f>
        <v>426</v>
      </c>
      <c r="AA14" s="9">
        <f>IF('Upto Month Current'!$C$44="",0,'Upto Month Current'!$C$44)</f>
        <v>246</v>
      </c>
      <c r="AB14" s="9">
        <f>IF('Upto Month Current'!$C$51="",0,'Upto Month Current'!$C$51)</f>
        <v>0</v>
      </c>
      <c r="AC14" s="123">
        <f>SUM(C14:AB14)</f>
        <v>426584</v>
      </c>
      <c r="AD14" s="9">
        <f>IF('Upto Month Current'!$C$19="",0,'Upto Month Current'!$C$19)</f>
        <v>304</v>
      </c>
      <c r="AE14" s="9">
        <f>IF('Upto Month Current'!$C$20="",0,'Upto Month Current'!$C$20)</f>
        <v>0</v>
      </c>
      <c r="AF14" s="9">
        <f>IF('Upto Month Current'!$C$22="",0,'Upto Month Current'!$C$22)</f>
        <v>2984</v>
      </c>
      <c r="AG14" s="9">
        <f>IF('Upto Month Current'!$C$23="",0,'Upto Month Current'!$C$23)</f>
        <v>0</v>
      </c>
      <c r="AH14" s="9">
        <f>IF('Upto Month Current'!$C$24="",0,'Upto Month Current'!$C$24)</f>
        <v>0</v>
      </c>
      <c r="AI14" s="9">
        <f>IF('Upto Month Current'!$C$25="",0,'Upto Month Current'!$C$25)</f>
        <v>0</v>
      </c>
      <c r="AJ14" s="9">
        <f>IF('Upto Month Current'!$C$28="",0,'Upto Month Current'!$C$28)</f>
        <v>257</v>
      </c>
      <c r="AK14" s="9">
        <f>IF('Upto Month Current'!$C$29="",0,'Upto Month Current'!$C$29)</f>
        <v>20762</v>
      </c>
      <c r="AL14" s="9">
        <f>IF('Upto Month Current'!$C$31="",0,'Upto Month Current'!$C$31)</f>
        <v>0</v>
      </c>
      <c r="AM14" s="9">
        <f>IF('Upto Month Current'!$C$32="",0,'Upto Month Current'!$C$32)</f>
        <v>17606</v>
      </c>
      <c r="AN14" s="9">
        <f>IF('Upto Month Current'!$C$33="",0,'Upto Month Current'!$C$33)</f>
        <v>77427</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0</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6257</v>
      </c>
      <c r="BC14" s="9">
        <f>IF('Upto Month Current'!$C$54="",0,'Upto Month Current'!$C$54)</f>
        <v>6257</v>
      </c>
      <c r="BD14" s="9">
        <f>IF('Upto Month Current'!$C$55="",0,'Upto Month Current'!$C$55)</f>
        <v>0</v>
      </c>
      <c r="BE14" s="9">
        <f>IF('Upto Month Current'!$C$56="",0,'Upto Month Current'!$C$56)</f>
        <v>438</v>
      </c>
      <c r="BF14" s="9">
        <f>IF('Upto Month Current'!$C$58="",0,'Upto Month Current'!$C$58)</f>
        <v>36</v>
      </c>
      <c r="BG14" s="124">
        <f>SUM(AD14:BF14)</f>
        <v>132328</v>
      </c>
      <c r="BH14" s="125">
        <f>AC14+BG14</f>
        <v>558912</v>
      </c>
      <c r="BI14" s="9">
        <f>IF('Upto Month Current'!$C$60="",0,'Upto Month Current'!$C$60)</f>
        <v>0</v>
      </c>
      <c r="BJ14" s="126">
        <f>BH14-BI14</f>
        <v>558912</v>
      </c>
      <c r="BK14">
        <f>'Upto Month Current'!$C$61</f>
        <v>558910</v>
      </c>
    </row>
    <row r="15" spans="1:63" ht="15.75">
      <c r="A15" s="130"/>
      <c r="B15" s="5" t="s">
        <v>201</v>
      </c>
      <c r="C15" s="128">
        <f t="shared" ref="C15:AH15" si="6">C14/C11</f>
        <v>4.6069636710312813E-2</v>
      </c>
      <c r="D15" s="128">
        <f t="shared" si="6"/>
        <v>0.1805774022184016</v>
      </c>
      <c r="E15" s="128">
        <f t="shared" si="6"/>
        <v>4.0783181449066138E-4</v>
      </c>
      <c r="F15" s="128">
        <f t="shared" si="6"/>
        <v>4.9624487904727552E-2</v>
      </c>
      <c r="G15" s="128">
        <f t="shared" si="6"/>
        <v>7.8109636668266091E-2</v>
      </c>
      <c r="H15" s="128" t="e">
        <f t="shared" si="6"/>
        <v>#DIV/0!</v>
      </c>
      <c r="I15" s="128" t="e">
        <f t="shared" si="6"/>
        <v>#DIV/0!</v>
      </c>
      <c r="J15" s="128" t="e">
        <f t="shared" si="6"/>
        <v>#DIV/0!</v>
      </c>
      <c r="K15" s="128" t="e">
        <f t="shared" si="6"/>
        <v>#DIV/0!</v>
      </c>
      <c r="L15" s="128">
        <f t="shared" si="6"/>
        <v>0.15234225254926015</v>
      </c>
      <c r="M15" s="128">
        <f t="shared" si="6"/>
        <v>6.2698718800540607E-2</v>
      </c>
      <c r="N15" s="128">
        <f t="shared" si="6"/>
        <v>0</v>
      </c>
      <c r="O15" s="128">
        <f t="shared" si="6"/>
        <v>2.2630992196209586E-2</v>
      </c>
      <c r="P15" s="128">
        <f t="shared" si="6"/>
        <v>5.1238997856577241E-2</v>
      </c>
      <c r="Q15" s="128" t="e">
        <f t="shared" si="6"/>
        <v>#DIV/0!</v>
      </c>
      <c r="R15" s="128">
        <f t="shared" si="6"/>
        <v>2.9438001784121322E-2</v>
      </c>
      <c r="S15" s="128" t="e">
        <f t="shared" si="6"/>
        <v>#DIV/0!</v>
      </c>
      <c r="T15" s="128" t="e">
        <f t="shared" si="6"/>
        <v>#DIV/0!</v>
      </c>
      <c r="U15" s="128" t="e">
        <f t="shared" si="6"/>
        <v>#DIV/0!</v>
      </c>
      <c r="V15" s="128" t="e">
        <f t="shared" si="6"/>
        <v>#DIV/0!</v>
      </c>
      <c r="W15" s="128" t="e">
        <f t="shared" si="6"/>
        <v>#DIV/0!</v>
      </c>
      <c r="X15" s="128" t="e">
        <f t="shared" si="6"/>
        <v>#DIV/0!</v>
      </c>
      <c r="Y15" s="128" t="e">
        <f t="shared" si="6"/>
        <v>#DIV/0!</v>
      </c>
      <c r="Z15" s="128" t="e">
        <f t="shared" si="6"/>
        <v>#DIV/0!</v>
      </c>
      <c r="AA15" s="128" t="e">
        <f t="shared" si="6"/>
        <v>#DIV/0!</v>
      </c>
      <c r="AB15" s="128" t="e">
        <f t="shared" si="6"/>
        <v>#DIV/0!</v>
      </c>
      <c r="AC15" s="128">
        <f t="shared" si="6"/>
        <v>6.1945657418953207E-2</v>
      </c>
      <c r="AD15" s="128">
        <f t="shared" si="6"/>
        <v>3.1253212706898327E-2</v>
      </c>
      <c r="AE15" s="128">
        <f t="shared" si="6"/>
        <v>0</v>
      </c>
      <c r="AF15" s="128">
        <f t="shared" si="6"/>
        <v>9.9519743863393809E-2</v>
      </c>
      <c r="AG15" s="128" t="e">
        <f t="shared" si="6"/>
        <v>#DIV/0!</v>
      </c>
      <c r="AH15" s="128" t="e">
        <f t="shared" si="6"/>
        <v>#DIV/0!</v>
      </c>
      <c r="AI15" s="128" t="e">
        <f t="shared" ref="AI15:BJ15" si="7">AI14/AI11</f>
        <v>#DIV/0!</v>
      </c>
      <c r="AJ15" s="128">
        <f t="shared" si="7"/>
        <v>1.2173863614832218E-3</v>
      </c>
      <c r="AK15" s="128">
        <f t="shared" si="7"/>
        <v>6.0030937820763033E-2</v>
      </c>
      <c r="AL15" s="128" t="e">
        <f t="shared" si="7"/>
        <v>#DIV/0!</v>
      </c>
      <c r="AM15" s="128">
        <f t="shared" si="7"/>
        <v>0.51229377018651612</v>
      </c>
      <c r="AN15" s="128">
        <f t="shared" si="7"/>
        <v>8.6471678115887476E-2</v>
      </c>
      <c r="AO15" s="128">
        <f t="shared" si="7"/>
        <v>0</v>
      </c>
      <c r="AP15" s="128" t="e">
        <f t="shared" si="7"/>
        <v>#DIV/0!</v>
      </c>
      <c r="AQ15" s="128" t="e">
        <f t="shared" si="7"/>
        <v>#DIV/0!</v>
      </c>
      <c r="AR15" s="128" t="e">
        <f t="shared" si="7"/>
        <v>#DIV/0!</v>
      </c>
      <c r="AS15" s="128" t="e">
        <f t="shared" si="7"/>
        <v>#DIV/0!</v>
      </c>
      <c r="AT15" s="128" t="e">
        <f t="shared" si="7"/>
        <v>#DIV/0!</v>
      </c>
      <c r="AU15" s="128">
        <f t="shared" si="7"/>
        <v>0</v>
      </c>
      <c r="AV15" s="128">
        <f t="shared" si="7"/>
        <v>0</v>
      </c>
      <c r="AW15" s="128">
        <f t="shared" si="7"/>
        <v>0</v>
      </c>
      <c r="AX15" s="128">
        <f t="shared" si="7"/>
        <v>0</v>
      </c>
      <c r="AY15" s="128" t="e">
        <f t="shared" si="7"/>
        <v>#DIV/0!</v>
      </c>
      <c r="AZ15" s="128" t="e">
        <f t="shared" si="7"/>
        <v>#DIV/0!</v>
      </c>
      <c r="BA15" s="128" t="e">
        <f t="shared" si="7"/>
        <v>#DIV/0!</v>
      </c>
      <c r="BB15" s="128">
        <f t="shared" si="7"/>
        <v>0.25748971193415637</v>
      </c>
      <c r="BC15" s="128">
        <f t="shared" si="7"/>
        <v>0.25751090624742778</v>
      </c>
      <c r="BD15" s="128" t="e">
        <f t="shared" si="7"/>
        <v>#DIV/0!</v>
      </c>
      <c r="BE15" s="128">
        <f t="shared" si="7"/>
        <v>4.3353459368504405E-2</v>
      </c>
      <c r="BF15" s="128">
        <f t="shared" si="7"/>
        <v>1.1905943049905744E-3</v>
      </c>
      <c r="BG15" s="128">
        <f t="shared" si="7"/>
        <v>8.5607744600025362E-2</v>
      </c>
      <c r="BH15" s="128">
        <f t="shared" si="7"/>
        <v>6.6283285763535871E-2</v>
      </c>
      <c r="BI15" s="128">
        <f t="shared" si="7"/>
        <v>0</v>
      </c>
      <c r="BJ15" s="128">
        <f t="shared" si="7"/>
        <v>6.6789894902280197E-2</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129</v>
      </c>
      <c r="B17" s="11" t="s">
        <v>205</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BH17-BI17</f>
        <v>2317390</v>
      </c>
    </row>
    <row r="18" spans="1:63" ht="15.75">
      <c r="A18" s="130" t="s">
        <v>129</v>
      </c>
      <c r="B18" s="5" t="s">
        <v>202</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SUM(C18:AB18)</f>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SUM(AD18:BF18)</f>
        <v>477027.20000000007</v>
      </c>
      <c r="BH18" s="125">
        <f>AC18+BG18</f>
        <v>1257185.2800000003</v>
      </c>
      <c r="BI18" s="37">
        <v>35674</v>
      </c>
      <c r="BJ18" s="126">
        <f>BH18-BI18</f>
        <v>1221511.2800000003</v>
      </c>
    </row>
    <row r="19" spans="1:63" ht="15.75">
      <c r="A19" s="130"/>
      <c r="B19" s="134" t="s">
        <v>206</v>
      </c>
      <c r="C19" s="37">
        <f>C17-C18</f>
        <v>379570.55999999994</v>
      </c>
      <c r="D19" s="37">
        <f t="shared" ref="D19:AB19" si="8">D17-D18</f>
        <v>58210.36</v>
      </c>
      <c r="E19" s="37">
        <f t="shared" si="8"/>
        <v>44688</v>
      </c>
      <c r="F19" s="37">
        <f t="shared" si="8"/>
        <v>45331.68</v>
      </c>
      <c r="G19" s="37">
        <f t="shared" si="8"/>
        <v>33128.159999999996</v>
      </c>
      <c r="H19" s="37">
        <f t="shared" si="8"/>
        <v>0</v>
      </c>
      <c r="I19" s="37">
        <f t="shared" si="8"/>
        <v>0</v>
      </c>
      <c r="J19" s="37">
        <f t="shared" si="8"/>
        <v>0</v>
      </c>
      <c r="K19" s="37">
        <f t="shared" si="8"/>
        <v>389.75999999999988</v>
      </c>
      <c r="L19" s="37">
        <f t="shared" si="8"/>
        <v>3617.7599999999998</v>
      </c>
      <c r="M19" s="37">
        <f t="shared" si="8"/>
        <v>3221.7599999999998</v>
      </c>
      <c r="N19" s="37">
        <f t="shared" si="8"/>
        <v>7.1999999999999993</v>
      </c>
      <c r="O19" s="37">
        <f t="shared" si="8"/>
        <v>1315.1999999999998</v>
      </c>
      <c r="P19" s="37">
        <f t="shared" si="8"/>
        <v>5426.24</v>
      </c>
      <c r="Q19" s="37">
        <f t="shared" si="8"/>
        <v>0</v>
      </c>
      <c r="R19" s="37">
        <f t="shared" si="8"/>
        <v>-544.60000000000036</v>
      </c>
      <c r="S19" s="37">
        <f t="shared" si="8"/>
        <v>0</v>
      </c>
      <c r="T19" s="37">
        <f t="shared" si="8"/>
        <v>0</v>
      </c>
      <c r="U19" s="37">
        <f t="shared" si="8"/>
        <v>0</v>
      </c>
      <c r="V19" s="37">
        <f t="shared" si="8"/>
        <v>3298.079999999999</v>
      </c>
      <c r="W19" s="37">
        <f t="shared" si="8"/>
        <v>0</v>
      </c>
      <c r="X19" s="37">
        <f t="shared" si="8"/>
        <v>0</v>
      </c>
      <c r="Y19" s="37">
        <f t="shared" si="8"/>
        <v>0</v>
      </c>
      <c r="Z19" s="37">
        <f t="shared" si="8"/>
        <v>0</v>
      </c>
      <c r="AA19" s="37">
        <f t="shared" si="8"/>
        <v>0</v>
      </c>
      <c r="AB19" s="37">
        <f t="shared" si="8"/>
        <v>148013.76000000001</v>
      </c>
      <c r="AC19" s="123">
        <f>SUM(C19:AB19)</f>
        <v>725673.91999999993</v>
      </c>
      <c r="AD19" s="37">
        <f>AD17-AD18</f>
        <v>318.71999999999997</v>
      </c>
      <c r="AE19" s="37">
        <f t="shared" ref="AE19:BF19" si="9">AE17-AE18</f>
        <v>0</v>
      </c>
      <c r="AF19" s="37">
        <f t="shared" si="9"/>
        <v>166.07999999999998</v>
      </c>
      <c r="AG19" s="37">
        <f t="shared" si="9"/>
        <v>0</v>
      </c>
      <c r="AH19" s="37">
        <f t="shared" si="9"/>
        <v>0</v>
      </c>
      <c r="AI19" s="37">
        <f t="shared" si="9"/>
        <v>0</v>
      </c>
      <c r="AJ19" s="37">
        <f t="shared" si="9"/>
        <v>161289.59999999998</v>
      </c>
      <c r="AK19" s="37">
        <f t="shared" si="9"/>
        <v>47060.159999999996</v>
      </c>
      <c r="AL19" s="37">
        <f t="shared" si="9"/>
        <v>0</v>
      </c>
      <c r="AM19" s="37">
        <f t="shared" si="9"/>
        <v>0</v>
      </c>
      <c r="AN19" s="37">
        <f t="shared" si="9"/>
        <v>49805.279999999984</v>
      </c>
      <c r="AO19" s="37">
        <f t="shared" si="9"/>
        <v>49560.959999999992</v>
      </c>
      <c r="AP19" s="37">
        <f t="shared" si="9"/>
        <v>0</v>
      </c>
      <c r="AQ19" s="37">
        <f t="shared" si="9"/>
        <v>0</v>
      </c>
      <c r="AR19" s="37">
        <f t="shared" si="9"/>
        <v>0</v>
      </c>
      <c r="AS19" s="37">
        <f t="shared" si="9"/>
        <v>0</v>
      </c>
      <c r="AT19" s="37">
        <f t="shared" si="9"/>
        <v>0</v>
      </c>
      <c r="AU19" s="37">
        <f t="shared" si="9"/>
        <v>0</v>
      </c>
      <c r="AV19" s="37">
        <f t="shared" si="9"/>
        <v>33.119999999999997</v>
      </c>
      <c r="AW19" s="37">
        <f t="shared" si="9"/>
        <v>37.92</v>
      </c>
      <c r="AX19" s="37">
        <f t="shared" si="9"/>
        <v>30.240000000000002</v>
      </c>
      <c r="AY19" s="37">
        <f t="shared" si="9"/>
        <v>0</v>
      </c>
      <c r="AZ19" s="37">
        <f t="shared" si="9"/>
        <v>0</v>
      </c>
      <c r="BA19" s="37">
        <f t="shared" si="9"/>
        <v>92894.32</v>
      </c>
      <c r="BB19" s="37">
        <f t="shared" si="9"/>
        <v>1235.5199999999998</v>
      </c>
      <c r="BC19" s="37">
        <f t="shared" si="9"/>
        <v>1235.5199999999998</v>
      </c>
      <c r="BD19" s="37">
        <f t="shared" si="9"/>
        <v>0</v>
      </c>
      <c r="BE19" s="37">
        <f t="shared" si="9"/>
        <v>1778.8799999999999</v>
      </c>
      <c r="BF19" s="37">
        <f t="shared" si="9"/>
        <v>432.48</v>
      </c>
      <c r="BG19" s="124">
        <f>SUM(AD19:BF19)</f>
        <v>405878.79999999993</v>
      </c>
      <c r="BH19" s="125">
        <f>AC19+BG19</f>
        <v>1131552.7199999997</v>
      </c>
      <c r="BI19" s="38">
        <f>BI17-BI18</f>
        <v>35674</v>
      </c>
      <c r="BJ19" s="126">
        <f>BH19-BI19</f>
        <v>1095878.7199999997</v>
      </c>
    </row>
    <row r="20" spans="1:63" ht="15.75">
      <c r="A20" s="130"/>
      <c r="B20" s="12" t="s">
        <v>203</v>
      </c>
      <c r="C20" s="9">
        <f>IF('Upto Month Current'!$D$4="",0,'Upto Month Current'!$D$4)</f>
        <v>37969</v>
      </c>
      <c r="D20" s="9">
        <f>IF('Upto Month Current'!$D$5="",0,'Upto Month Current'!$D$5)</f>
        <v>23511</v>
      </c>
      <c r="E20" s="9">
        <f>IF('Upto Month Current'!$D$6="",0,'Upto Month Current'!$D$6)</f>
        <v>0</v>
      </c>
      <c r="F20" s="9">
        <f>IF('Upto Month Current'!$D$7="",0,'Upto Month Current'!$D$7)</f>
        <v>3928</v>
      </c>
      <c r="G20" s="9">
        <f>IF('Upto Month Current'!$D$8="",0,'Upto Month Current'!$D$8)</f>
        <v>5977</v>
      </c>
      <c r="H20" s="9">
        <f>IF('Upto Month Current'!$D$9="",0,'Upto Month Current'!$D$9)</f>
        <v>0</v>
      </c>
      <c r="I20" s="9">
        <f>IF('Upto Month Current'!$D$10="",0,'Upto Month Current'!$D$10)</f>
        <v>0</v>
      </c>
      <c r="J20" s="9">
        <f>IF('Upto Month Current'!$D$11="",0,'Upto Month Current'!$D$11)</f>
        <v>0</v>
      </c>
      <c r="K20" s="9">
        <f>IF('Upto Month Current'!$D$12="",0,'Upto Month Current'!$D$12)</f>
        <v>221</v>
      </c>
      <c r="L20" s="9">
        <f>IF('Upto Month Current'!$D$13="",0,'Upto Month Current'!$D$13)</f>
        <v>1077</v>
      </c>
      <c r="M20" s="9">
        <f>IF('Upto Month Current'!$D$14="",0,'Upto Month Current'!$D$14)</f>
        <v>343</v>
      </c>
      <c r="N20" s="9">
        <f>IF('Upto Month Current'!$D$15="",0,'Upto Month Current'!$D$15)</f>
        <v>0</v>
      </c>
      <c r="O20" s="9">
        <f>IF('Upto Month Current'!$D$16="",0,'Upto Month Current'!$D$16)</f>
        <v>221</v>
      </c>
      <c r="P20" s="9">
        <f>IF('Upto Month Current'!$D$17="",0,'Upto Month Current'!$D$17)</f>
        <v>854</v>
      </c>
      <c r="Q20" s="9">
        <f>IF('Upto Month Current'!$D$18="",0,'Upto Month Current'!$D$18)</f>
        <v>0</v>
      </c>
      <c r="R20" s="9">
        <f>IF('Upto Month Current'!$D$21="",0,'Upto Month Current'!$D$21)</f>
        <v>232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209</v>
      </c>
      <c r="Z20" s="9">
        <f>IF('Upto Month Current'!$D$43="",0,'Upto Month Current'!$D$43)</f>
        <v>84</v>
      </c>
      <c r="AA20" s="9">
        <f>IF('Upto Month Current'!$D$44="",0,'Upto Month Current'!$D$44)</f>
        <v>27</v>
      </c>
      <c r="AB20" s="9">
        <f>IF('Upto Month Current'!$D$51="",0,'Upto Month Current'!$D$51)</f>
        <v>0</v>
      </c>
      <c r="AC20" s="123">
        <f>SUM(C20:AB20)</f>
        <v>74653</v>
      </c>
      <c r="AD20" s="9">
        <f>IF('Upto Month Current'!$D$19="",0,'Upto Month Current'!$D$19)</f>
        <v>0</v>
      </c>
      <c r="AE20" s="9">
        <f>IF('Upto Month Current'!$D$20="",0,'Upto Month Current'!$D$20)</f>
        <v>138</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22314</v>
      </c>
      <c r="AK20" s="9">
        <f>IF('Upto Month Current'!$D$29="",0,'Upto Month Current'!$D$29)</f>
        <v>9990</v>
      </c>
      <c r="AL20" s="9">
        <f>IF('Upto Month Current'!$D$31="",0,'Upto Month Current'!$D$31)</f>
        <v>0</v>
      </c>
      <c r="AM20" s="9">
        <f>IF('Upto Month Current'!$D$32="",0,'Upto Month Current'!$D$32)</f>
        <v>0</v>
      </c>
      <c r="AN20" s="9">
        <f>IF('Upto Month Current'!$D$33="",0,'Upto Month Current'!$D$33)</f>
        <v>1877</v>
      </c>
      <c r="AO20" s="9">
        <f>IF('Upto Month Current'!$D$34="",0,'Upto Month Current'!$D$34)</f>
        <v>-558</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-10232</v>
      </c>
      <c r="BB20" s="9">
        <f>IF('Upto Month Current'!$D$53="",0,'Upto Month Current'!$D$53)</f>
        <v>255</v>
      </c>
      <c r="BC20" s="9">
        <f>IF('Upto Month Current'!$D$54="",0,'Upto Month Current'!$D$54)</f>
        <v>255</v>
      </c>
      <c r="BD20" s="9">
        <f>IF('Upto Month Current'!$D$55="",0,'Upto Month Current'!$D$55)</f>
        <v>0</v>
      </c>
      <c r="BE20" s="9">
        <f>IF('Upto Month Current'!$D$56="",0,'Upto Month Current'!$D$56)</f>
        <v>1078</v>
      </c>
      <c r="BF20" s="9">
        <f>IF('Upto Month Current'!$D$58="",0,'Upto Month Current'!$D$58)</f>
        <v>12</v>
      </c>
      <c r="BG20" s="124">
        <f>SUM(AD20:BF20)</f>
        <v>25129</v>
      </c>
      <c r="BH20" s="125">
        <f>AC20+BG20</f>
        <v>99782</v>
      </c>
      <c r="BI20" s="9">
        <f>IF('Upto Month Current'!$D$60="",0,'Upto Month Current'!$D$60)</f>
        <v>0</v>
      </c>
      <c r="BJ20" s="126">
        <f>BH20-BI20</f>
        <v>99782</v>
      </c>
      <c r="BK20">
        <f>'Upto Month Current'!$D$61</f>
        <v>99784</v>
      </c>
    </row>
    <row r="21" spans="1:63" ht="15.75">
      <c r="A21" s="130"/>
      <c r="B21" s="5" t="s">
        <v>201</v>
      </c>
      <c r="C21" s="128">
        <f t="shared" ref="C21:AH21" si="10">C20/C17</f>
        <v>4.8015104227261463E-2</v>
      </c>
      <c r="D21" s="128">
        <f t="shared" si="10"/>
        <v>0.14694007649808755</v>
      </c>
      <c r="E21" s="128">
        <f t="shared" si="10"/>
        <v>0</v>
      </c>
      <c r="F21" s="128">
        <f t="shared" si="10"/>
        <v>4.1592105123833926E-2</v>
      </c>
      <c r="G21" s="128">
        <f t="shared" si="10"/>
        <v>8.6601851717692746E-2</v>
      </c>
      <c r="H21" s="128" t="e">
        <f t="shared" si="10"/>
        <v>#DIV/0!</v>
      </c>
      <c r="I21" s="128" t="e">
        <f t="shared" si="10"/>
        <v>#DIV/0!</v>
      </c>
      <c r="J21" s="128" t="e">
        <f t="shared" si="10"/>
        <v>#DIV/0!</v>
      </c>
      <c r="K21" s="128">
        <f t="shared" si="10"/>
        <v>0.27216748768472904</v>
      </c>
      <c r="L21" s="128">
        <f t="shared" si="10"/>
        <v>0.1428950510813321</v>
      </c>
      <c r="M21" s="128">
        <f t="shared" si="10"/>
        <v>5.1102502979737785E-2</v>
      </c>
      <c r="N21" s="128">
        <f t="shared" si="10"/>
        <v>0</v>
      </c>
      <c r="O21" s="128">
        <f t="shared" si="10"/>
        <v>8.0656934306569339E-2</v>
      </c>
      <c r="P21" s="128">
        <f t="shared" si="10"/>
        <v>6.8937681627381342E-2</v>
      </c>
      <c r="Q21" s="128" t="e">
        <f t="shared" si="10"/>
        <v>#DIV/0!</v>
      </c>
      <c r="R21" s="128">
        <f t="shared" si="10"/>
        <v>0.15750169721656485</v>
      </c>
      <c r="S21" s="128" t="e">
        <f t="shared" si="10"/>
        <v>#DIV/0!</v>
      </c>
      <c r="T21" s="128" t="e">
        <f t="shared" si="10"/>
        <v>#DIV/0!</v>
      </c>
      <c r="U21" s="128" t="e">
        <f t="shared" si="10"/>
        <v>#DIV/0!</v>
      </c>
      <c r="V21" s="128">
        <f t="shared" si="10"/>
        <v>0</v>
      </c>
      <c r="W21" s="128" t="e">
        <f t="shared" si="10"/>
        <v>#DIV/0!</v>
      </c>
      <c r="X21" s="128" t="e">
        <f t="shared" si="10"/>
        <v>#DIV/0!</v>
      </c>
      <c r="Y21" s="128" t="e">
        <f t="shared" si="10"/>
        <v>#DIV/0!</v>
      </c>
      <c r="Z21" s="128" t="e">
        <f t="shared" si="10"/>
        <v>#DIV/0!</v>
      </c>
      <c r="AA21" s="128" t="e">
        <f t="shared" si="10"/>
        <v>#DIV/0!</v>
      </c>
      <c r="AB21" s="128">
        <f t="shared" si="10"/>
        <v>0</v>
      </c>
      <c r="AC21" s="128">
        <f t="shared" si="10"/>
        <v>4.9575915507174773E-2</v>
      </c>
      <c r="AD21" s="128">
        <f t="shared" si="10"/>
        <v>0</v>
      </c>
      <c r="AE21" s="128" t="e">
        <f t="shared" si="10"/>
        <v>#DIV/0!</v>
      </c>
      <c r="AF21" s="128">
        <f t="shared" si="10"/>
        <v>0</v>
      </c>
      <c r="AG21" s="128" t="e">
        <f t="shared" si="10"/>
        <v>#DIV/0!</v>
      </c>
      <c r="AH21" s="128" t="e">
        <f t="shared" si="10"/>
        <v>#DIV/0!</v>
      </c>
      <c r="AI21" s="128" t="e">
        <f t="shared" ref="AI21:BJ21" si="11">AI20/AI17</f>
        <v>#DIV/0!</v>
      </c>
      <c r="AJ21" s="128">
        <f t="shared" si="11"/>
        <v>6.6406761502291536E-2</v>
      </c>
      <c r="AK21" s="128">
        <f t="shared" si="11"/>
        <v>0.10189510617898452</v>
      </c>
      <c r="AL21" s="128" t="e">
        <f t="shared" si="11"/>
        <v>#DIV/0!</v>
      </c>
      <c r="AM21" s="128" t="e">
        <f t="shared" si="11"/>
        <v>#DIV/0!</v>
      </c>
      <c r="AN21" s="128">
        <f t="shared" si="11"/>
        <v>1.8089648326442498E-2</v>
      </c>
      <c r="AO21" s="128">
        <f t="shared" si="11"/>
        <v>-5.4042536706310771E-3</v>
      </c>
      <c r="AP21" s="128" t="e">
        <f t="shared" si="11"/>
        <v>#DIV/0!</v>
      </c>
      <c r="AQ21" s="128" t="e">
        <f t="shared" si="11"/>
        <v>#DIV/0!</v>
      </c>
      <c r="AR21" s="128" t="e">
        <f t="shared" si="11"/>
        <v>#DIV/0!</v>
      </c>
      <c r="AS21" s="128" t="e">
        <f t="shared" si="11"/>
        <v>#DIV/0!</v>
      </c>
      <c r="AT21" s="128" t="e">
        <f t="shared" si="11"/>
        <v>#DIV/0!</v>
      </c>
      <c r="AU21" s="128" t="e">
        <f t="shared" si="11"/>
        <v>#DIV/0!</v>
      </c>
      <c r="AV21" s="128">
        <f t="shared" si="11"/>
        <v>0</v>
      </c>
      <c r="AW21" s="128">
        <f t="shared" si="11"/>
        <v>0</v>
      </c>
      <c r="AX21" s="128">
        <f t="shared" si="11"/>
        <v>0</v>
      </c>
      <c r="AY21" s="128" t="e">
        <f t="shared" si="11"/>
        <v>#DIV/0!</v>
      </c>
      <c r="AZ21" s="128" t="e">
        <f t="shared" si="11"/>
        <v>#DIV/0!</v>
      </c>
      <c r="BA21" s="128">
        <f t="shared" si="11"/>
        <v>-4.432219358471768E-2</v>
      </c>
      <c r="BB21" s="128">
        <f t="shared" si="11"/>
        <v>9.9067599067599071E-2</v>
      </c>
      <c r="BC21" s="128">
        <f t="shared" si="11"/>
        <v>9.9067599067599071E-2</v>
      </c>
      <c r="BD21" s="128" t="e">
        <f t="shared" si="11"/>
        <v>#DIV/0!</v>
      </c>
      <c r="BE21" s="128">
        <f t="shared" si="11"/>
        <v>0.29087965461413923</v>
      </c>
      <c r="BF21" s="128">
        <f t="shared" si="11"/>
        <v>1.3318534961154272E-2</v>
      </c>
      <c r="BG21" s="128">
        <f t="shared" si="11"/>
        <v>2.8461693543820069E-2</v>
      </c>
      <c r="BH21" s="128">
        <f t="shared" si="11"/>
        <v>4.1771847728800729E-2</v>
      </c>
      <c r="BI21" s="128">
        <f t="shared" si="11"/>
        <v>0</v>
      </c>
      <c r="BJ21" s="128">
        <f t="shared" si="11"/>
        <v>4.3057922921907833E-2</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130</v>
      </c>
      <c r="B23" s="11" t="s">
        <v>205</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BH23-BI23</f>
        <v>4612017</v>
      </c>
    </row>
    <row r="24" spans="1:63" ht="15.75">
      <c r="A24" s="130" t="s">
        <v>130</v>
      </c>
      <c r="B24" s="5" t="s">
        <v>202</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SUM(C24:AB24)</f>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SUM(AD24:BF24)</f>
        <v>631172.3600000001</v>
      </c>
      <c r="BH24" s="125">
        <f>AC24+BG24</f>
        <v>2609257.56</v>
      </c>
      <c r="BI24" s="37">
        <v>52500.500000000007</v>
      </c>
      <c r="BJ24" s="126">
        <f>BH24-BI24</f>
        <v>2556757.06</v>
      </c>
    </row>
    <row r="25" spans="1:63" ht="15.75">
      <c r="A25" s="130"/>
      <c r="B25" s="5"/>
      <c r="C25" s="37">
        <f>C23-C24</f>
        <v>685082.88</v>
      </c>
      <c r="D25" s="37">
        <f t="shared" ref="D25:AB25" si="12">D23-D24</f>
        <v>66441.879999999976</v>
      </c>
      <c r="E25" s="37">
        <f t="shared" si="12"/>
        <v>66218</v>
      </c>
      <c r="F25" s="37">
        <f t="shared" si="12"/>
        <v>81700.799999999988</v>
      </c>
      <c r="G25" s="37">
        <f t="shared" si="12"/>
        <v>42349.919999999998</v>
      </c>
      <c r="H25" s="37">
        <f t="shared" si="12"/>
        <v>0</v>
      </c>
      <c r="I25" s="37">
        <f t="shared" si="12"/>
        <v>0</v>
      </c>
      <c r="J25" s="37">
        <f t="shared" si="12"/>
        <v>0</v>
      </c>
      <c r="K25" s="37">
        <f t="shared" si="12"/>
        <v>652.87999999999988</v>
      </c>
      <c r="L25" s="37">
        <f t="shared" si="12"/>
        <v>14828.159999999998</v>
      </c>
      <c r="M25" s="37">
        <f t="shared" si="12"/>
        <v>8197.92</v>
      </c>
      <c r="N25" s="37">
        <f t="shared" si="12"/>
        <v>60.960000000000008</v>
      </c>
      <c r="O25" s="37">
        <f t="shared" si="12"/>
        <v>1330.08</v>
      </c>
      <c r="P25" s="37">
        <f t="shared" si="12"/>
        <v>5557.7999999999993</v>
      </c>
      <c r="Q25" s="37">
        <f t="shared" si="12"/>
        <v>0</v>
      </c>
      <c r="R25" s="37">
        <f t="shared" si="12"/>
        <v>-452.91999999999962</v>
      </c>
      <c r="S25" s="37">
        <f t="shared" si="12"/>
        <v>0</v>
      </c>
      <c r="T25" s="37">
        <f t="shared" si="12"/>
        <v>0</v>
      </c>
      <c r="U25" s="37">
        <f t="shared" si="12"/>
        <v>0</v>
      </c>
      <c r="V25" s="37">
        <f t="shared" si="12"/>
        <v>140877.59999999998</v>
      </c>
      <c r="W25" s="37">
        <f t="shared" si="12"/>
        <v>0</v>
      </c>
      <c r="X25" s="37">
        <f t="shared" si="12"/>
        <v>0</v>
      </c>
      <c r="Y25" s="37">
        <f t="shared" si="12"/>
        <v>161.76</v>
      </c>
      <c r="Z25" s="37">
        <f t="shared" si="12"/>
        <v>10.56</v>
      </c>
      <c r="AA25" s="37">
        <f t="shared" si="12"/>
        <v>24.480000000000004</v>
      </c>
      <c r="AB25" s="37">
        <f t="shared" si="12"/>
        <v>664391.04</v>
      </c>
      <c r="AC25" s="123">
        <f>SUM(C25:AB25)</f>
        <v>1777433.8</v>
      </c>
      <c r="AD25" s="37">
        <f>AD23-AD24</f>
        <v>699.36000000000013</v>
      </c>
      <c r="AE25" s="37">
        <f t="shared" ref="AE25:BF25" si="13">AE23-AE24</f>
        <v>28.32</v>
      </c>
      <c r="AF25" s="37">
        <f t="shared" si="13"/>
        <v>0</v>
      </c>
      <c r="AG25" s="37">
        <f t="shared" si="13"/>
        <v>0</v>
      </c>
      <c r="AH25" s="37">
        <f t="shared" si="13"/>
        <v>0</v>
      </c>
      <c r="AI25" s="37">
        <f t="shared" si="13"/>
        <v>0</v>
      </c>
      <c r="AJ25" s="37">
        <f t="shared" si="13"/>
        <v>80356.799999999988</v>
      </c>
      <c r="AK25" s="37">
        <f t="shared" si="13"/>
        <v>15373.439999999999</v>
      </c>
      <c r="AL25" s="37">
        <f t="shared" si="13"/>
        <v>186.24</v>
      </c>
      <c r="AM25" s="37">
        <f t="shared" si="13"/>
        <v>0</v>
      </c>
      <c r="AN25" s="37">
        <f t="shared" si="13"/>
        <v>58151.520000000004</v>
      </c>
      <c r="AO25" s="37">
        <f t="shared" si="13"/>
        <v>19888.319999999996</v>
      </c>
      <c r="AP25" s="37">
        <f t="shared" si="13"/>
        <v>32419.68</v>
      </c>
      <c r="AQ25" s="37">
        <f t="shared" si="13"/>
        <v>0</v>
      </c>
      <c r="AR25" s="37">
        <f t="shared" si="13"/>
        <v>0</v>
      </c>
      <c r="AS25" s="37">
        <f t="shared" si="13"/>
        <v>0</v>
      </c>
      <c r="AT25" s="37">
        <f t="shared" si="13"/>
        <v>0</v>
      </c>
      <c r="AU25" s="37">
        <f t="shared" si="13"/>
        <v>0</v>
      </c>
      <c r="AV25" s="37">
        <f t="shared" si="13"/>
        <v>0</v>
      </c>
      <c r="AW25" s="37">
        <f t="shared" si="13"/>
        <v>0</v>
      </c>
      <c r="AX25" s="37">
        <f t="shared" si="13"/>
        <v>0</v>
      </c>
      <c r="AY25" s="37">
        <f t="shared" si="13"/>
        <v>0</v>
      </c>
      <c r="AZ25" s="37">
        <f t="shared" si="13"/>
        <v>0</v>
      </c>
      <c r="BA25" s="37">
        <f t="shared" si="13"/>
        <v>120876.71999999997</v>
      </c>
      <c r="BB25" s="37">
        <f t="shared" si="13"/>
        <v>552</v>
      </c>
      <c r="BC25" s="37">
        <f t="shared" si="13"/>
        <v>552</v>
      </c>
      <c r="BD25" s="37">
        <f t="shared" si="13"/>
        <v>0</v>
      </c>
      <c r="BE25" s="37">
        <f t="shared" si="13"/>
        <v>1000.8</v>
      </c>
      <c r="BF25" s="37">
        <f t="shared" si="13"/>
        <v>241.44</v>
      </c>
      <c r="BG25" s="124">
        <f>SUM(AD25:BF25)</f>
        <v>330326.63999999996</v>
      </c>
      <c r="BH25" s="125">
        <f>AC25+BG25</f>
        <v>2107760.44</v>
      </c>
      <c r="BI25" s="38">
        <f>BI23-BI24</f>
        <v>52500.499999999993</v>
      </c>
      <c r="BJ25" s="126">
        <f>BH25-BI25</f>
        <v>2055259.94</v>
      </c>
    </row>
    <row r="26" spans="1:63" ht="15.75">
      <c r="A26" s="130"/>
      <c r="B26" s="12" t="s">
        <v>203</v>
      </c>
      <c r="C26" s="9">
        <f>IF('Upto Month Current'!$E$4="",0,'Upto Month Current'!$E$4)</f>
        <v>87968</v>
      </c>
      <c r="D26" s="9">
        <f>IF('Upto Month Current'!$E$5="",0,'Upto Month Current'!$E$5)</f>
        <v>54946</v>
      </c>
      <c r="E26" s="9">
        <f>IF('Upto Month Current'!$E$6="",0,'Upto Month Current'!$E$6)</f>
        <v>58</v>
      </c>
      <c r="F26" s="9">
        <f>IF('Upto Month Current'!$E$7="",0,'Upto Month Current'!$E$7)</f>
        <v>10893</v>
      </c>
      <c r="G26" s="9">
        <f>IF('Upto Month Current'!$E$8="",0,'Upto Month Current'!$E$8)</f>
        <v>8956</v>
      </c>
      <c r="H26" s="9">
        <f>IF('Upto Month Current'!$E$9="",0,'Upto Month Current'!$E$9)</f>
        <v>0</v>
      </c>
      <c r="I26" s="9">
        <f>IF('Upto Month Current'!$E$10="",0,'Upto Month Current'!$E$10)</f>
        <v>0</v>
      </c>
      <c r="J26" s="9">
        <f>IF('Upto Month Current'!$E$11="",0,'Upto Month Current'!$E$11)</f>
        <v>0</v>
      </c>
      <c r="K26" s="9">
        <f>IF('Upto Month Current'!$E$12="",0,'Upto Month Current'!$E$12)</f>
        <v>464</v>
      </c>
      <c r="L26" s="9">
        <f>IF('Upto Month Current'!$E$13="",0,'Upto Month Current'!$E$13)</f>
        <v>4397</v>
      </c>
      <c r="M26" s="9">
        <f>IF('Upto Month Current'!$E$14="",0,'Upto Month Current'!$E$14)</f>
        <v>1749</v>
      </c>
      <c r="N26" s="9">
        <f>IF('Upto Month Current'!$E$15="",0,'Upto Month Current'!$E$15)</f>
        <v>0</v>
      </c>
      <c r="O26" s="9">
        <f>IF('Upto Month Current'!$E$16="",0,'Upto Month Current'!$E$16)</f>
        <v>174</v>
      </c>
      <c r="P26" s="9">
        <f>IF('Upto Month Current'!$E$17="",0,'Upto Month Current'!$E$17)</f>
        <v>3020</v>
      </c>
      <c r="Q26" s="9">
        <f>IF('Upto Month Current'!$E$18="",0,'Upto Month Current'!$E$18)</f>
        <v>0</v>
      </c>
      <c r="R26" s="9">
        <f>IF('Upto Month Current'!$E$21="",0,'Upto Month Current'!$E$21)</f>
        <v>349</v>
      </c>
      <c r="S26" s="9">
        <f>IF('Upto Month Current'!$E$26="",0,'Upto Month Current'!$E$26)</f>
        <v>0</v>
      </c>
      <c r="T26" s="9">
        <f>IF('Upto Month Current'!$E$27="",0,'Upto Month Current'!$E$27)</f>
        <v>0</v>
      </c>
      <c r="U26" s="9">
        <f>IF('Upto Month Current'!$E$30="",0,'Upto Month Current'!$E$30)</f>
        <v>0</v>
      </c>
      <c r="V26" s="9">
        <f>IF('Upto Month Current'!$E$35="",0,'Upto Month Current'!$E$35)</f>
        <v>10023</v>
      </c>
      <c r="W26" s="9">
        <f>IF('Upto Month Current'!$E$39="",0,'Upto Month Current'!$E$39)</f>
        <v>0</v>
      </c>
      <c r="X26" s="9">
        <f>IF('Upto Month Current'!$E$40="",0,'Upto Month Current'!$E$40)</f>
        <v>0</v>
      </c>
      <c r="Y26" s="9">
        <f>IF('Upto Month Current'!$E$42="",0,'Upto Month Current'!$E$42)</f>
        <v>1178</v>
      </c>
      <c r="Z26" s="9">
        <f>IF('Upto Month Current'!$E$43="",0,'Upto Month Current'!$E$43)</f>
        <v>519</v>
      </c>
      <c r="AA26" s="9">
        <f>IF('Upto Month Current'!$E$44="",0,'Upto Month Current'!$E$44)</f>
        <v>125</v>
      </c>
      <c r="AB26" s="9">
        <f>IF('Upto Month Current'!$E$51="",0,'Upto Month Current'!$E$51)</f>
        <v>40931</v>
      </c>
      <c r="AC26" s="123">
        <f>SUM(C26:AB26)</f>
        <v>225750</v>
      </c>
      <c r="AD26" s="9">
        <f>IF('Upto Month Current'!$E$19="",0,'Upto Month Current'!$E$19)</f>
        <v>0</v>
      </c>
      <c r="AE26" s="9">
        <f>IF('Upto Month Current'!$E$20="",0,'Upto Month Current'!$E$20)</f>
        <v>10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28638</v>
      </c>
      <c r="AK26" s="9">
        <f>IF('Upto Month Current'!$E$29="",0,'Upto Month Current'!$E$29)</f>
        <v>11685</v>
      </c>
      <c r="AL26" s="9">
        <f>IF('Upto Month Current'!$E$31="",0,'Upto Month Current'!$E$31)</f>
        <v>0</v>
      </c>
      <c r="AM26" s="9">
        <f>IF('Upto Month Current'!$E$32="",0,'Upto Month Current'!$E$32)</f>
        <v>0</v>
      </c>
      <c r="AN26" s="9">
        <f>IF('Upto Month Current'!$E$33="",0,'Upto Month Current'!$E$33)</f>
        <v>6821</v>
      </c>
      <c r="AO26" s="9">
        <f>IF('Upto Month Current'!$E$34="",0,'Upto Month Current'!$E$34)</f>
        <v>-132963</v>
      </c>
      <c r="AP26" s="9">
        <f>IF('Upto Month Current'!$E$36="",0,'Upto Month Current'!$E$36)</f>
        <v>17400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44646</v>
      </c>
      <c r="BB26" s="9">
        <f>IF('Upto Month Current'!$E$53="",0,'Upto Month Current'!$E$53)</f>
        <v>353</v>
      </c>
      <c r="BC26" s="9">
        <f>IF('Upto Month Current'!$E$54="",0,'Upto Month Current'!$E$54)</f>
        <v>353</v>
      </c>
      <c r="BD26" s="9">
        <f>IF('Upto Month Current'!$E$55="",0,'Upto Month Current'!$E$55)</f>
        <v>0</v>
      </c>
      <c r="BE26" s="9">
        <f>IF('Upto Month Current'!$E$56="",0,'Upto Month Current'!$E$56)</f>
        <v>2314</v>
      </c>
      <c r="BF26" s="9">
        <f>IF('Upto Month Current'!$E$58="",0,'Upto Month Current'!$E$58)</f>
        <v>0</v>
      </c>
      <c r="BG26" s="124">
        <f>SUM(AD26:BF26)</f>
        <v>-20743</v>
      </c>
      <c r="BH26" s="125">
        <f>AC26+BG26</f>
        <v>205007</v>
      </c>
      <c r="BI26" s="9">
        <f>IF('Upto Month Current'!$E$60="",0,'Upto Month Current'!$E$60)</f>
        <v>60</v>
      </c>
      <c r="BJ26" s="126">
        <f>BH26-BI26</f>
        <v>204947</v>
      </c>
      <c r="BK26">
        <f>'Upto Month Current'!$E$61</f>
        <v>204947</v>
      </c>
    </row>
    <row r="27" spans="1:63" ht="15.75">
      <c r="A27" s="130"/>
      <c r="B27" s="5" t="s">
        <v>201</v>
      </c>
      <c r="C27" s="128">
        <f t="shared" ref="C27:AH27" si="14">C26/C23</f>
        <v>6.1634352912161516E-2</v>
      </c>
      <c r="D27" s="128">
        <f t="shared" si="14"/>
        <v>0.21965396485280714</v>
      </c>
      <c r="E27" s="128">
        <f t="shared" si="14"/>
        <v>8.7589477181431027E-4</v>
      </c>
      <c r="F27" s="128">
        <f t="shared" si="14"/>
        <v>6.3997414957993062E-2</v>
      </c>
      <c r="G27" s="128">
        <f t="shared" si="14"/>
        <v>0.10150857427829851</v>
      </c>
      <c r="H27" s="128" t="e">
        <f t="shared" si="14"/>
        <v>#DIV/0!</v>
      </c>
      <c r="I27" s="128" t="e">
        <f t="shared" si="14"/>
        <v>#DIV/0!</v>
      </c>
      <c r="J27" s="128" t="e">
        <f t="shared" si="14"/>
        <v>#DIV/0!</v>
      </c>
      <c r="K27" s="128">
        <f t="shared" si="14"/>
        <v>0.18838814453917987</v>
      </c>
      <c r="L27" s="128">
        <f t="shared" si="14"/>
        <v>0.14233458500582674</v>
      </c>
      <c r="M27" s="128">
        <f t="shared" si="14"/>
        <v>0.10240646407869314</v>
      </c>
      <c r="N27" s="128">
        <f t="shared" si="14"/>
        <v>0</v>
      </c>
      <c r="O27" s="128">
        <f t="shared" si="14"/>
        <v>6.2793215445687472E-2</v>
      </c>
      <c r="P27" s="128">
        <f t="shared" si="14"/>
        <v>0.15134810063145235</v>
      </c>
      <c r="Q27" s="128" t="e">
        <f t="shared" si="14"/>
        <v>#DIV/0!</v>
      </c>
      <c r="R27" s="128">
        <f t="shared" si="14"/>
        <v>0.16470033034450213</v>
      </c>
      <c r="S27" s="128" t="e">
        <f t="shared" si="14"/>
        <v>#DIV/0!</v>
      </c>
      <c r="T27" s="128" t="e">
        <f t="shared" si="14"/>
        <v>#DIV/0!</v>
      </c>
      <c r="U27" s="128" t="e">
        <f t="shared" si="14"/>
        <v>#DIV/0!</v>
      </c>
      <c r="V27" s="128">
        <f t="shared" si="14"/>
        <v>3.415049660130496E-2</v>
      </c>
      <c r="W27" s="128" t="e">
        <f t="shared" si="14"/>
        <v>#DIV/0!</v>
      </c>
      <c r="X27" s="128" t="e">
        <f t="shared" si="14"/>
        <v>#DIV/0!</v>
      </c>
      <c r="Y27" s="128">
        <f t="shared" si="14"/>
        <v>3.4955489614243325</v>
      </c>
      <c r="Z27" s="128">
        <f t="shared" si="14"/>
        <v>23.59090909090909</v>
      </c>
      <c r="AA27" s="128">
        <f t="shared" si="14"/>
        <v>2.4509803921568629</v>
      </c>
      <c r="AB27" s="128">
        <f t="shared" si="14"/>
        <v>2.9571259720781305E-2</v>
      </c>
      <c r="AC27" s="128">
        <f t="shared" si="14"/>
        <v>6.0111531854851484E-2</v>
      </c>
      <c r="AD27" s="128">
        <f t="shared" si="14"/>
        <v>0</v>
      </c>
      <c r="AE27" s="128">
        <f t="shared" si="14"/>
        <v>0.16949152542372881</v>
      </c>
      <c r="AF27" s="128" t="e">
        <f t="shared" si="14"/>
        <v>#DIV/0!</v>
      </c>
      <c r="AG27" s="128" t="e">
        <f t="shared" si="14"/>
        <v>#DIV/0!</v>
      </c>
      <c r="AH27" s="128" t="e">
        <f t="shared" si="14"/>
        <v>#DIV/0!</v>
      </c>
      <c r="AI27" s="128" t="e">
        <f t="shared" ref="AI27:BJ27" si="15">AI26/AI23</f>
        <v>#DIV/0!</v>
      </c>
      <c r="AJ27" s="128">
        <f t="shared" si="15"/>
        <v>0.17106504987754614</v>
      </c>
      <c r="AK27" s="128">
        <f t="shared" si="15"/>
        <v>0.36483701760959159</v>
      </c>
      <c r="AL27" s="128">
        <f t="shared" si="15"/>
        <v>0</v>
      </c>
      <c r="AM27" s="128" t="e">
        <f t="shared" si="15"/>
        <v>#DIV/0!</v>
      </c>
      <c r="AN27" s="128">
        <f t="shared" si="15"/>
        <v>5.6302569563099987E-2</v>
      </c>
      <c r="AO27" s="128">
        <f t="shared" si="15"/>
        <v>-3.2090312303905004</v>
      </c>
      <c r="AP27" s="128">
        <f t="shared" si="15"/>
        <v>0.25762129669386002</v>
      </c>
      <c r="AQ27" s="128" t="e">
        <f t="shared" si="15"/>
        <v>#DIV/0!</v>
      </c>
      <c r="AR27" s="128" t="e">
        <f t="shared" si="15"/>
        <v>#DIV/0!</v>
      </c>
      <c r="AS27" s="128" t="e">
        <f t="shared" si="15"/>
        <v>#DIV/0!</v>
      </c>
      <c r="AT27" s="128" t="e">
        <f t="shared" si="15"/>
        <v>#DIV/0!</v>
      </c>
      <c r="AU27" s="128" t="e">
        <f t="shared" si="15"/>
        <v>#DIV/0!</v>
      </c>
      <c r="AV27" s="128" t="e">
        <f t="shared" si="15"/>
        <v>#DIV/0!</v>
      </c>
      <c r="AW27" s="128" t="e">
        <f t="shared" si="15"/>
        <v>#DIV/0!</v>
      </c>
      <c r="AX27" s="128" t="e">
        <f t="shared" si="15"/>
        <v>#DIV/0!</v>
      </c>
      <c r="AY27" s="128" t="e">
        <f t="shared" si="15"/>
        <v>#DIV/0!</v>
      </c>
      <c r="AZ27" s="128" t="e">
        <f t="shared" si="15"/>
        <v>#DIV/0!</v>
      </c>
      <c r="BA27" s="128">
        <f t="shared" si="15"/>
        <v>8.5016519247065103E-2</v>
      </c>
      <c r="BB27" s="128">
        <f t="shared" si="15"/>
        <v>0.30695652173913046</v>
      </c>
      <c r="BC27" s="128">
        <f t="shared" si="15"/>
        <v>0.30695652173913046</v>
      </c>
      <c r="BD27" s="128" t="e">
        <f t="shared" si="15"/>
        <v>#DIV/0!</v>
      </c>
      <c r="BE27" s="128">
        <f t="shared" si="15"/>
        <v>1.1098321342925659</v>
      </c>
      <c r="BF27" s="128">
        <f t="shared" si="15"/>
        <v>0</v>
      </c>
      <c r="BG27" s="128">
        <f t="shared" si="15"/>
        <v>-2.1573605380764825E-2</v>
      </c>
      <c r="BH27" s="128">
        <f t="shared" si="15"/>
        <v>4.3461144307696091E-2</v>
      </c>
      <c r="BI27" s="128">
        <f t="shared" si="15"/>
        <v>5.714231293035305E-4</v>
      </c>
      <c r="BJ27" s="128">
        <f t="shared" si="15"/>
        <v>4.4437607233451221E-2</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131</v>
      </c>
      <c r="B29" s="11" t="s">
        <v>205</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BH29-BI29</f>
        <v>5207779</v>
      </c>
    </row>
    <row r="30" spans="1:63" ht="15.75">
      <c r="A30" s="130" t="s">
        <v>131</v>
      </c>
      <c r="B30" s="5" t="s">
        <v>202</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SUM(C30:AB30)</f>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SUM(AD30:BF30)</f>
        <v>903664.27999999991</v>
      </c>
      <c r="BH30" s="125">
        <f>AC30+BG30</f>
        <v>2851254.08</v>
      </c>
      <c r="BI30" s="37">
        <v>43054.5</v>
      </c>
      <c r="BJ30" s="126">
        <f>BH30-BI30</f>
        <v>2808199.58</v>
      </c>
    </row>
    <row r="31" spans="1:63" ht="15.75">
      <c r="A31" s="130"/>
      <c r="B31" s="5"/>
      <c r="C31" s="37">
        <f>C29-C30</f>
        <v>1205217.5999999999</v>
      </c>
      <c r="D31" s="37">
        <f t="shared" ref="D31:AB31" si="16">D29-D30</f>
        <v>68769.399999999965</v>
      </c>
      <c r="E31" s="37">
        <f t="shared" si="16"/>
        <v>127280</v>
      </c>
      <c r="F31" s="37">
        <f t="shared" si="16"/>
        <v>94088.639999999999</v>
      </c>
      <c r="G31" s="37">
        <f t="shared" si="16"/>
        <v>64859.520000000004</v>
      </c>
      <c r="H31" s="37">
        <f t="shared" si="16"/>
        <v>0</v>
      </c>
      <c r="I31" s="37">
        <f t="shared" si="16"/>
        <v>0</v>
      </c>
      <c r="J31" s="37">
        <f t="shared" si="16"/>
        <v>528.48</v>
      </c>
      <c r="K31" s="37">
        <f t="shared" si="16"/>
        <v>694.56</v>
      </c>
      <c r="L31" s="37">
        <f t="shared" si="16"/>
        <v>14275.679999999997</v>
      </c>
      <c r="M31" s="37">
        <f t="shared" si="16"/>
        <v>23448.479999999996</v>
      </c>
      <c r="N31" s="37">
        <f t="shared" si="16"/>
        <v>118.07999999999998</v>
      </c>
      <c r="O31" s="37">
        <f t="shared" si="16"/>
        <v>2925.12</v>
      </c>
      <c r="P31" s="37">
        <f t="shared" si="16"/>
        <v>73626.439999999988</v>
      </c>
      <c r="Q31" s="37">
        <f t="shared" si="16"/>
        <v>0</v>
      </c>
      <c r="R31" s="37">
        <f t="shared" si="16"/>
        <v>-1631.7600000000002</v>
      </c>
      <c r="S31" s="37">
        <f t="shared" si="16"/>
        <v>0</v>
      </c>
      <c r="T31" s="37">
        <f t="shared" si="16"/>
        <v>0</v>
      </c>
      <c r="U31" s="37">
        <f t="shared" si="16"/>
        <v>0</v>
      </c>
      <c r="V31" s="37">
        <f t="shared" si="16"/>
        <v>8755.68</v>
      </c>
      <c r="W31" s="37">
        <f t="shared" si="16"/>
        <v>0</v>
      </c>
      <c r="X31" s="37">
        <f t="shared" si="16"/>
        <v>0</v>
      </c>
      <c r="Y31" s="37">
        <f t="shared" si="16"/>
        <v>291.36</v>
      </c>
      <c r="Z31" s="37">
        <f t="shared" si="16"/>
        <v>0</v>
      </c>
      <c r="AA31" s="37">
        <f t="shared" si="16"/>
        <v>1.92</v>
      </c>
      <c r="AB31" s="37">
        <f t="shared" si="16"/>
        <v>0</v>
      </c>
      <c r="AC31" s="123">
        <f>SUM(C31:AB31)</f>
        <v>1683249.1999999997</v>
      </c>
      <c r="AD31" s="37">
        <f>AD29-AD30</f>
        <v>-4770.8000000000011</v>
      </c>
      <c r="AE31" s="37">
        <f t="shared" ref="AE31:BF31" si="17">AE29-AE30</f>
        <v>11837.279999999999</v>
      </c>
      <c r="AF31" s="37">
        <f t="shared" si="17"/>
        <v>2626.0800000000004</v>
      </c>
      <c r="AG31" s="37">
        <f t="shared" si="17"/>
        <v>0</v>
      </c>
      <c r="AH31" s="37">
        <f t="shared" si="17"/>
        <v>0</v>
      </c>
      <c r="AI31" s="37">
        <f t="shared" si="17"/>
        <v>60.480000000000004</v>
      </c>
      <c r="AJ31" s="37">
        <f t="shared" si="17"/>
        <v>76190.720000000001</v>
      </c>
      <c r="AK31" s="37">
        <f t="shared" si="17"/>
        <v>186491.04</v>
      </c>
      <c r="AL31" s="37">
        <f t="shared" si="17"/>
        <v>0</v>
      </c>
      <c r="AM31" s="37">
        <f t="shared" si="17"/>
        <v>621.12</v>
      </c>
      <c r="AN31" s="37">
        <f t="shared" si="17"/>
        <v>245066.40000000002</v>
      </c>
      <c r="AO31" s="37">
        <f t="shared" si="17"/>
        <v>90833.279999999984</v>
      </c>
      <c r="AP31" s="37">
        <f t="shared" si="17"/>
        <v>7731.8399999999983</v>
      </c>
      <c r="AQ31" s="37">
        <f t="shared" si="17"/>
        <v>0</v>
      </c>
      <c r="AR31" s="37">
        <f t="shared" si="17"/>
        <v>0</v>
      </c>
      <c r="AS31" s="37">
        <f t="shared" si="17"/>
        <v>0</v>
      </c>
      <c r="AT31" s="37">
        <f t="shared" si="17"/>
        <v>0</v>
      </c>
      <c r="AU31" s="37">
        <f t="shared" si="17"/>
        <v>0</v>
      </c>
      <c r="AV31" s="37">
        <f t="shared" si="17"/>
        <v>8.1599999999999984</v>
      </c>
      <c r="AW31" s="37">
        <f t="shared" si="17"/>
        <v>18.72</v>
      </c>
      <c r="AX31" s="37">
        <f t="shared" si="17"/>
        <v>0</v>
      </c>
      <c r="AY31" s="37">
        <f t="shared" si="17"/>
        <v>0</v>
      </c>
      <c r="AZ31" s="37">
        <f t="shared" si="17"/>
        <v>0</v>
      </c>
      <c r="BA31" s="37">
        <f t="shared" si="17"/>
        <v>0</v>
      </c>
      <c r="BB31" s="37">
        <f t="shared" si="17"/>
        <v>5258.4000000000005</v>
      </c>
      <c r="BC31" s="37">
        <f t="shared" si="17"/>
        <v>5259.8399999999992</v>
      </c>
      <c r="BD31" s="37">
        <f t="shared" si="17"/>
        <v>0</v>
      </c>
      <c r="BE31" s="37">
        <f t="shared" si="17"/>
        <v>2370.2399999999998</v>
      </c>
      <c r="BF31" s="37">
        <f t="shared" si="17"/>
        <v>129781.92000000001</v>
      </c>
      <c r="BG31" s="124">
        <f>SUM(AD31:BF31)</f>
        <v>759384.72</v>
      </c>
      <c r="BH31" s="125">
        <f>AC31+BG31</f>
        <v>2442633.92</v>
      </c>
      <c r="BI31" s="38">
        <f>BI29-BI30</f>
        <v>43054.5</v>
      </c>
      <c r="BJ31" s="126">
        <f>BH31-BI31</f>
        <v>2399579.42</v>
      </c>
    </row>
    <row r="32" spans="1:63" ht="15.75">
      <c r="A32" s="130"/>
      <c r="B32" s="12" t="s">
        <v>203</v>
      </c>
      <c r="C32" s="9">
        <f>IF('Upto Month Current'!$F$4="",0,'Upto Month Current'!$F$4)</f>
        <v>118841</v>
      </c>
      <c r="D32" s="9">
        <f>IF('Upto Month Current'!$F$5="",0,'Upto Month Current'!$F$5)</f>
        <v>73361</v>
      </c>
      <c r="E32" s="9">
        <f>IF('Upto Month Current'!$F$6="",0,'Upto Month Current'!$F$6)</f>
        <v>10</v>
      </c>
      <c r="F32" s="9">
        <f>IF('Upto Month Current'!$F$7="",0,'Upto Month Current'!$F$7)</f>
        <v>10053</v>
      </c>
      <c r="G32" s="9">
        <f>IF('Upto Month Current'!$F$8="",0,'Upto Month Current'!$F$8)</f>
        <v>10696</v>
      </c>
      <c r="H32" s="9">
        <f>IF('Upto Month Current'!$F$9="",0,'Upto Month Current'!$F$9)</f>
        <v>0</v>
      </c>
      <c r="I32" s="9">
        <f>IF('Upto Month Current'!$F$10="",0,'Upto Month Current'!$F$10)</f>
        <v>0</v>
      </c>
      <c r="J32" s="9">
        <f>IF('Upto Month Current'!$F$11="",0,'Upto Month Current'!$F$11)</f>
        <v>667</v>
      </c>
      <c r="K32" s="9">
        <f>IF('Upto Month Current'!$F$12="",0,'Upto Month Current'!$F$12)</f>
        <v>16</v>
      </c>
      <c r="L32" s="9">
        <f>IF('Upto Month Current'!$F$13="",0,'Upto Month Current'!$F$13)</f>
        <v>2048</v>
      </c>
      <c r="M32" s="9">
        <f>IF('Upto Month Current'!$F$14="",0,'Upto Month Current'!$F$14)</f>
        <v>2027</v>
      </c>
      <c r="N32" s="9">
        <f>IF('Upto Month Current'!$F$15="",0,'Upto Month Current'!$F$15)</f>
        <v>0</v>
      </c>
      <c r="O32" s="9">
        <f>IF('Upto Month Current'!$F$16="",0,'Upto Month Current'!$F$16)</f>
        <v>310</v>
      </c>
      <c r="P32" s="9">
        <f>IF('Upto Month Current'!$F$17="",0,'Upto Month Current'!$F$17)</f>
        <v>12416</v>
      </c>
      <c r="Q32" s="9">
        <f>IF('Upto Month Current'!$F$18="",0,'Upto Month Current'!$F$18)</f>
        <v>0</v>
      </c>
      <c r="R32" s="9">
        <f>IF('Upto Month Current'!$F$21="",0,'Upto Month Current'!$F$21)</f>
        <v>148</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1169</v>
      </c>
      <c r="Z32" s="9">
        <f>IF('Upto Month Current'!$F$43="",0,'Upto Month Current'!$F$43)</f>
        <v>336</v>
      </c>
      <c r="AA32" s="9">
        <f>IF('Upto Month Current'!$F$44="",0,'Upto Month Current'!$F$44)</f>
        <v>145</v>
      </c>
      <c r="AB32" s="9">
        <f>IF('Upto Month Current'!$F$51="",0,'Upto Month Current'!$F$51)</f>
        <v>0</v>
      </c>
      <c r="AC32" s="123">
        <f>SUM(C32:AB32)</f>
        <v>232243</v>
      </c>
      <c r="AD32" s="9">
        <f>IF('Upto Month Current'!$F$19="",0,'Upto Month Current'!$F$19)</f>
        <v>87</v>
      </c>
      <c r="AE32" s="9">
        <f>IF('Upto Month Current'!$F$20="",0,'Upto Month Current'!$F$20)</f>
        <v>127</v>
      </c>
      <c r="AF32" s="9">
        <f>IF('Upto Month Current'!$F$22="",0,'Upto Month Current'!$F$22)</f>
        <v>1707</v>
      </c>
      <c r="AG32" s="9">
        <f>IF('Upto Month Current'!$F$23="",0,'Upto Month Current'!$F$23)</f>
        <v>0</v>
      </c>
      <c r="AH32" s="9">
        <f>IF('Upto Month Current'!$F$24="",0,'Upto Month Current'!$F$24)</f>
        <v>0</v>
      </c>
      <c r="AI32" s="9">
        <f>IF('Upto Month Current'!$F$25="",0,'Upto Month Current'!$F$25)</f>
        <v>0</v>
      </c>
      <c r="AJ32" s="9">
        <f>IF('Upto Month Current'!$F$28="",0,'Upto Month Current'!$F$28)</f>
        <v>40814</v>
      </c>
      <c r="AK32" s="9">
        <f>IF('Upto Month Current'!$F$29="",0,'Upto Month Current'!$F$29)</f>
        <v>32561</v>
      </c>
      <c r="AL32" s="9">
        <f>IF('Upto Month Current'!$F$31="",0,'Upto Month Current'!$F$31)</f>
        <v>0</v>
      </c>
      <c r="AM32" s="9">
        <f>IF('Upto Month Current'!$F$32="",0,'Upto Month Current'!$F$32)</f>
        <v>0</v>
      </c>
      <c r="AN32" s="9">
        <f>IF('Upto Month Current'!$F$33="",0,'Upto Month Current'!$F$33)</f>
        <v>74454</v>
      </c>
      <c r="AO32" s="9">
        <f>IF('Upto Month Current'!$F$34="",0,'Upto Month Current'!$F$34)</f>
        <v>250</v>
      </c>
      <c r="AP32" s="9">
        <f>IF('Upto Month Current'!$F$36="",0,'Upto Month Current'!$F$36)</f>
        <v>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3290</v>
      </c>
      <c r="BC32" s="9">
        <f>IF('Upto Month Current'!$F$54="",0,'Upto Month Current'!$F$54)</f>
        <v>3290</v>
      </c>
      <c r="BD32" s="9">
        <f>IF('Upto Month Current'!$F$55="",0,'Upto Month Current'!$F$55)</f>
        <v>0</v>
      </c>
      <c r="BE32" s="9">
        <f>IF('Upto Month Current'!$F$56="",0,'Upto Month Current'!$F$56)</f>
        <v>9037</v>
      </c>
      <c r="BF32" s="9">
        <f>IF('Upto Month Current'!$F$58="",0,'Upto Month Current'!$F$58)</f>
        <v>206669</v>
      </c>
      <c r="BG32" s="124">
        <f>SUM(AD32:BF32)</f>
        <v>372288</v>
      </c>
      <c r="BH32" s="125">
        <f>AC32+BG32</f>
        <v>604531</v>
      </c>
      <c r="BI32" s="9">
        <f>IF('Upto Month Current'!$F$60="",0,'Upto Month Current'!$F$60)</f>
        <v>4859</v>
      </c>
      <c r="BJ32" s="126">
        <f>BH32-BI32</f>
        <v>599672</v>
      </c>
      <c r="BK32">
        <f>'Upto Month Current'!$F$61</f>
        <v>599672</v>
      </c>
    </row>
    <row r="33" spans="1:63" ht="15.75">
      <c r="A33" s="130"/>
      <c r="B33" s="5" t="s">
        <v>201</v>
      </c>
      <c r="C33" s="128">
        <f t="shared" ref="C33:AH33" si="18">C32/C29</f>
        <v>4.73306065228387E-2</v>
      </c>
      <c r="D33" s="128">
        <f t="shared" si="18"/>
        <v>0.18720558138585361</v>
      </c>
      <c r="E33" s="128">
        <f t="shared" si="18"/>
        <v>7.8566939032055313E-5</v>
      </c>
      <c r="F33" s="128">
        <f t="shared" si="18"/>
        <v>5.1286106377985696E-2</v>
      </c>
      <c r="G33" s="128">
        <f t="shared" si="18"/>
        <v>7.9156922530416507E-2</v>
      </c>
      <c r="H33" s="128" t="e">
        <f t="shared" si="18"/>
        <v>#DIV/0!</v>
      </c>
      <c r="I33" s="128" t="e">
        <f t="shared" si="18"/>
        <v>#DIV/0!</v>
      </c>
      <c r="J33" s="128">
        <f t="shared" si="18"/>
        <v>0.60581289736603083</v>
      </c>
      <c r="K33" s="128">
        <f t="shared" si="18"/>
        <v>1.10573600552868E-2</v>
      </c>
      <c r="L33" s="128">
        <f t="shared" si="18"/>
        <v>6.8861168084462521E-2</v>
      </c>
      <c r="M33" s="128">
        <f t="shared" si="18"/>
        <v>4.1493521115227937E-2</v>
      </c>
      <c r="N33" s="128">
        <f t="shared" si="18"/>
        <v>0</v>
      </c>
      <c r="O33" s="128">
        <f t="shared" si="18"/>
        <v>5.0869707909419103E-2</v>
      </c>
      <c r="P33" s="128">
        <f t="shared" si="18"/>
        <v>7.7853022322548288E-2</v>
      </c>
      <c r="Q33" s="128" t="e">
        <f t="shared" si="18"/>
        <v>#DIV/0!</v>
      </c>
      <c r="R33" s="128">
        <f t="shared" si="18"/>
        <v>3.8332038332038333E-2</v>
      </c>
      <c r="S33" s="128" t="e">
        <f t="shared" si="18"/>
        <v>#DIV/0!</v>
      </c>
      <c r="T33" s="128" t="e">
        <f t="shared" si="18"/>
        <v>#DIV/0!</v>
      </c>
      <c r="U33" s="128" t="e">
        <f t="shared" si="18"/>
        <v>#DIV/0!</v>
      </c>
      <c r="V33" s="128">
        <f t="shared" si="18"/>
        <v>0</v>
      </c>
      <c r="W33" s="128" t="e">
        <f t="shared" si="18"/>
        <v>#DIV/0!</v>
      </c>
      <c r="X33" s="128" t="e">
        <f t="shared" si="18"/>
        <v>#DIV/0!</v>
      </c>
      <c r="Y33" s="128">
        <f t="shared" si="18"/>
        <v>1.9258649093904447</v>
      </c>
      <c r="Z33" s="128" t="e">
        <f t="shared" si="18"/>
        <v>#DIV/0!</v>
      </c>
      <c r="AA33" s="128">
        <f t="shared" si="18"/>
        <v>36.25</v>
      </c>
      <c r="AB33" s="128" t="e">
        <f t="shared" si="18"/>
        <v>#DIV/0!</v>
      </c>
      <c r="AC33" s="128">
        <f t="shared" si="18"/>
        <v>6.3964003912043474E-2</v>
      </c>
      <c r="AD33" s="128">
        <f t="shared" si="18"/>
        <v>1.7176702862783812E-2</v>
      </c>
      <c r="AE33" s="128">
        <f t="shared" si="18"/>
        <v>5.1498317180974007E-3</v>
      </c>
      <c r="AF33" s="128">
        <f t="shared" si="18"/>
        <v>0.31200877353317491</v>
      </c>
      <c r="AG33" s="128" t="e">
        <f t="shared" si="18"/>
        <v>#DIV/0!</v>
      </c>
      <c r="AH33" s="128" t="e">
        <f t="shared" si="18"/>
        <v>#DIV/0!</v>
      </c>
      <c r="AI33" s="128">
        <f t="shared" ref="AI33:BJ33" si="19">AI32/AI29</f>
        <v>0</v>
      </c>
      <c r="AJ33" s="128">
        <f t="shared" si="19"/>
        <v>0.18159813836769018</v>
      </c>
      <c r="AK33" s="128">
        <f t="shared" si="19"/>
        <v>8.3807136257055562E-2</v>
      </c>
      <c r="AL33" s="128" t="e">
        <f t="shared" si="19"/>
        <v>#DIV/0!</v>
      </c>
      <c r="AM33" s="128">
        <f t="shared" si="19"/>
        <v>0</v>
      </c>
      <c r="AN33" s="128">
        <f t="shared" si="19"/>
        <v>0.14582953844345858</v>
      </c>
      <c r="AO33" s="128">
        <f t="shared" si="19"/>
        <v>1.3211016931239299E-3</v>
      </c>
      <c r="AP33" s="128">
        <f t="shared" si="19"/>
        <v>1.2416190712689348E-4</v>
      </c>
      <c r="AQ33" s="128" t="e">
        <f t="shared" si="19"/>
        <v>#DIV/0!</v>
      </c>
      <c r="AR33" s="128" t="e">
        <f t="shared" si="19"/>
        <v>#DIV/0!</v>
      </c>
      <c r="AS33" s="128" t="e">
        <f t="shared" si="19"/>
        <v>#DIV/0!</v>
      </c>
      <c r="AT33" s="128" t="e">
        <f t="shared" si="19"/>
        <v>#DIV/0!</v>
      </c>
      <c r="AU33" s="128" t="e">
        <f t="shared" si="19"/>
        <v>#DIV/0!</v>
      </c>
      <c r="AV33" s="128">
        <f t="shared" si="19"/>
        <v>0</v>
      </c>
      <c r="AW33" s="128">
        <f t="shared" si="19"/>
        <v>0</v>
      </c>
      <c r="AX33" s="128" t="e">
        <f t="shared" si="19"/>
        <v>#DIV/0!</v>
      </c>
      <c r="AY33" s="128" t="e">
        <f t="shared" si="19"/>
        <v>#DIV/0!</v>
      </c>
      <c r="AZ33" s="128" t="e">
        <f t="shared" si="19"/>
        <v>#DIV/0!</v>
      </c>
      <c r="BA33" s="128" t="e">
        <f t="shared" si="19"/>
        <v>#DIV/0!</v>
      </c>
      <c r="BB33" s="128">
        <f t="shared" si="19"/>
        <v>0.30031948881789139</v>
      </c>
      <c r="BC33" s="128">
        <f t="shared" si="19"/>
        <v>0.3002372695747399</v>
      </c>
      <c r="BD33" s="128" t="e">
        <f t="shared" si="19"/>
        <v>#DIV/0!</v>
      </c>
      <c r="BE33" s="128">
        <f t="shared" si="19"/>
        <v>1.8300931551235318</v>
      </c>
      <c r="BF33" s="128">
        <f t="shared" si="19"/>
        <v>0.7644384769598378</v>
      </c>
      <c r="BG33" s="128">
        <f t="shared" si="19"/>
        <v>0.22385870771095739</v>
      </c>
      <c r="BH33" s="128">
        <f t="shared" si="19"/>
        <v>0.11419414237702044</v>
      </c>
      <c r="BI33" s="128">
        <f t="shared" si="19"/>
        <v>5.6428480182094787E-2</v>
      </c>
      <c r="BJ33" s="128">
        <f t="shared" si="19"/>
        <v>0.115149279568123</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132</v>
      </c>
      <c r="B35" s="11" t="s">
        <v>205</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BH35-BI35</f>
        <v>8810582</v>
      </c>
    </row>
    <row r="36" spans="1:63" ht="15.75">
      <c r="A36" s="130" t="s">
        <v>132</v>
      </c>
      <c r="B36" s="5" t="s">
        <v>202</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SUM(C36:AB36)</f>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SUM(AD36:BF36)</f>
        <v>754408.72</v>
      </c>
      <c r="BH36" s="125">
        <f>AC36+BG36</f>
        <v>4855592.04</v>
      </c>
      <c r="BI36" s="37">
        <v>17479.5</v>
      </c>
      <c r="BJ36" s="126">
        <f>BH36-BI36</f>
        <v>4838112.54</v>
      </c>
    </row>
    <row r="37" spans="1:63" ht="15.75">
      <c r="A37" s="130"/>
      <c r="B37" s="5"/>
      <c r="C37" s="37">
        <f>C35-C36</f>
        <v>2061699.8399999999</v>
      </c>
      <c r="D37" s="37">
        <f t="shared" ref="D37:AB37" si="20">D35-D36</f>
        <v>226675.6399999999</v>
      </c>
      <c r="E37" s="37">
        <f t="shared" si="20"/>
        <v>159048</v>
      </c>
      <c r="F37" s="37">
        <f t="shared" si="20"/>
        <v>310538.39999999997</v>
      </c>
      <c r="G37" s="37">
        <f t="shared" si="20"/>
        <v>104374.55999999997</v>
      </c>
      <c r="H37" s="37">
        <f t="shared" si="20"/>
        <v>0</v>
      </c>
      <c r="I37" s="37">
        <f t="shared" si="20"/>
        <v>0</v>
      </c>
      <c r="J37" s="37">
        <f t="shared" si="20"/>
        <v>428100.95999999996</v>
      </c>
      <c r="K37" s="37">
        <f t="shared" si="20"/>
        <v>48240</v>
      </c>
      <c r="L37" s="37">
        <f t="shared" si="20"/>
        <v>63000.479999999996</v>
      </c>
      <c r="M37" s="37">
        <f t="shared" si="20"/>
        <v>99943.679999999993</v>
      </c>
      <c r="N37" s="37">
        <f t="shared" si="20"/>
        <v>169.92000000000002</v>
      </c>
      <c r="O37" s="37">
        <f t="shared" si="20"/>
        <v>2602.5599999999995</v>
      </c>
      <c r="P37" s="37">
        <f t="shared" si="20"/>
        <v>2829</v>
      </c>
      <c r="Q37" s="37">
        <f t="shared" si="20"/>
        <v>0</v>
      </c>
      <c r="R37" s="37">
        <f t="shared" si="20"/>
        <v>4334.24</v>
      </c>
      <c r="S37" s="37">
        <f t="shared" si="20"/>
        <v>0</v>
      </c>
      <c r="T37" s="37">
        <f t="shared" si="20"/>
        <v>0</v>
      </c>
      <c r="U37" s="37">
        <f t="shared" si="20"/>
        <v>0</v>
      </c>
      <c r="V37" s="37">
        <f t="shared" si="20"/>
        <v>0</v>
      </c>
      <c r="W37" s="37">
        <f t="shared" si="20"/>
        <v>0</v>
      </c>
      <c r="X37" s="37">
        <f t="shared" si="20"/>
        <v>0</v>
      </c>
      <c r="Y37" s="37">
        <f t="shared" si="20"/>
        <v>171.84000000000003</v>
      </c>
      <c r="Z37" s="37">
        <f t="shared" si="20"/>
        <v>22.559999999999995</v>
      </c>
      <c r="AA37" s="37">
        <f t="shared" si="20"/>
        <v>20916</v>
      </c>
      <c r="AB37" s="37">
        <f t="shared" si="20"/>
        <v>0</v>
      </c>
      <c r="AC37" s="123">
        <f>SUM(C37:AB37)</f>
        <v>3532667.6799999997</v>
      </c>
      <c r="AD37" s="37">
        <f>AD35-AD36</f>
        <v>-2310.84</v>
      </c>
      <c r="AE37" s="37">
        <f t="shared" ref="AE37:BF37" si="21">AE35-AE36</f>
        <v>12.48</v>
      </c>
      <c r="AF37" s="37">
        <f t="shared" si="21"/>
        <v>2722.0800000000004</v>
      </c>
      <c r="AG37" s="37">
        <f t="shared" si="21"/>
        <v>0</v>
      </c>
      <c r="AH37" s="37">
        <f t="shared" si="21"/>
        <v>0</v>
      </c>
      <c r="AI37" s="37">
        <f t="shared" si="21"/>
        <v>170.88000000000002</v>
      </c>
      <c r="AJ37" s="37">
        <f t="shared" si="21"/>
        <v>-23000.320000000007</v>
      </c>
      <c r="AK37" s="37">
        <f t="shared" si="21"/>
        <v>52492.479999999996</v>
      </c>
      <c r="AL37" s="37">
        <f t="shared" si="21"/>
        <v>266742.24</v>
      </c>
      <c r="AM37" s="37">
        <f t="shared" si="21"/>
        <v>-13400.36</v>
      </c>
      <c r="AN37" s="37">
        <f t="shared" si="21"/>
        <v>188306.40000000002</v>
      </c>
      <c r="AO37" s="37">
        <f t="shared" si="21"/>
        <v>-17546.400000000001</v>
      </c>
      <c r="AP37" s="37">
        <f t="shared" si="21"/>
        <v>0</v>
      </c>
      <c r="AQ37" s="37">
        <f t="shared" si="21"/>
        <v>0</v>
      </c>
      <c r="AR37" s="37">
        <f t="shared" si="21"/>
        <v>0</v>
      </c>
      <c r="AS37" s="37">
        <f t="shared" si="21"/>
        <v>0</v>
      </c>
      <c r="AT37" s="37">
        <f t="shared" si="21"/>
        <v>0</v>
      </c>
      <c r="AU37" s="37">
        <f t="shared" si="21"/>
        <v>0</v>
      </c>
      <c r="AV37" s="37">
        <f t="shared" si="21"/>
        <v>128.63999999999999</v>
      </c>
      <c r="AW37" s="37">
        <f t="shared" si="21"/>
        <v>152.15999999999997</v>
      </c>
      <c r="AX37" s="37">
        <f t="shared" si="21"/>
        <v>0</v>
      </c>
      <c r="AY37" s="37">
        <f t="shared" si="21"/>
        <v>0</v>
      </c>
      <c r="AZ37" s="37">
        <f t="shared" si="21"/>
        <v>0</v>
      </c>
      <c r="BA37" s="37">
        <f t="shared" si="21"/>
        <v>0</v>
      </c>
      <c r="BB37" s="37">
        <f t="shared" si="21"/>
        <v>1297.92</v>
      </c>
      <c r="BC37" s="37">
        <f t="shared" si="21"/>
        <v>1300.32</v>
      </c>
      <c r="BD37" s="37">
        <f t="shared" si="21"/>
        <v>0</v>
      </c>
      <c r="BE37" s="37">
        <f t="shared" si="21"/>
        <v>212.64</v>
      </c>
      <c r="BF37" s="37">
        <f t="shared" si="21"/>
        <v>0.96</v>
      </c>
      <c r="BG37" s="124">
        <f>SUM(AD37:BF37)</f>
        <v>457281.28000000003</v>
      </c>
      <c r="BH37" s="125">
        <f>AC37+BG37</f>
        <v>3989948.96</v>
      </c>
      <c r="BI37" s="38">
        <f>BI35-BI36</f>
        <v>17479.5</v>
      </c>
      <c r="BJ37" s="126">
        <f>BH37-BI37</f>
        <v>3972469.46</v>
      </c>
    </row>
    <row r="38" spans="1:63" ht="15.75">
      <c r="A38" s="130"/>
      <c r="B38" s="12" t="s">
        <v>203</v>
      </c>
      <c r="C38" s="9">
        <f>IF('Upto Month Current'!$G$4="",0,'Upto Month Current'!$G$4)</f>
        <v>214435</v>
      </c>
      <c r="D38" s="9">
        <f>IF('Upto Month Current'!$G$5="",0,'Upto Month Current'!$G$5)</f>
        <v>167089</v>
      </c>
      <c r="E38" s="9">
        <f>IF('Upto Month Current'!$G$6="",0,'Upto Month Current'!$G$6)</f>
        <v>140</v>
      </c>
      <c r="F38" s="9">
        <f>IF('Upto Month Current'!$G$7="",0,'Upto Month Current'!$G$7)</f>
        <v>39826</v>
      </c>
      <c r="G38" s="9">
        <f>IF('Upto Month Current'!$G$8="",0,'Upto Month Current'!$G$8)</f>
        <v>19952</v>
      </c>
      <c r="H38" s="9">
        <f>IF('Upto Month Current'!$G$9="",0,'Upto Month Current'!$G$9)</f>
        <v>0</v>
      </c>
      <c r="I38" s="9">
        <f>IF('Upto Month Current'!$G$10="",0,'Upto Month Current'!$G$10)</f>
        <v>0</v>
      </c>
      <c r="J38" s="9">
        <f>IF('Upto Month Current'!$G$11="",0,'Upto Month Current'!$G$11)</f>
        <v>101708</v>
      </c>
      <c r="K38" s="9">
        <f>IF('Upto Month Current'!$G$12="",0,'Upto Month Current'!$G$12)</f>
        <v>244</v>
      </c>
      <c r="L38" s="9">
        <f>IF('Upto Month Current'!$G$13="",0,'Upto Month Current'!$G$13)</f>
        <v>11766</v>
      </c>
      <c r="M38" s="9">
        <f>IF('Upto Month Current'!$G$14="",0,'Upto Month Current'!$G$14)</f>
        <v>16426</v>
      </c>
      <c r="N38" s="9">
        <f>IF('Upto Month Current'!$G$15="",0,'Upto Month Current'!$G$15)</f>
        <v>0</v>
      </c>
      <c r="O38" s="9">
        <f>IF('Upto Month Current'!$G$16="",0,'Upto Month Current'!$G$16)</f>
        <v>542</v>
      </c>
      <c r="P38" s="9">
        <f>IF('Upto Month Current'!$G$17="",0,'Upto Month Current'!$G$17)</f>
        <v>492</v>
      </c>
      <c r="Q38" s="9">
        <f>IF('Upto Month Current'!$G$18="",0,'Upto Month Current'!$G$18)</f>
        <v>0</v>
      </c>
      <c r="R38" s="9">
        <f>IF('Upto Month Current'!$G$21="",0,'Upto Month Current'!$G$21)</f>
        <v>269</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2205</v>
      </c>
      <c r="Z38" s="9">
        <f>IF('Upto Month Current'!$G$43="",0,'Upto Month Current'!$G$43)</f>
        <v>886</v>
      </c>
      <c r="AA38" s="9">
        <f>IF('Upto Month Current'!$G$44="",0,'Upto Month Current'!$G$44)</f>
        <v>623</v>
      </c>
      <c r="AB38" s="9">
        <f>IF('Upto Month Current'!$G$51="",0,'Upto Month Current'!$G$51)</f>
        <v>0</v>
      </c>
      <c r="AC38" s="123">
        <f>SUM(C38:AB38)</f>
        <v>576603</v>
      </c>
      <c r="AD38" s="9">
        <f>IF('Upto Month Current'!$G$19="",0,'Upto Month Current'!$G$19)</f>
        <v>0</v>
      </c>
      <c r="AE38" s="9">
        <f>IF('Upto Month Current'!$G$20="",0,'Upto Month Current'!$G$20)</f>
        <v>0</v>
      </c>
      <c r="AF38" s="9">
        <f>IF('Upto Month Current'!$G$22="",0,'Upto Month Current'!$G$22)</f>
        <v>887</v>
      </c>
      <c r="AG38" s="9">
        <f>IF('Upto Month Current'!$G$23="",0,'Upto Month Current'!$G$23)</f>
        <v>0</v>
      </c>
      <c r="AH38" s="9">
        <f>IF('Upto Month Current'!$G$24="",0,'Upto Month Current'!$G$24)</f>
        <v>0</v>
      </c>
      <c r="AI38" s="9">
        <f>IF('Upto Month Current'!$G$25="",0,'Upto Month Current'!$G$25)</f>
        <v>0</v>
      </c>
      <c r="AJ38" s="9">
        <f>IF('Upto Month Current'!$G$28="",0,'Upto Month Current'!$G$28)</f>
        <v>3065</v>
      </c>
      <c r="AK38" s="9">
        <f>IF('Upto Month Current'!$G$29="",0,'Upto Month Current'!$G$29)</f>
        <v>9231</v>
      </c>
      <c r="AL38" s="9">
        <f>IF('Upto Month Current'!$G$31="",0,'Upto Month Current'!$G$31)</f>
        <v>31576</v>
      </c>
      <c r="AM38" s="9">
        <f>IF('Upto Month Current'!$G$32="",0,'Upto Month Current'!$G$32)</f>
        <v>6999</v>
      </c>
      <c r="AN38" s="9">
        <f>IF('Upto Month Current'!$G$33="",0,'Upto Month Current'!$G$33)</f>
        <v>148375</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4385</v>
      </c>
      <c r="BC38" s="9">
        <f>IF('Upto Month Current'!$G$54="",0,'Upto Month Current'!$G$54)</f>
        <v>4385</v>
      </c>
      <c r="BD38" s="9">
        <f>IF('Upto Month Current'!$G$55="",0,'Upto Month Current'!$G$55)</f>
        <v>0</v>
      </c>
      <c r="BE38" s="9">
        <f>IF('Upto Month Current'!$G$56="",0,'Upto Month Current'!$G$56)</f>
        <v>14319</v>
      </c>
      <c r="BF38" s="9">
        <f>IF('Upto Month Current'!$G$58="",0,'Upto Month Current'!$G$58)</f>
        <v>0</v>
      </c>
      <c r="BG38" s="124">
        <f>SUM(AD38:BF38)</f>
        <v>223222</v>
      </c>
      <c r="BH38" s="125">
        <f>AC38+BG38</f>
        <v>799825</v>
      </c>
      <c r="BI38" s="9">
        <f>IF('Upto Month Current'!$G$60="",0,'Upto Month Current'!$G$60)</f>
        <v>0</v>
      </c>
      <c r="BJ38" s="126">
        <f>BH38-BI38</f>
        <v>799825</v>
      </c>
      <c r="BK38">
        <f>'Upto Month Current'!$G$61</f>
        <v>799827</v>
      </c>
    </row>
    <row r="39" spans="1:63" ht="15.75">
      <c r="A39" s="130"/>
      <c r="B39" s="5" t="s">
        <v>201</v>
      </c>
      <c r="C39" s="128">
        <f t="shared" ref="C39:AH39" si="22">C38/C35</f>
        <v>4.9924241154328267E-2</v>
      </c>
      <c r="D39" s="128">
        <f t="shared" si="22"/>
        <v>0.18289236333067715</v>
      </c>
      <c r="E39" s="128">
        <f t="shared" si="22"/>
        <v>8.8023741260499972E-4</v>
      </c>
      <c r="F39" s="128">
        <f t="shared" si="22"/>
        <v>6.1559150172732259E-2</v>
      </c>
      <c r="G39" s="128">
        <f t="shared" si="22"/>
        <v>9.1755692191660493E-2</v>
      </c>
      <c r="H39" s="128" t="e">
        <f t="shared" si="22"/>
        <v>#DIV/0!</v>
      </c>
      <c r="I39" s="128" t="e">
        <f t="shared" si="22"/>
        <v>#DIV/0!</v>
      </c>
      <c r="J39" s="128">
        <f t="shared" si="22"/>
        <v>0.1140381465157191</v>
      </c>
      <c r="K39" s="128">
        <f t="shared" si="22"/>
        <v>2.4278606965174128E-3</v>
      </c>
      <c r="L39" s="128">
        <f t="shared" si="22"/>
        <v>8.9645031275952178E-2</v>
      </c>
      <c r="M39" s="128">
        <f t="shared" si="22"/>
        <v>7.8889230414569481E-2</v>
      </c>
      <c r="N39" s="128">
        <f t="shared" si="22"/>
        <v>0</v>
      </c>
      <c r="O39" s="128">
        <f t="shared" si="22"/>
        <v>9.9963113242345997E-2</v>
      </c>
      <c r="P39" s="128">
        <f t="shared" si="22"/>
        <v>5.6017306159626551E-2</v>
      </c>
      <c r="Q39" s="128" t="e">
        <f t="shared" si="22"/>
        <v>#DIV/0!</v>
      </c>
      <c r="R39" s="128">
        <f t="shared" si="22"/>
        <v>2.3979318951684793E-2</v>
      </c>
      <c r="S39" s="128" t="e">
        <f t="shared" si="22"/>
        <v>#DIV/0!</v>
      </c>
      <c r="T39" s="128" t="e">
        <f t="shared" si="22"/>
        <v>#DIV/0!</v>
      </c>
      <c r="U39" s="128" t="e">
        <f t="shared" si="22"/>
        <v>#DIV/0!</v>
      </c>
      <c r="V39" s="128" t="e">
        <f t="shared" si="22"/>
        <v>#DIV/0!</v>
      </c>
      <c r="W39" s="128" t="e">
        <f t="shared" si="22"/>
        <v>#DIV/0!</v>
      </c>
      <c r="X39" s="128" t="e">
        <f t="shared" si="22"/>
        <v>#DIV/0!</v>
      </c>
      <c r="Y39" s="128">
        <f t="shared" si="22"/>
        <v>6.1592178770949717</v>
      </c>
      <c r="Z39" s="128">
        <f t="shared" si="22"/>
        <v>18.851063829787233</v>
      </c>
      <c r="AA39" s="128">
        <f t="shared" si="22"/>
        <v>1.429718875502008E-2</v>
      </c>
      <c r="AB39" s="128" t="e">
        <f t="shared" si="22"/>
        <v>#DIV/0!</v>
      </c>
      <c r="AC39" s="128">
        <f t="shared" si="22"/>
        <v>7.5532388567709802E-2</v>
      </c>
      <c r="AD39" s="128">
        <f t="shared" si="22"/>
        <v>0</v>
      </c>
      <c r="AE39" s="128">
        <f t="shared" si="22"/>
        <v>0</v>
      </c>
      <c r="AF39" s="128">
        <f t="shared" si="22"/>
        <v>0.15640980426732498</v>
      </c>
      <c r="AG39" s="128" t="e">
        <f t="shared" si="22"/>
        <v>#DIV/0!</v>
      </c>
      <c r="AH39" s="128" t="e">
        <f t="shared" si="22"/>
        <v>#DIV/0!</v>
      </c>
      <c r="AI39" s="128">
        <f t="shared" ref="AI39:BJ39" si="23">AI38/AI35</f>
        <v>0</v>
      </c>
      <c r="AJ39" s="128">
        <f t="shared" si="23"/>
        <v>3.268496598204193E-2</v>
      </c>
      <c r="AK39" s="128">
        <f t="shared" si="23"/>
        <v>7.9259182937509665E-2</v>
      </c>
      <c r="AL39" s="128">
        <f t="shared" si="23"/>
        <v>5.6820697014466098E-2</v>
      </c>
      <c r="AM39" s="128">
        <f t="shared" si="23"/>
        <v>9.3179609388521295E-2</v>
      </c>
      <c r="AN39" s="128">
        <f t="shared" si="23"/>
        <v>0.37821337989574438</v>
      </c>
      <c r="AO39" s="128">
        <f t="shared" si="23"/>
        <v>0</v>
      </c>
      <c r="AP39" s="128" t="e">
        <f t="shared" si="23"/>
        <v>#DIV/0!</v>
      </c>
      <c r="AQ39" s="128" t="e">
        <f t="shared" si="23"/>
        <v>#DIV/0!</v>
      </c>
      <c r="AR39" s="128" t="e">
        <f t="shared" si="23"/>
        <v>#DIV/0!</v>
      </c>
      <c r="AS39" s="128" t="e">
        <f t="shared" si="23"/>
        <v>#DIV/0!</v>
      </c>
      <c r="AT39" s="128" t="e">
        <f t="shared" si="23"/>
        <v>#DIV/0!</v>
      </c>
      <c r="AU39" s="128" t="e">
        <f t="shared" si="23"/>
        <v>#DIV/0!</v>
      </c>
      <c r="AV39" s="128">
        <f t="shared" si="23"/>
        <v>0</v>
      </c>
      <c r="AW39" s="128">
        <f t="shared" si="23"/>
        <v>0</v>
      </c>
      <c r="AX39" s="128" t="e">
        <f t="shared" si="23"/>
        <v>#DIV/0!</v>
      </c>
      <c r="AY39" s="128" t="e">
        <f t="shared" si="23"/>
        <v>#DIV/0!</v>
      </c>
      <c r="AZ39" s="128" t="e">
        <f t="shared" si="23"/>
        <v>#DIV/0!</v>
      </c>
      <c r="BA39" s="128" t="e">
        <f t="shared" si="23"/>
        <v>#DIV/0!</v>
      </c>
      <c r="BB39" s="128">
        <f t="shared" si="23"/>
        <v>1.6216715976331362</v>
      </c>
      <c r="BC39" s="128">
        <f t="shared" si="23"/>
        <v>1.6186784791435955</v>
      </c>
      <c r="BD39" s="128" t="e">
        <f t="shared" si="23"/>
        <v>#DIV/0!</v>
      </c>
      <c r="BE39" s="128">
        <f t="shared" si="23"/>
        <v>32.322799097065463</v>
      </c>
      <c r="BF39" s="128">
        <f t="shared" si="23"/>
        <v>0</v>
      </c>
      <c r="BG39" s="128">
        <f t="shared" si="23"/>
        <v>0.18422368757685548</v>
      </c>
      <c r="BH39" s="128">
        <f t="shared" si="23"/>
        <v>9.0421264227931342E-2</v>
      </c>
      <c r="BI39" s="128">
        <f t="shared" si="23"/>
        <v>0</v>
      </c>
      <c r="BJ39" s="128">
        <f t="shared" si="23"/>
        <v>9.0780041545496085E-2</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133</v>
      </c>
      <c r="B41" s="11" t="s">
        <v>205</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BH41-BI41</f>
        <v>26089898</v>
      </c>
    </row>
    <row r="42" spans="1:63" ht="15.75">
      <c r="A42" s="130" t="s">
        <v>133</v>
      </c>
      <c r="B42" s="5" t="s">
        <v>202</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SUM(C42:AB42)</f>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SUM(AD42:BF42)</f>
        <v>12061844.480000002</v>
      </c>
      <c r="BH42" s="125">
        <f>AC42+BG42</f>
        <v>16906831.640000001</v>
      </c>
      <c r="BI42" s="11">
        <v>0</v>
      </c>
      <c r="BJ42" s="126">
        <f>BH42-BI42</f>
        <v>16906831.640000001</v>
      </c>
    </row>
    <row r="43" spans="1:63" ht="15.75">
      <c r="A43" s="130"/>
      <c r="B43" s="5"/>
      <c r="C43" s="37">
        <f>C41-C42</f>
        <v>2787648.9599999995</v>
      </c>
      <c r="D43" s="37">
        <f t="shared" ref="D43:AB43" si="24">D41-D42</f>
        <v>213832.71999999997</v>
      </c>
      <c r="E43" s="37">
        <f t="shared" si="24"/>
        <v>216781</v>
      </c>
      <c r="F43" s="37">
        <f t="shared" si="24"/>
        <v>299418.71999999997</v>
      </c>
      <c r="G43" s="37">
        <f t="shared" si="24"/>
        <v>150382.08000000002</v>
      </c>
      <c r="H43" s="37">
        <f t="shared" si="24"/>
        <v>0</v>
      </c>
      <c r="I43" s="37">
        <f t="shared" si="24"/>
        <v>0</v>
      </c>
      <c r="J43" s="37">
        <f t="shared" si="24"/>
        <v>167811.36</v>
      </c>
      <c r="K43" s="37">
        <f t="shared" si="24"/>
        <v>26572.639999999992</v>
      </c>
      <c r="L43" s="37">
        <f t="shared" si="24"/>
        <v>87956.160000000003</v>
      </c>
      <c r="M43" s="37">
        <f t="shared" si="24"/>
        <v>76614.239999999991</v>
      </c>
      <c r="N43" s="37">
        <f t="shared" si="24"/>
        <v>472.31999999999994</v>
      </c>
      <c r="O43" s="37">
        <f t="shared" si="24"/>
        <v>8884.7999999999993</v>
      </c>
      <c r="P43" s="37">
        <f t="shared" si="24"/>
        <v>27308.880000000005</v>
      </c>
      <c r="Q43" s="37">
        <f t="shared" si="24"/>
        <v>0</v>
      </c>
      <c r="R43" s="37">
        <f t="shared" si="24"/>
        <v>-1143.2399999999998</v>
      </c>
      <c r="S43" s="37">
        <f t="shared" si="24"/>
        <v>0</v>
      </c>
      <c r="T43" s="37">
        <f t="shared" si="24"/>
        <v>0</v>
      </c>
      <c r="U43" s="37">
        <f t="shared" si="24"/>
        <v>0</v>
      </c>
      <c r="V43" s="37">
        <f t="shared" si="24"/>
        <v>0</v>
      </c>
      <c r="W43" s="37">
        <f t="shared" si="24"/>
        <v>0</v>
      </c>
      <c r="X43" s="37">
        <f t="shared" si="24"/>
        <v>0</v>
      </c>
      <c r="Y43" s="37">
        <f t="shared" si="24"/>
        <v>2052</v>
      </c>
      <c r="Z43" s="37">
        <f t="shared" si="24"/>
        <v>306.71999999999997</v>
      </c>
      <c r="AA43" s="37">
        <f t="shared" si="24"/>
        <v>300.48</v>
      </c>
      <c r="AB43" s="37">
        <f t="shared" si="24"/>
        <v>0</v>
      </c>
      <c r="AC43" s="123">
        <f>SUM(C43:AB43)</f>
        <v>4065199.8399999994</v>
      </c>
      <c r="AD43" s="37">
        <f>AD41-AD42</f>
        <v>2487.3600000000006</v>
      </c>
      <c r="AE43" s="37">
        <f t="shared" ref="AE43:BF43" si="25">AE41-AE42</f>
        <v>184.79999999999998</v>
      </c>
      <c r="AF43" s="37">
        <f t="shared" si="25"/>
        <v>3419.0399999999995</v>
      </c>
      <c r="AG43" s="37">
        <f t="shared" si="25"/>
        <v>0</v>
      </c>
      <c r="AH43" s="37">
        <f t="shared" si="25"/>
        <v>0</v>
      </c>
      <c r="AI43" s="37">
        <f t="shared" si="25"/>
        <v>4930.5599999999995</v>
      </c>
      <c r="AJ43" s="37">
        <f t="shared" si="25"/>
        <v>-19995.600000000006</v>
      </c>
      <c r="AK43" s="37">
        <f t="shared" si="25"/>
        <v>13787.039999999999</v>
      </c>
      <c r="AL43" s="37">
        <f t="shared" si="25"/>
        <v>0</v>
      </c>
      <c r="AM43" s="37">
        <f t="shared" si="25"/>
        <v>-146.88000000000002</v>
      </c>
      <c r="AN43" s="37">
        <f t="shared" si="25"/>
        <v>136624.79999999999</v>
      </c>
      <c r="AO43" s="37">
        <f t="shared" si="25"/>
        <v>4966182.7199999988</v>
      </c>
      <c r="AP43" s="37">
        <f t="shared" si="25"/>
        <v>0</v>
      </c>
      <c r="AQ43" s="37">
        <f t="shared" si="25"/>
        <v>0</v>
      </c>
      <c r="AR43" s="37">
        <f t="shared" si="25"/>
        <v>0</v>
      </c>
      <c r="AS43" s="37">
        <f t="shared" si="25"/>
        <v>0</v>
      </c>
      <c r="AT43" s="37">
        <f t="shared" si="25"/>
        <v>0</v>
      </c>
      <c r="AU43" s="37">
        <f t="shared" si="25"/>
        <v>0</v>
      </c>
      <c r="AV43" s="37">
        <f t="shared" si="25"/>
        <v>122.39999999999998</v>
      </c>
      <c r="AW43" s="37">
        <f t="shared" si="25"/>
        <v>478.07999999999993</v>
      </c>
      <c r="AX43" s="37">
        <f t="shared" si="25"/>
        <v>27.839999999999996</v>
      </c>
      <c r="AY43" s="37">
        <f t="shared" si="25"/>
        <v>0</v>
      </c>
      <c r="AZ43" s="37">
        <f t="shared" si="25"/>
        <v>0</v>
      </c>
      <c r="BA43" s="37">
        <f t="shared" si="25"/>
        <v>0</v>
      </c>
      <c r="BB43" s="37">
        <f t="shared" si="25"/>
        <v>1843.1999999999998</v>
      </c>
      <c r="BC43" s="37">
        <f t="shared" si="25"/>
        <v>1843.1999999999998</v>
      </c>
      <c r="BD43" s="37">
        <f t="shared" si="25"/>
        <v>0</v>
      </c>
      <c r="BE43" s="37">
        <f t="shared" si="25"/>
        <v>4740.96</v>
      </c>
      <c r="BF43" s="37">
        <f t="shared" si="25"/>
        <v>1337</v>
      </c>
      <c r="BG43" s="124">
        <f>SUM(AD43:BF43)</f>
        <v>5117866.5199999996</v>
      </c>
      <c r="BH43" s="125">
        <f>AC43+BG43</f>
        <v>9183066.3599999994</v>
      </c>
      <c r="BI43" s="38">
        <f>BI41-BI42</f>
        <v>0</v>
      </c>
      <c r="BJ43" s="126">
        <f>BH43-BI43</f>
        <v>9183066.3599999994</v>
      </c>
    </row>
    <row r="44" spans="1:63" ht="15.75">
      <c r="A44" s="130"/>
      <c r="B44" s="12" t="s">
        <v>203</v>
      </c>
      <c r="C44" s="9">
        <f>IF('Upto Month Current'!$H$4="",0,'Upto Month Current'!$H$4)</f>
        <v>260927</v>
      </c>
      <c r="D44" s="9">
        <f>IF('Upto Month Current'!$H$5="",0,'Upto Month Current'!$H$5)</f>
        <v>176893</v>
      </c>
      <c r="E44" s="9">
        <f>IF('Upto Month Current'!$H$6="",0,'Upto Month Current'!$H$6)</f>
        <v>18</v>
      </c>
      <c r="F44" s="9">
        <f>IF('Upto Month Current'!$H$7="",0,'Upto Month Current'!$H$7)</f>
        <v>30975</v>
      </c>
      <c r="G44" s="9">
        <f>IF('Upto Month Current'!$H$8="",0,'Upto Month Current'!$H$8)</f>
        <v>21141</v>
      </c>
      <c r="H44" s="9">
        <f>IF('Upto Month Current'!$H$9="",0,'Upto Month Current'!$H$9)</f>
        <v>0</v>
      </c>
      <c r="I44" s="9">
        <f>IF('Upto Month Current'!$H$10="",0,'Upto Month Current'!$H$10)</f>
        <v>0</v>
      </c>
      <c r="J44" s="9">
        <f>IF('Upto Month Current'!$H$11="",0,'Upto Month Current'!$H$11)</f>
        <v>51792</v>
      </c>
      <c r="K44" s="9">
        <f>IF('Upto Month Current'!$H$12="",0,'Upto Month Current'!$H$12)</f>
        <v>6409</v>
      </c>
      <c r="L44" s="9">
        <f>IF('Upto Month Current'!$H$13="",0,'Upto Month Current'!$H$13)</f>
        <v>17158</v>
      </c>
      <c r="M44" s="9">
        <f>IF('Upto Month Current'!$H$14="",0,'Upto Month Current'!$H$14)</f>
        <v>10447</v>
      </c>
      <c r="N44" s="9">
        <f>IF('Upto Month Current'!$H$15="",0,'Upto Month Current'!$H$15)</f>
        <v>100</v>
      </c>
      <c r="O44" s="9">
        <f>IF('Upto Month Current'!$H$16="",0,'Upto Month Current'!$H$16)</f>
        <v>2141</v>
      </c>
      <c r="P44" s="9">
        <f>IF('Upto Month Current'!$H$17="",0,'Upto Month Current'!$H$17)</f>
        <v>19034</v>
      </c>
      <c r="Q44" s="9">
        <f>IF('Upto Month Current'!$H$18="",0,'Upto Month Current'!$H$18)</f>
        <v>0</v>
      </c>
      <c r="R44" s="9">
        <f>IF('Upto Month Current'!$H$21="",0,'Upto Month Current'!$H$21)</f>
        <v>451</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2986</v>
      </c>
      <c r="Z44" s="9">
        <f>IF('Upto Month Current'!$H$43="",0,'Upto Month Current'!$H$43)</f>
        <v>1355</v>
      </c>
      <c r="AA44" s="9">
        <f>IF('Upto Month Current'!$H$44="",0,'Upto Month Current'!$H$44)</f>
        <v>1638</v>
      </c>
      <c r="AB44" s="9">
        <f>IF('Upto Month Current'!$H$51="",0,'Upto Month Current'!$H$51)</f>
        <v>0</v>
      </c>
      <c r="AC44" s="123">
        <f>SUM(C44:AB44)</f>
        <v>603465</v>
      </c>
      <c r="AD44" s="9">
        <f>IF('Upto Month Current'!$H$19="",0,'Upto Month Current'!$H$19)</f>
        <v>0</v>
      </c>
      <c r="AE44" s="9">
        <f>IF('Upto Month Current'!$H$20="",0,'Upto Month Current'!$H$20)</f>
        <v>50</v>
      </c>
      <c r="AF44" s="9">
        <f>IF('Upto Month Current'!$H$22="",0,'Upto Month Current'!$H$22)</f>
        <v>3049</v>
      </c>
      <c r="AG44" s="9">
        <f>IF('Upto Month Current'!$H$23="",0,'Upto Month Current'!$H$23)</f>
        <v>0</v>
      </c>
      <c r="AH44" s="9">
        <f>IF('Upto Month Current'!$H$24="",0,'Upto Month Current'!$H$24)</f>
        <v>0</v>
      </c>
      <c r="AI44" s="9">
        <f>IF('Upto Month Current'!$H$25="",0,'Upto Month Current'!$H$25)</f>
        <v>2184</v>
      </c>
      <c r="AJ44" s="9">
        <f>IF('Upto Month Current'!$H$28="",0,'Upto Month Current'!$H$28)</f>
        <v>1722</v>
      </c>
      <c r="AK44" s="9">
        <f>IF('Upto Month Current'!$H$29="",0,'Upto Month Current'!$H$29)</f>
        <v>5475</v>
      </c>
      <c r="AL44" s="9">
        <f>IF('Upto Month Current'!$H$31="",0,'Upto Month Current'!$H$31)</f>
        <v>0</v>
      </c>
      <c r="AM44" s="9">
        <f>IF('Upto Month Current'!$H$32="",0,'Upto Month Current'!$H$32)</f>
        <v>0</v>
      </c>
      <c r="AN44" s="9">
        <f>IF('Upto Month Current'!$H$33="",0,'Upto Month Current'!$H$33)</f>
        <v>69246</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2651</v>
      </c>
      <c r="BC44" s="9">
        <f>IF('Upto Month Current'!$H$54="",0,'Upto Month Current'!$H$54)</f>
        <v>2651</v>
      </c>
      <c r="BD44" s="9">
        <f>IF('Upto Month Current'!$H$55="",0,'Upto Month Current'!$H$55)</f>
        <v>0</v>
      </c>
      <c r="BE44" s="9">
        <f>IF('Upto Month Current'!$H$56="",0,'Upto Month Current'!$H$56)</f>
        <v>3364</v>
      </c>
      <c r="BF44" s="9">
        <f>IF('Upto Month Current'!$H$58="",0,'Upto Month Current'!$H$58)</f>
        <v>677</v>
      </c>
      <c r="BG44" s="124">
        <f>SUM(AD44:BF44)</f>
        <v>91069</v>
      </c>
      <c r="BH44" s="125">
        <f>AC44+BG44</f>
        <v>694534</v>
      </c>
      <c r="BI44" s="9">
        <f>IF('Upto Month Current'!$H$60="",0,'Upto Month Current'!$H$60)</f>
        <v>0</v>
      </c>
      <c r="BJ44" s="126">
        <f>BH44-BI44</f>
        <v>694534</v>
      </c>
      <c r="BK44">
        <f>'Upto Month Current'!$H$61</f>
        <v>694531</v>
      </c>
    </row>
    <row r="45" spans="1:63" ht="15.75">
      <c r="A45" s="130"/>
      <c r="B45" s="5" t="s">
        <v>201</v>
      </c>
      <c r="C45" s="128">
        <f t="shared" ref="C45:AH45" si="26">C44/C41</f>
        <v>4.4928526438278653E-2</v>
      </c>
      <c r="D45" s="128">
        <f t="shared" si="26"/>
        <v>0.17641561933408198</v>
      </c>
      <c r="E45" s="128">
        <f t="shared" si="26"/>
        <v>8.3033107144998876E-5</v>
      </c>
      <c r="F45" s="128">
        <f t="shared" si="26"/>
        <v>4.9656213880013914E-2</v>
      </c>
      <c r="G45" s="128">
        <f t="shared" si="26"/>
        <v>6.7479316684541144E-2</v>
      </c>
      <c r="H45" s="128" t="e">
        <f t="shared" si="26"/>
        <v>#DIV/0!</v>
      </c>
      <c r="I45" s="128" t="e">
        <f t="shared" si="26"/>
        <v>#DIV/0!</v>
      </c>
      <c r="J45" s="128">
        <f t="shared" si="26"/>
        <v>0.14814348682949713</v>
      </c>
      <c r="K45" s="128">
        <f t="shared" si="26"/>
        <v>7.5454149448427696E-2</v>
      </c>
      <c r="L45" s="128">
        <f t="shared" si="26"/>
        <v>9.3635738531559362E-2</v>
      </c>
      <c r="M45" s="128">
        <f t="shared" si="26"/>
        <v>6.545206217538671E-2</v>
      </c>
      <c r="N45" s="128">
        <f t="shared" si="26"/>
        <v>0.1016260162601626</v>
      </c>
      <c r="O45" s="128">
        <f t="shared" si="26"/>
        <v>0.11566720691518098</v>
      </c>
      <c r="P45" s="128">
        <f t="shared" si="26"/>
        <v>0.13891504097971813</v>
      </c>
      <c r="Q45" s="128" t="e">
        <f t="shared" si="26"/>
        <v>#DIV/0!</v>
      </c>
      <c r="R45" s="128">
        <f t="shared" si="26"/>
        <v>6.8760481780759261E-2</v>
      </c>
      <c r="S45" s="128" t="e">
        <f t="shared" si="26"/>
        <v>#DIV/0!</v>
      </c>
      <c r="T45" s="128" t="e">
        <f t="shared" si="26"/>
        <v>#DIV/0!</v>
      </c>
      <c r="U45" s="128" t="e">
        <f t="shared" si="26"/>
        <v>#DIV/0!</v>
      </c>
      <c r="V45" s="128" t="e">
        <f t="shared" si="26"/>
        <v>#DIV/0!</v>
      </c>
      <c r="W45" s="128" t="e">
        <f t="shared" si="26"/>
        <v>#DIV/0!</v>
      </c>
      <c r="X45" s="128" t="e">
        <f t="shared" si="26"/>
        <v>#DIV/0!</v>
      </c>
      <c r="Y45" s="128">
        <f t="shared" si="26"/>
        <v>0.6984795321637427</v>
      </c>
      <c r="Z45" s="128">
        <f t="shared" si="26"/>
        <v>2.1205007824726136</v>
      </c>
      <c r="AA45" s="128">
        <f t="shared" si="26"/>
        <v>2.6166134185303513</v>
      </c>
      <c r="AB45" s="128" t="e">
        <f t="shared" si="26"/>
        <v>#DIV/0!</v>
      </c>
      <c r="AC45" s="128">
        <f t="shared" si="26"/>
        <v>6.7727534786868104E-2</v>
      </c>
      <c r="AD45" s="128">
        <f t="shared" si="26"/>
        <v>0</v>
      </c>
      <c r="AE45" s="128">
        <f t="shared" si="26"/>
        <v>0.12987012987012986</v>
      </c>
      <c r="AF45" s="128">
        <f t="shared" si="26"/>
        <v>0.42804997894145724</v>
      </c>
      <c r="AG45" s="128" t="e">
        <f t="shared" si="26"/>
        <v>#DIV/0!</v>
      </c>
      <c r="AH45" s="128" t="e">
        <f t="shared" si="26"/>
        <v>#DIV/0!</v>
      </c>
      <c r="AI45" s="128">
        <f t="shared" ref="AI45:BJ45" si="27">AI44/AI41</f>
        <v>0.21261682242990654</v>
      </c>
      <c r="AJ45" s="128">
        <f t="shared" si="27"/>
        <v>0.15919386151428308</v>
      </c>
      <c r="AK45" s="128">
        <f t="shared" si="27"/>
        <v>0.19061379382376492</v>
      </c>
      <c r="AL45" s="128" t="e">
        <f t="shared" si="27"/>
        <v>#DIV/0!</v>
      </c>
      <c r="AM45" s="128">
        <f t="shared" si="27"/>
        <v>0</v>
      </c>
      <c r="AN45" s="128">
        <f t="shared" si="27"/>
        <v>0.24327999016284013</v>
      </c>
      <c r="AO45" s="128">
        <f t="shared" si="27"/>
        <v>0</v>
      </c>
      <c r="AP45" s="128" t="e">
        <f t="shared" si="27"/>
        <v>#DIV/0!</v>
      </c>
      <c r="AQ45" s="128" t="e">
        <f t="shared" si="27"/>
        <v>#DIV/0!</v>
      </c>
      <c r="AR45" s="128" t="e">
        <f t="shared" si="27"/>
        <v>#DIV/0!</v>
      </c>
      <c r="AS45" s="128" t="e">
        <f t="shared" si="27"/>
        <v>#DIV/0!</v>
      </c>
      <c r="AT45" s="128" t="e">
        <f t="shared" si="27"/>
        <v>#DIV/0!</v>
      </c>
      <c r="AU45" s="128" t="e">
        <f t="shared" si="27"/>
        <v>#DIV/0!</v>
      </c>
      <c r="AV45" s="128">
        <f t="shared" si="27"/>
        <v>0</v>
      </c>
      <c r="AW45" s="128">
        <f t="shared" si="27"/>
        <v>0</v>
      </c>
      <c r="AX45" s="128">
        <f t="shared" si="27"/>
        <v>0</v>
      </c>
      <c r="AY45" s="128" t="e">
        <f t="shared" si="27"/>
        <v>#DIV/0!</v>
      </c>
      <c r="AZ45" s="128" t="e">
        <f t="shared" si="27"/>
        <v>#DIV/0!</v>
      </c>
      <c r="BA45" s="128" t="e">
        <f t="shared" si="27"/>
        <v>#DIV/0!</v>
      </c>
      <c r="BB45" s="128">
        <f t="shared" si="27"/>
        <v>0.69036458333333328</v>
      </c>
      <c r="BC45" s="128">
        <f t="shared" si="27"/>
        <v>0.69036458333333328</v>
      </c>
      <c r="BD45" s="128" t="e">
        <f t="shared" si="27"/>
        <v>#DIV/0!</v>
      </c>
      <c r="BE45" s="128">
        <f t="shared" si="27"/>
        <v>0.34058924774729171</v>
      </c>
      <c r="BF45" s="128">
        <f t="shared" si="27"/>
        <v>0.24335010783608915</v>
      </c>
      <c r="BG45" s="128">
        <f t="shared" si="27"/>
        <v>5.3009622804481406E-3</v>
      </c>
      <c r="BH45" s="128">
        <f t="shared" si="27"/>
        <v>2.6620801660474105E-2</v>
      </c>
      <c r="BI45" s="128" t="e">
        <f t="shared" si="27"/>
        <v>#DIV/0!</v>
      </c>
      <c r="BJ45" s="128">
        <f t="shared" si="27"/>
        <v>2.6620801660474105E-2</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205</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BH47-BI47</f>
        <v>8634180</v>
      </c>
    </row>
    <row r="48" spans="1:63" ht="15.75">
      <c r="A48" s="130" t="s">
        <v>32</v>
      </c>
      <c r="B48" s="5" t="s">
        <v>202</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SUM(C48:AB48)</f>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SUM(AD48:BF48)</f>
        <v>6902476.3599999994</v>
      </c>
      <c r="BH48" s="125">
        <f>AC48+BG48</f>
        <v>6913894.5199999996</v>
      </c>
      <c r="BI48" s="37">
        <v>302625.5</v>
      </c>
      <c r="BJ48" s="126">
        <f>BH48-BI48</f>
        <v>6611269.0199999996</v>
      </c>
    </row>
    <row r="49" spans="1:64" ht="15.75">
      <c r="A49" s="130"/>
      <c r="B49" s="5"/>
      <c r="C49" s="37">
        <f>C47-C48</f>
        <v>7094.880000000001</v>
      </c>
      <c r="D49" s="37">
        <f t="shared" ref="D49:AB49" si="28">D47-D48</f>
        <v>653.31999999999971</v>
      </c>
      <c r="E49" s="37">
        <f t="shared" si="28"/>
        <v>576</v>
      </c>
      <c r="F49" s="37">
        <f t="shared" si="28"/>
        <v>850.56</v>
      </c>
      <c r="G49" s="37">
        <f t="shared" si="28"/>
        <v>303.84000000000003</v>
      </c>
      <c r="H49" s="37">
        <f t="shared" si="28"/>
        <v>0</v>
      </c>
      <c r="I49" s="37">
        <f t="shared" si="28"/>
        <v>0</v>
      </c>
      <c r="J49" s="37">
        <f t="shared" si="28"/>
        <v>214.07999999999998</v>
      </c>
      <c r="K49" s="37">
        <f t="shared" si="28"/>
        <v>0</v>
      </c>
      <c r="L49" s="37">
        <f t="shared" si="28"/>
        <v>190.56</v>
      </c>
      <c r="M49" s="37">
        <f t="shared" si="28"/>
        <v>57.120000000000005</v>
      </c>
      <c r="N49" s="37">
        <f t="shared" si="28"/>
        <v>0</v>
      </c>
      <c r="O49" s="37">
        <f t="shared" si="28"/>
        <v>0</v>
      </c>
      <c r="P49" s="37">
        <f t="shared" si="28"/>
        <v>52.32</v>
      </c>
      <c r="Q49" s="37">
        <f t="shared" si="28"/>
        <v>0</v>
      </c>
      <c r="R49" s="37">
        <f t="shared" si="28"/>
        <v>20.16</v>
      </c>
      <c r="S49" s="37">
        <f t="shared" si="28"/>
        <v>0</v>
      </c>
      <c r="T49" s="37">
        <f t="shared" si="28"/>
        <v>0</v>
      </c>
      <c r="U49" s="37">
        <f t="shared" si="28"/>
        <v>0</v>
      </c>
      <c r="V49" s="37">
        <f t="shared" si="28"/>
        <v>0</v>
      </c>
      <c r="W49" s="37">
        <f t="shared" si="28"/>
        <v>0</v>
      </c>
      <c r="X49" s="37">
        <f t="shared" si="28"/>
        <v>0</v>
      </c>
      <c r="Y49" s="37">
        <f t="shared" si="28"/>
        <v>0</v>
      </c>
      <c r="Z49" s="37">
        <f t="shared" si="28"/>
        <v>0</v>
      </c>
      <c r="AA49" s="37">
        <f t="shared" si="28"/>
        <v>0</v>
      </c>
      <c r="AB49" s="37">
        <f t="shared" si="28"/>
        <v>0</v>
      </c>
      <c r="AC49" s="123">
        <f>SUM(C49:AB49)</f>
        <v>10012.84</v>
      </c>
      <c r="AD49" s="37">
        <f>AD47-AD48</f>
        <v>0</v>
      </c>
      <c r="AE49" s="37">
        <f t="shared" ref="AE49:BF49" si="29">AE47-AE48</f>
        <v>0</v>
      </c>
      <c r="AF49" s="37">
        <f t="shared" si="29"/>
        <v>0</v>
      </c>
      <c r="AG49" s="37">
        <f t="shared" si="29"/>
        <v>0</v>
      </c>
      <c r="AH49" s="37">
        <f t="shared" si="29"/>
        <v>0</v>
      </c>
      <c r="AI49" s="37">
        <f t="shared" si="29"/>
        <v>0</v>
      </c>
      <c r="AJ49" s="37">
        <f t="shared" si="29"/>
        <v>-102123.91999999998</v>
      </c>
      <c r="AK49" s="37">
        <f t="shared" si="29"/>
        <v>4849.92</v>
      </c>
      <c r="AL49" s="37">
        <f t="shared" si="29"/>
        <v>1584413.6399999997</v>
      </c>
      <c r="AM49" s="37">
        <f t="shared" si="29"/>
        <v>0</v>
      </c>
      <c r="AN49" s="37">
        <f t="shared" si="29"/>
        <v>0</v>
      </c>
      <c r="AO49" s="37">
        <f t="shared" si="29"/>
        <v>0</v>
      </c>
      <c r="AP49" s="37">
        <f t="shared" si="29"/>
        <v>0</v>
      </c>
      <c r="AQ49" s="37">
        <f t="shared" si="29"/>
        <v>436121.27999999997</v>
      </c>
      <c r="AR49" s="37">
        <f t="shared" si="29"/>
        <v>0</v>
      </c>
      <c r="AS49" s="37">
        <f t="shared" si="29"/>
        <v>0</v>
      </c>
      <c r="AT49" s="37">
        <f t="shared" si="29"/>
        <v>212908.47999999998</v>
      </c>
      <c r="AU49" s="37">
        <f t="shared" si="29"/>
        <v>0</v>
      </c>
      <c r="AV49" s="37">
        <f t="shared" si="29"/>
        <v>0</v>
      </c>
      <c r="AW49" s="37">
        <f t="shared" si="29"/>
        <v>0</v>
      </c>
      <c r="AX49" s="37">
        <f t="shared" si="29"/>
        <v>0</v>
      </c>
      <c r="AY49" s="37">
        <f t="shared" si="29"/>
        <v>69977.279999999999</v>
      </c>
      <c r="AZ49" s="37">
        <f t="shared" si="29"/>
        <v>68021.119999999879</v>
      </c>
      <c r="BA49" s="37">
        <f t="shared" si="29"/>
        <v>0</v>
      </c>
      <c r="BB49" s="37">
        <f t="shared" si="29"/>
        <v>0</v>
      </c>
      <c r="BC49" s="37">
        <f t="shared" si="29"/>
        <v>0</v>
      </c>
      <c r="BD49" s="37">
        <f t="shared" si="29"/>
        <v>0</v>
      </c>
      <c r="BE49" s="37">
        <f t="shared" si="29"/>
        <v>0</v>
      </c>
      <c r="BF49" s="37">
        <f t="shared" si="29"/>
        <v>41355.839999999997</v>
      </c>
      <c r="BG49" s="124">
        <f>SUM(AD49:BF49)</f>
        <v>2315523.6399999987</v>
      </c>
      <c r="BH49" s="125">
        <f>AC49+BG49</f>
        <v>2325536.4799999986</v>
      </c>
      <c r="BI49" s="38">
        <f>BI47-BI48</f>
        <v>302625.5</v>
      </c>
      <c r="BJ49" s="126">
        <f>BH49-BI49</f>
        <v>2022910.9799999986</v>
      </c>
    </row>
    <row r="50" spans="1:64" ht="15.75">
      <c r="A50" s="130"/>
      <c r="B50" s="12" t="s">
        <v>203</v>
      </c>
      <c r="C50" s="9">
        <f>IF('Upto Month Current'!$I$4="",0,'Upto Month Current'!$I$4)</f>
        <v>487</v>
      </c>
      <c r="D50" s="9">
        <f>IF('Upto Month Current'!$I$5="",0,'Upto Month Current'!$I$5)</f>
        <v>302</v>
      </c>
      <c r="E50" s="9">
        <f>IF('Upto Month Current'!$I$6="",0,'Upto Month Current'!$I$6)</f>
        <v>0</v>
      </c>
      <c r="F50" s="9">
        <f>IF('Upto Month Current'!$I$7="",0,'Upto Month Current'!$I$7)</f>
        <v>30</v>
      </c>
      <c r="G50" s="9">
        <f>IF('Upto Month Current'!$I$8="",0,'Upto Month Current'!$I$8)</f>
        <v>39</v>
      </c>
      <c r="H50" s="9">
        <f>IF('Upto Month Current'!$I$9="",0,'Upto Month Current'!$I$9)</f>
        <v>0</v>
      </c>
      <c r="I50" s="9">
        <f>IF('Upto Month Current'!$I$10="",0,'Upto Month Current'!$I$10)</f>
        <v>0</v>
      </c>
      <c r="J50" s="9">
        <f>IF('Upto Month Current'!$I$11="",0,'Upto Month Current'!$I$11)</f>
        <v>0</v>
      </c>
      <c r="K50" s="9">
        <f>IF('Upto Month Current'!$I$12="",0,'Upto Month Current'!$I$12)</f>
        <v>1</v>
      </c>
      <c r="L50" s="9">
        <f>IF('Upto Month Current'!$I$13="",0,'Upto Month Current'!$I$13)</f>
        <v>37</v>
      </c>
      <c r="M50" s="9">
        <f>IF('Upto Month Current'!$I$14="",0,'Upto Month Current'!$I$14)</f>
        <v>27</v>
      </c>
      <c r="N50" s="9">
        <f>IF('Upto Month Current'!$I$15="",0,'Upto Month Current'!$I$15)</f>
        <v>0</v>
      </c>
      <c r="O50" s="9">
        <f>IF('Upto Month Current'!$I$16="",0,'Upto Month Current'!$I$16)</f>
        <v>21</v>
      </c>
      <c r="P50" s="9">
        <f>IF('Upto Month Current'!$I$17="",0,'Upto Month Current'!$I$17)</f>
        <v>17</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3</v>
      </c>
      <c r="AB50" s="9">
        <f>IF('Upto Month Current'!$I$51="",0,'Upto Month Current'!$I$51)</f>
        <v>0</v>
      </c>
      <c r="AC50" s="123">
        <f>SUM(C50:AB50)</f>
        <v>964</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261</v>
      </c>
      <c r="AK50" s="9">
        <f>IF('Upto Month Current'!$I$29="",0,'Upto Month Current'!$I$29)</f>
        <v>0</v>
      </c>
      <c r="AL50" s="9">
        <f>IF('Upto Month Current'!$I$31="",0,'Upto Month Current'!$I$31)</f>
        <v>1086661</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2149</v>
      </c>
      <c r="AR50" s="9">
        <v>0</v>
      </c>
      <c r="AS50" s="9">
        <f>IF('Upto Month Current'!$I$38="",0,'Upto Month Current'!$I$38)</f>
        <v>0</v>
      </c>
      <c r="AT50" s="9">
        <f>IF('Upto Month Current'!$I$41="",0,'Upto Month Current'!$I$41)</f>
        <v>1523</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19663</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265</v>
      </c>
      <c r="BF50" s="9">
        <f>IF('Upto Month Current'!$I$58="",0,'Upto Month Current'!$I$58)</f>
        <v>229</v>
      </c>
      <c r="BG50" s="124">
        <f>SUM(AD50:BF50)</f>
        <v>1110751</v>
      </c>
      <c r="BH50" s="125">
        <f>AC50+BG50</f>
        <v>1111715</v>
      </c>
      <c r="BI50" s="9">
        <f>IF('Upto Month Current'!$I$60="",0,'Upto Month Current'!$I$60)-'Upto Month Current'!I57</f>
        <v>203309</v>
      </c>
      <c r="BJ50" s="126">
        <f>BH50-BI50</f>
        <v>908406</v>
      </c>
      <c r="BK50" s="101">
        <f>'Upto Month Current'!$I$61</f>
        <v>908404</v>
      </c>
    </row>
    <row r="51" spans="1:64" ht="15.75">
      <c r="A51" s="130"/>
      <c r="B51" s="5" t="s">
        <v>201</v>
      </c>
      <c r="C51" s="128">
        <f t="shared" ref="C51:AH51" si="30">C50/C47</f>
        <v>3.2947703132399704E-2</v>
      </c>
      <c r="D51" s="128">
        <f t="shared" si="30"/>
        <v>0.11815336463223787</v>
      </c>
      <c r="E51" s="128">
        <f t="shared" si="30"/>
        <v>0</v>
      </c>
      <c r="F51" s="128">
        <f t="shared" si="30"/>
        <v>1.6930022573363433E-2</v>
      </c>
      <c r="G51" s="128">
        <f t="shared" si="30"/>
        <v>6.1611374407582936E-2</v>
      </c>
      <c r="H51" s="128" t="e">
        <f t="shared" si="30"/>
        <v>#DIV/0!</v>
      </c>
      <c r="I51" s="128" t="e">
        <f t="shared" si="30"/>
        <v>#DIV/0!</v>
      </c>
      <c r="J51" s="128">
        <f t="shared" si="30"/>
        <v>0</v>
      </c>
      <c r="K51" s="128" t="e">
        <f t="shared" si="30"/>
        <v>#DIV/0!</v>
      </c>
      <c r="L51" s="128">
        <f t="shared" si="30"/>
        <v>9.3198992443324941E-2</v>
      </c>
      <c r="M51" s="128">
        <f t="shared" si="30"/>
        <v>0.22689075630252101</v>
      </c>
      <c r="N51" s="128" t="e">
        <f t="shared" si="30"/>
        <v>#DIV/0!</v>
      </c>
      <c r="O51" s="128" t="e">
        <f t="shared" si="30"/>
        <v>#DIV/0!</v>
      </c>
      <c r="P51" s="128">
        <f t="shared" si="30"/>
        <v>0.15596330275229359</v>
      </c>
      <c r="Q51" s="128" t="e">
        <f t="shared" si="30"/>
        <v>#DIV/0!</v>
      </c>
      <c r="R51" s="128">
        <f t="shared" si="30"/>
        <v>0</v>
      </c>
      <c r="S51" s="128" t="e">
        <f t="shared" si="30"/>
        <v>#DIV/0!</v>
      </c>
      <c r="T51" s="128" t="e">
        <f t="shared" si="30"/>
        <v>#DIV/0!</v>
      </c>
      <c r="U51" s="128" t="e">
        <f t="shared" si="30"/>
        <v>#DIV/0!</v>
      </c>
      <c r="V51" s="128" t="e">
        <f t="shared" si="30"/>
        <v>#DIV/0!</v>
      </c>
      <c r="W51" s="128" t="e">
        <f t="shared" si="30"/>
        <v>#DIV/0!</v>
      </c>
      <c r="X51" s="128" t="e">
        <f t="shared" si="30"/>
        <v>#DIV/0!</v>
      </c>
      <c r="Y51" s="128" t="e">
        <f t="shared" si="30"/>
        <v>#DIV/0!</v>
      </c>
      <c r="Z51" s="128" t="e">
        <f t="shared" si="30"/>
        <v>#DIV/0!</v>
      </c>
      <c r="AA51" s="128" t="e">
        <f t="shared" si="30"/>
        <v>#DIV/0!</v>
      </c>
      <c r="AB51" s="128" t="e">
        <f t="shared" si="30"/>
        <v>#DIV/0!</v>
      </c>
      <c r="AC51" s="128">
        <f t="shared" si="30"/>
        <v>4.4981568755541039E-2</v>
      </c>
      <c r="AD51" s="128" t="e">
        <f t="shared" si="30"/>
        <v>#DIV/0!</v>
      </c>
      <c r="AE51" s="128" t="e">
        <f t="shared" si="30"/>
        <v>#DIV/0!</v>
      </c>
      <c r="AF51" s="128" t="e">
        <f t="shared" si="30"/>
        <v>#DIV/0!</v>
      </c>
      <c r="AG51" s="128" t="e">
        <f t="shared" si="30"/>
        <v>#DIV/0!</v>
      </c>
      <c r="AH51" s="128" t="e">
        <f t="shared" si="30"/>
        <v>#DIV/0!</v>
      </c>
      <c r="AI51" s="128" t="e">
        <f t="shared" ref="AI51:BJ51" si="31">AI50/AI47</f>
        <v>#DIV/0!</v>
      </c>
      <c r="AJ51" s="128">
        <f t="shared" si="31"/>
        <v>1.3476114748342592E-3</v>
      </c>
      <c r="AK51" s="128">
        <f t="shared" si="31"/>
        <v>0</v>
      </c>
      <c r="AL51" s="128">
        <f t="shared" si="31"/>
        <v>0.17209796965569668</v>
      </c>
      <c r="AM51" s="128" t="e">
        <f t="shared" si="31"/>
        <v>#DIV/0!</v>
      </c>
      <c r="AN51" s="128" t="e">
        <f t="shared" si="31"/>
        <v>#DIV/0!</v>
      </c>
      <c r="AO51" s="128" t="e">
        <f t="shared" si="31"/>
        <v>#DIV/0!</v>
      </c>
      <c r="AP51" s="128" t="e">
        <f t="shared" si="31"/>
        <v>#DIV/0!</v>
      </c>
      <c r="AQ51" s="128">
        <f t="shared" si="31"/>
        <v>2.3652136396554646E-3</v>
      </c>
      <c r="AR51" s="128" t="e">
        <f t="shared" si="31"/>
        <v>#DIV/0!</v>
      </c>
      <c r="AS51" s="128" t="e">
        <f t="shared" si="31"/>
        <v>#DIV/0!</v>
      </c>
      <c r="AT51" s="128">
        <f t="shared" si="31"/>
        <v>2.6640032464806469E-3</v>
      </c>
      <c r="AU51" s="128" t="e">
        <f t="shared" si="31"/>
        <v>#DIV/0!</v>
      </c>
      <c r="AV51" s="128" t="e">
        <f t="shared" si="31"/>
        <v>#DIV/0!</v>
      </c>
      <c r="AW51" s="128" t="e">
        <f t="shared" si="31"/>
        <v>#DIV/0!</v>
      </c>
      <c r="AX51" s="128" t="e">
        <f t="shared" si="31"/>
        <v>#DIV/0!</v>
      </c>
      <c r="AY51" s="128">
        <f t="shared" si="31"/>
        <v>0</v>
      </c>
      <c r="AZ51" s="128">
        <f t="shared" si="31"/>
        <v>1.9905972297867773E-2</v>
      </c>
      <c r="BA51" s="128" t="e">
        <f t="shared" si="31"/>
        <v>#DIV/0!</v>
      </c>
      <c r="BB51" s="128" t="e">
        <f t="shared" si="31"/>
        <v>#DIV/0!</v>
      </c>
      <c r="BC51" s="128" t="e">
        <f t="shared" si="31"/>
        <v>#DIV/0!</v>
      </c>
      <c r="BD51" s="128" t="e">
        <f t="shared" si="31"/>
        <v>#DIV/0!</v>
      </c>
      <c r="BE51" s="128" t="e">
        <f t="shared" si="31"/>
        <v>#DIV/0!</v>
      </c>
      <c r="BF51" s="128">
        <f t="shared" si="31"/>
        <v>2.6579075651709649E-3</v>
      </c>
      <c r="BG51" s="128">
        <f t="shared" si="31"/>
        <v>0.12049804729876329</v>
      </c>
      <c r="BH51" s="128">
        <f t="shared" si="31"/>
        <v>0.12032288568419419</v>
      </c>
      <c r="BI51" s="128">
        <f t="shared" si="31"/>
        <v>0.33590857346786707</v>
      </c>
      <c r="BJ51" s="128">
        <f t="shared" si="31"/>
        <v>0.10521045426433083</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134</v>
      </c>
      <c r="B53" s="11" t="s">
        <v>205</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BH53-BI53</f>
        <v>3729163</v>
      </c>
    </row>
    <row r="54" spans="1:64" ht="15.75">
      <c r="A54" s="130" t="s">
        <v>134</v>
      </c>
      <c r="B54" s="5" t="s">
        <v>202</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SUM(C54:AB54)</f>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SUM(AD54:BF54)</f>
        <v>358776.60000000003</v>
      </c>
      <c r="BH54" s="125">
        <f>AC54+BG54</f>
        <v>1964548.04</v>
      </c>
      <c r="BI54" s="11">
        <v>50.000000000000007</v>
      </c>
      <c r="BJ54" s="126">
        <f>BH54-BI54</f>
        <v>1964498.04</v>
      </c>
    </row>
    <row r="55" spans="1:64" ht="15.75">
      <c r="A55" s="130"/>
      <c r="B55" s="5"/>
      <c r="C55" s="37">
        <f>C53-C54</f>
        <v>424031.52</v>
      </c>
      <c r="D55" s="37">
        <f t="shared" ref="D55:AB55" si="32">D53-D54</f>
        <v>29224.040000000008</v>
      </c>
      <c r="E55" s="37">
        <f t="shared" si="32"/>
        <v>38046</v>
      </c>
      <c r="F55" s="37">
        <f t="shared" si="32"/>
        <v>33180</v>
      </c>
      <c r="G55" s="37">
        <f t="shared" si="32"/>
        <v>30466.559999999998</v>
      </c>
      <c r="H55" s="37">
        <f t="shared" si="32"/>
        <v>0</v>
      </c>
      <c r="I55" s="37">
        <f t="shared" si="32"/>
        <v>0</v>
      </c>
      <c r="J55" s="37">
        <f t="shared" si="32"/>
        <v>0</v>
      </c>
      <c r="K55" s="37">
        <f t="shared" si="32"/>
        <v>67.199999999999989</v>
      </c>
      <c r="L55" s="37">
        <f t="shared" si="32"/>
        <v>708</v>
      </c>
      <c r="M55" s="37">
        <f t="shared" si="32"/>
        <v>30152.159999999996</v>
      </c>
      <c r="N55" s="37">
        <f t="shared" si="32"/>
        <v>2766.7200000000003</v>
      </c>
      <c r="O55" s="37">
        <f t="shared" si="32"/>
        <v>985.44</v>
      </c>
      <c r="P55" s="37">
        <f t="shared" si="32"/>
        <v>2364.5599999999995</v>
      </c>
      <c r="Q55" s="37">
        <f t="shared" si="32"/>
        <v>0</v>
      </c>
      <c r="R55" s="37">
        <f t="shared" si="32"/>
        <v>-700</v>
      </c>
      <c r="S55" s="37">
        <f t="shared" si="32"/>
        <v>366088.80000000005</v>
      </c>
      <c r="T55" s="37">
        <f t="shared" si="32"/>
        <v>481702.55999999994</v>
      </c>
      <c r="U55" s="37">
        <f t="shared" si="32"/>
        <v>0</v>
      </c>
      <c r="V55" s="37">
        <f t="shared" si="32"/>
        <v>0</v>
      </c>
      <c r="W55" s="37">
        <f t="shared" si="32"/>
        <v>0</v>
      </c>
      <c r="X55" s="37">
        <f t="shared" si="32"/>
        <v>0</v>
      </c>
      <c r="Y55" s="37">
        <f t="shared" si="32"/>
        <v>99.84</v>
      </c>
      <c r="Z55" s="37">
        <f t="shared" si="32"/>
        <v>6.7199999999999989</v>
      </c>
      <c r="AA55" s="37">
        <f t="shared" si="32"/>
        <v>109.43999999999997</v>
      </c>
      <c r="AB55" s="37">
        <f t="shared" si="32"/>
        <v>0</v>
      </c>
      <c r="AC55" s="123">
        <f>SUM(C55:AB55)</f>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SUM(AD55:BF55)</f>
        <v>-2201.88</v>
      </c>
      <c r="BH55" s="125">
        <f>AC55+BG55</f>
        <v>1437097.6800000002</v>
      </c>
      <c r="BI55" s="38">
        <f>BI53-BI54</f>
        <v>49.999999999999993</v>
      </c>
      <c r="BJ55" s="126">
        <f>BH55-BI55</f>
        <v>1437047.6800000002</v>
      </c>
    </row>
    <row r="56" spans="1:64" ht="15.75">
      <c r="A56" s="130"/>
      <c r="B56" s="12" t="s">
        <v>203</v>
      </c>
      <c r="C56" s="9">
        <f>IF('Upto Month Current'!$J$4="",0,'Upto Month Current'!$J$4)</f>
        <v>29263</v>
      </c>
      <c r="D56" s="9">
        <f>IF('Upto Month Current'!$J$5="",0,'Upto Month Current'!$J$5)</f>
        <v>18420</v>
      </c>
      <c r="E56" s="9">
        <f>IF('Upto Month Current'!$J$6="",0,'Upto Month Current'!$J$6)</f>
        <v>0</v>
      </c>
      <c r="F56" s="9">
        <f>IF('Upto Month Current'!$J$7="",0,'Upto Month Current'!$J$7)</f>
        <v>2588</v>
      </c>
      <c r="G56" s="9">
        <f>IF('Upto Month Current'!$J$8="",0,'Upto Month Current'!$J$8)</f>
        <v>2724</v>
      </c>
      <c r="H56" s="9">
        <f>IF('Upto Month Current'!$J$9="",0,'Upto Month Current'!$J$9)</f>
        <v>0</v>
      </c>
      <c r="I56" s="9">
        <f>IF('Upto Month Current'!$J$10="",0,'Upto Month Current'!$J$10)</f>
        <v>0</v>
      </c>
      <c r="J56" s="9">
        <f>IF('Upto Month Current'!$J$11="",0,'Upto Month Current'!$J$11)</f>
        <v>0</v>
      </c>
      <c r="K56" s="9">
        <f>IF('Upto Month Current'!$J$12="",0,'Upto Month Current'!$J$12)</f>
        <v>196</v>
      </c>
      <c r="L56" s="9">
        <f>IF('Upto Month Current'!$J$13="",0,'Upto Month Current'!$J$13)</f>
        <v>0</v>
      </c>
      <c r="M56" s="9">
        <f>IF('Upto Month Current'!$J$14="",0,'Upto Month Current'!$J$14)</f>
        <v>3056</v>
      </c>
      <c r="N56" s="9">
        <f>IF('Upto Month Current'!$J$15="",0,'Upto Month Current'!$J$15)</f>
        <v>0</v>
      </c>
      <c r="O56" s="9">
        <f>IF('Upto Month Current'!$J$16="",0,'Upto Month Current'!$J$16)</f>
        <v>138</v>
      </c>
      <c r="P56" s="9">
        <f>IF('Upto Month Current'!$J$17="",0,'Upto Month Current'!$J$17)</f>
        <v>621</v>
      </c>
      <c r="Q56" s="9">
        <f>IF('Upto Month Current'!$J$18="",0,'Upto Month Current'!$J$18)</f>
        <v>0</v>
      </c>
      <c r="R56" s="9">
        <f>IF('Upto Month Current'!$J$21="",0,'Upto Month Current'!$J$21)</f>
        <v>190</v>
      </c>
      <c r="S56" s="9">
        <f>IF('Upto Month Current'!$J$26="",0,'Upto Month Current'!$J$26)</f>
        <v>14462</v>
      </c>
      <c r="T56" s="9">
        <f>IF('Upto Month Current'!$J$27="",0,'Upto Month Current'!$J$27)</f>
        <v>231825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43</v>
      </c>
      <c r="Z56" s="9">
        <f>IF('Upto Month Current'!$J$43="",0,'Upto Month Current'!$J$43)</f>
        <v>20</v>
      </c>
      <c r="AA56" s="9">
        <f>IF('Upto Month Current'!$J$44="",0,'Upto Month Current'!$J$44)</f>
        <v>0</v>
      </c>
      <c r="AB56" s="9">
        <f>IF('Upto Month Current'!$J$51="",0,'Upto Month Current'!$J$51)</f>
        <v>0</v>
      </c>
      <c r="AC56" s="123">
        <f>SUM(C56:AB56)</f>
        <v>303546</v>
      </c>
      <c r="AD56" s="9">
        <f>IF('Upto Month Current'!$J$19="",0,'Upto Month Current'!$J$19)</f>
        <v>0</v>
      </c>
      <c r="AE56" s="9">
        <f>IF('Upto Month Current'!$J$20="",0,'Upto Month Current'!$J$20)</f>
        <v>5</v>
      </c>
      <c r="AF56" s="9">
        <f>IF('Upto Month Current'!$J$22="",0,'Upto Month Current'!$J$22)</f>
        <v>479</v>
      </c>
      <c r="AG56" s="9">
        <f>IF('Upto Month Current'!$J$23="",0,'Upto Month Current'!$J$23)</f>
        <v>0</v>
      </c>
      <c r="AH56" s="9">
        <f>IF('Upto Month Current'!$J$24="",0,'Upto Month Current'!$J$24)</f>
        <v>0</v>
      </c>
      <c r="AI56" s="9">
        <f>IF('Upto Month Current'!$J$25="",0,'Upto Month Current'!$J$25)</f>
        <v>0</v>
      </c>
      <c r="AJ56" s="9">
        <f>IF('Upto Month Current'!$J$28="",0,'Upto Month Current'!$J$28)</f>
        <v>2</v>
      </c>
      <c r="AK56" s="9">
        <f>IF('Upto Month Current'!$J$29="",0,'Upto Month Current'!$J$29)</f>
        <v>13200</v>
      </c>
      <c r="AL56" s="9">
        <f>IF('Upto Month Current'!$J$31="",0,'Upto Month Current'!$J$31)</f>
        <v>1801</v>
      </c>
      <c r="AM56" s="9">
        <f>IF('Upto Month Current'!$J$32="",0,'Upto Month Current'!$J$32)</f>
        <v>0</v>
      </c>
      <c r="AN56" s="9">
        <f>IF('Upto Month Current'!$J$33="",0,'Upto Month Current'!$J$33)</f>
        <v>64365</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4898</v>
      </c>
      <c r="BC56" s="9">
        <f>IF('Upto Month Current'!$J$54="",0,'Upto Month Current'!$J$54)</f>
        <v>4898</v>
      </c>
      <c r="BD56" s="9">
        <f>IF('Upto Month Current'!$J$55="",0,'Upto Month Current'!$J$55)</f>
        <v>0</v>
      </c>
      <c r="BE56" s="9">
        <f>IF('Upto Month Current'!$J$56="",0,'Upto Month Current'!$J$56)</f>
        <v>479</v>
      </c>
      <c r="BF56" s="9">
        <f>IF('Upto Month Current'!$J$58="",0,'Upto Month Current'!$J$58)</f>
        <v>-2671</v>
      </c>
      <c r="BG56" s="124">
        <f>SUM(AD56:BF56)</f>
        <v>87456</v>
      </c>
      <c r="BH56" s="125">
        <f>AC56+BG56</f>
        <v>391002</v>
      </c>
      <c r="BI56" s="9">
        <f>IF('Upto Month Current'!$J$60="",0,'Upto Month Current'!$J$60)</f>
        <v>0</v>
      </c>
      <c r="BJ56" s="126">
        <f>BH56-BI56</f>
        <v>391002</v>
      </c>
      <c r="BK56">
        <f>'Upto Month Current'!$J$61</f>
        <v>391001</v>
      </c>
      <c r="BL56" s="30"/>
    </row>
    <row r="57" spans="1:64" ht="15.75">
      <c r="A57" s="130"/>
      <c r="B57" s="5" t="s">
        <v>201</v>
      </c>
      <c r="C57" s="128">
        <f t="shared" ref="C57:AH57" si="33">C56/C53</f>
        <v>3.3125461993957432E-2</v>
      </c>
      <c r="D57" s="128">
        <f t="shared" si="33"/>
        <v>0.12887066758084151</v>
      </c>
      <c r="E57" s="128">
        <f t="shared" si="33"/>
        <v>0</v>
      </c>
      <c r="F57" s="128">
        <f t="shared" si="33"/>
        <v>3.7439421338155518E-2</v>
      </c>
      <c r="G57" s="128">
        <f t="shared" si="33"/>
        <v>4.291656163347618E-2</v>
      </c>
      <c r="H57" s="128" t="e">
        <f t="shared" si="33"/>
        <v>#DIV/0!</v>
      </c>
      <c r="I57" s="128" t="e">
        <f t="shared" si="33"/>
        <v>#DIV/0!</v>
      </c>
      <c r="J57" s="128" t="e">
        <f t="shared" si="33"/>
        <v>#DIV/0!</v>
      </c>
      <c r="K57" s="128">
        <f t="shared" si="33"/>
        <v>1.4</v>
      </c>
      <c r="L57" s="128">
        <f t="shared" si="33"/>
        <v>0</v>
      </c>
      <c r="M57" s="128">
        <f t="shared" si="33"/>
        <v>4.8649250998933413E-2</v>
      </c>
      <c r="N57" s="128">
        <f t="shared" si="33"/>
        <v>0</v>
      </c>
      <c r="O57" s="128">
        <f t="shared" si="33"/>
        <v>6.7218704335119339E-2</v>
      </c>
      <c r="P57" s="128">
        <f t="shared" si="33"/>
        <v>7.5851960425064133E-2</v>
      </c>
      <c r="Q57" s="128" t="e">
        <f t="shared" si="33"/>
        <v>#DIV/0!</v>
      </c>
      <c r="R57" s="128">
        <f t="shared" si="33"/>
        <v>0.19447287615148415</v>
      </c>
      <c r="S57" s="128">
        <f t="shared" si="33"/>
        <v>1.896195677114405E-2</v>
      </c>
      <c r="T57" s="128">
        <f t="shared" si="33"/>
        <v>0.23100562305502384</v>
      </c>
      <c r="U57" s="128" t="e">
        <f t="shared" si="33"/>
        <v>#DIV/0!</v>
      </c>
      <c r="V57" s="128" t="e">
        <f t="shared" si="33"/>
        <v>#DIV/0!</v>
      </c>
      <c r="W57" s="128" t="e">
        <f t="shared" si="33"/>
        <v>#DIV/0!</v>
      </c>
      <c r="X57" s="128" t="e">
        <f t="shared" si="33"/>
        <v>#DIV/0!</v>
      </c>
      <c r="Y57" s="128">
        <f t="shared" si="33"/>
        <v>0.20673076923076922</v>
      </c>
      <c r="Z57" s="128">
        <f t="shared" si="33"/>
        <v>1.4285714285714286</v>
      </c>
      <c r="AA57" s="128">
        <f t="shared" si="33"/>
        <v>0</v>
      </c>
      <c r="AB57" s="128" t="e">
        <f t="shared" si="33"/>
        <v>#DIV/0!</v>
      </c>
      <c r="AC57" s="128">
        <f t="shared" si="33"/>
        <v>9.9684375175488518E-2</v>
      </c>
      <c r="AD57" s="128">
        <f t="shared" si="33"/>
        <v>0</v>
      </c>
      <c r="AE57" s="128">
        <f t="shared" si="33"/>
        <v>5.1020408163265307E-2</v>
      </c>
      <c r="AF57" s="128">
        <f t="shared" si="33"/>
        <v>0.39006514657980457</v>
      </c>
      <c r="AG57" s="128" t="e">
        <f t="shared" si="33"/>
        <v>#DIV/0!</v>
      </c>
      <c r="AH57" s="128" t="e">
        <f t="shared" si="33"/>
        <v>#DIV/0!</v>
      </c>
      <c r="AI57" s="128">
        <f t="shared" ref="AI57:BJ57" si="34">AI56/AI53</f>
        <v>0</v>
      </c>
      <c r="AJ57" s="128">
        <f t="shared" si="34"/>
        <v>3.5861574323112785E-4</v>
      </c>
      <c r="AK57" s="128">
        <f t="shared" si="34"/>
        <v>5.9371204965591687E-2</v>
      </c>
      <c r="AL57" s="128">
        <f t="shared" si="34"/>
        <v>9.6490241145238981E-3</v>
      </c>
      <c r="AM57" s="128" t="e">
        <f t="shared" si="34"/>
        <v>#DIV/0!</v>
      </c>
      <c r="AN57" s="128">
        <f t="shared" si="34"/>
        <v>0.1985948867948979</v>
      </c>
      <c r="AO57" s="128" t="e">
        <f t="shared" si="34"/>
        <v>#DIV/0!</v>
      </c>
      <c r="AP57" s="128" t="e">
        <f t="shared" si="34"/>
        <v>#DIV/0!</v>
      </c>
      <c r="AQ57" s="128" t="e">
        <f t="shared" si="34"/>
        <v>#DIV/0!</v>
      </c>
      <c r="AR57" s="128" t="e">
        <f t="shared" si="34"/>
        <v>#DIV/0!</v>
      </c>
      <c r="AS57" s="128" t="e">
        <f t="shared" si="34"/>
        <v>#DIV/0!</v>
      </c>
      <c r="AT57" s="128" t="e">
        <f t="shared" si="34"/>
        <v>#DIV/0!</v>
      </c>
      <c r="AU57" s="128" t="e">
        <f t="shared" si="34"/>
        <v>#DIV/0!</v>
      </c>
      <c r="AV57" s="128">
        <f t="shared" si="34"/>
        <v>0</v>
      </c>
      <c r="AW57" s="128">
        <f t="shared" si="34"/>
        <v>0</v>
      </c>
      <c r="AX57" s="128">
        <f t="shared" si="34"/>
        <v>0</v>
      </c>
      <c r="AY57" s="128" t="e">
        <f t="shared" si="34"/>
        <v>#DIV/0!</v>
      </c>
      <c r="AZ57" s="128" t="e">
        <f t="shared" si="34"/>
        <v>#DIV/0!</v>
      </c>
      <c r="BA57" s="128" t="e">
        <f t="shared" si="34"/>
        <v>#DIV/0!</v>
      </c>
      <c r="BB57" s="128">
        <f t="shared" si="34"/>
        <v>0.23048327137546468</v>
      </c>
      <c r="BC57" s="128">
        <f t="shared" si="34"/>
        <v>0.23048327137546468</v>
      </c>
      <c r="BD57" s="128">
        <f t="shared" si="34"/>
        <v>0</v>
      </c>
      <c r="BE57" s="128">
        <f t="shared" si="34"/>
        <v>0.25465178096757046</v>
      </c>
      <c r="BF57" s="128">
        <f t="shared" si="34"/>
        <v>2.5897843623952838E-2</v>
      </c>
      <c r="BG57" s="128">
        <f t="shared" si="34"/>
        <v>0.12782376876666199</v>
      </c>
      <c r="BH57" s="128">
        <f t="shared" si="34"/>
        <v>0.10484698987440683</v>
      </c>
      <c r="BI57" s="128">
        <f t="shared" si="34"/>
        <v>0</v>
      </c>
      <c r="BJ57" s="128">
        <f t="shared" si="34"/>
        <v>0.10484980141656453</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205</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BH59-BI59</f>
        <v>3146115</v>
      </c>
    </row>
    <row r="60" spans="1:64" ht="15.75">
      <c r="A60" s="130">
        <v>12</v>
      </c>
      <c r="B60" s="5" t="s">
        <v>202</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SUM(C60:AB60)</f>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SUM(AD60:BF60)</f>
        <v>722169.4</v>
      </c>
      <c r="BH60" s="125">
        <f>AC60+BG60</f>
        <v>1834547.6799999997</v>
      </c>
      <c r="BI60" s="37">
        <v>95538</v>
      </c>
      <c r="BJ60" s="126">
        <f>BH60-BI60</f>
        <v>1739009.6799999997</v>
      </c>
    </row>
    <row r="61" spans="1:64" ht="15.75">
      <c r="A61" s="130"/>
      <c r="B61" s="5"/>
      <c r="C61" s="37">
        <f>C59-C60</f>
        <v>632862.71999999997</v>
      </c>
      <c r="D61" s="37">
        <f t="shared" ref="D61:AB61" si="35">D59-D60</f>
        <v>85218</v>
      </c>
      <c r="E61" s="37">
        <f t="shared" si="35"/>
        <v>25165</v>
      </c>
      <c r="F61" s="37">
        <f t="shared" si="35"/>
        <v>62033.759999999995</v>
      </c>
      <c r="G61" s="37">
        <f t="shared" si="35"/>
        <v>41431.200000000004</v>
      </c>
      <c r="H61" s="37">
        <f t="shared" si="35"/>
        <v>0</v>
      </c>
      <c r="I61" s="37">
        <f t="shared" si="35"/>
        <v>0</v>
      </c>
      <c r="J61" s="37">
        <f t="shared" si="35"/>
        <v>12025.92</v>
      </c>
      <c r="K61" s="37">
        <f t="shared" si="35"/>
        <v>47.519999999999996</v>
      </c>
      <c r="L61" s="37">
        <f t="shared" si="35"/>
        <v>593.28</v>
      </c>
      <c r="M61" s="37">
        <f t="shared" si="35"/>
        <v>55023.360000000001</v>
      </c>
      <c r="N61" s="37">
        <f t="shared" si="35"/>
        <v>348</v>
      </c>
      <c r="O61" s="37">
        <f t="shared" si="35"/>
        <v>9699.84</v>
      </c>
      <c r="P61" s="37">
        <f t="shared" si="35"/>
        <v>50935.199999999997</v>
      </c>
      <c r="Q61" s="37">
        <f t="shared" si="35"/>
        <v>0</v>
      </c>
      <c r="R61" s="37">
        <f t="shared" si="35"/>
        <v>-1041.8400000000001</v>
      </c>
      <c r="S61" s="37">
        <f t="shared" si="35"/>
        <v>0</v>
      </c>
      <c r="T61" s="37">
        <f t="shared" si="35"/>
        <v>0</v>
      </c>
      <c r="U61" s="37">
        <f t="shared" si="35"/>
        <v>0</v>
      </c>
      <c r="V61" s="37">
        <f t="shared" si="35"/>
        <v>0</v>
      </c>
      <c r="W61" s="37">
        <f t="shared" si="35"/>
        <v>0</v>
      </c>
      <c r="X61" s="37">
        <f t="shared" si="35"/>
        <v>0</v>
      </c>
      <c r="Y61" s="37">
        <f t="shared" si="35"/>
        <v>885.12</v>
      </c>
      <c r="Z61" s="37">
        <f t="shared" si="35"/>
        <v>335.03999999999996</v>
      </c>
      <c r="AA61" s="37">
        <f t="shared" si="35"/>
        <v>213.60000000000002</v>
      </c>
      <c r="AB61" s="37">
        <f t="shared" si="35"/>
        <v>0</v>
      </c>
      <c r="AC61" s="123">
        <f>SUM(C61:AB61)</f>
        <v>975775.72</v>
      </c>
      <c r="AD61" s="37">
        <f>AD59-AD60</f>
        <v>5825.76</v>
      </c>
      <c r="AE61" s="37">
        <f t="shared" ref="AE61:BF61" si="36">AE59-AE60</f>
        <v>36</v>
      </c>
      <c r="AF61" s="37">
        <f t="shared" si="36"/>
        <v>187.20000000000002</v>
      </c>
      <c r="AG61" s="37">
        <f t="shared" si="36"/>
        <v>0</v>
      </c>
      <c r="AH61" s="37">
        <f t="shared" si="36"/>
        <v>0</v>
      </c>
      <c r="AI61" s="37">
        <f t="shared" si="36"/>
        <v>1.44</v>
      </c>
      <c r="AJ61" s="37">
        <f t="shared" si="36"/>
        <v>-746.27999999999975</v>
      </c>
      <c r="AK61" s="37">
        <f t="shared" si="36"/>
        <v>4897.4400000000005</v>
      </c>
      <c r="AL61" s="37">
        <f t="shared" si="36"/>
        <v>111.84</v>
      </c>
      <c r="AM61" s="37">
        <f t="shared" si="36"/>
        <v>2.4</v>
      </c>
      <c r="AN61" s="37">
        <f t="shared" si="36"/>
        <v>45422.87999999999</v>
      </c>
      <c r="AO61" s="37">
        <f t="shared" si="36"/>
        <v>93595.68</v>
      </c>
      <c r="AP61" s="37">
        <f t="shared" si="36"/>
        <v>0</v>
      </c>
      <c r="AQ61" s="37">
        <f t="shared" si="36"/>
        <v>0</v>
      </c>
      <c r="AR61" s="37">
        <f t="shared" si="36"/>
        <v>0</v>
      </c>
      <c r="AS61" s="37">
        <f t="shared" si="36"/>
        <v>0</v>
      </c>
      <c r="AT61" s="37">
        <f t="shared" si="36"/>
        <v>0</v>
      </c>
      <c r="AU61" s="37">
        <f t="shared" si="36"/>
        <v>0</v>
      </c>
      <c r="AV61" s="37">
        <f t="shared" si="36"/>
        <v>770.87999999999988</v>
      </c>
      <c r="AW61" s="37">
        <f t="shared" si="36"/>
        <v>477.12</v>
      </c>
      <c r="AX61" s="37">
        <f t="shared" si="36"/>
        <v>15.84</v>
      </c>
      <c r="AY61" s="37">
        <f t="shared" si="36"/>
        <v>0</v>
      </c>
      <c r="AZ61" s="37">
        <f t="shared" si="36"/>
        <v>0</v>
      </c>
      <c r="BA61" s="37">
        <f t="shared" si="36"/>
        <v>0</v>
      </c>
      <c r="BB61" s="37">
        <f t="shared" si="36"/>
        <v>1643.0399999999995</v>
      </c>
      <c r="BC61" s="37">
        <f t="shared" si="36"/>
        <v>1643.0399999999995</v>
      </c>
      <c r="BD61" s="37">
        <f t="shared" si="36"/>
        <v>29.28</v>
      </c>
      <c r="BE61" s="37">
        <f t="shared" si="36"/>
        <v>26.4</v>
      </c>
      <c r="BF61" s="37">
        <f t="shared" si="36"/>
        <v>372927.64</v>
      </c>
      <c r="BG61" s="124">
        <f>SUM(AD61:BF61)</f>
        <v>526867.6</v>
      </c>
      <c r="BH61" s="125">
        <f>AC61+BG61</f>
        <v>1502643.3199999998</v>
      </c>
      <c r="BI61" s="38">
        <f>BI59-BI60</f>
        <v>95538</v>
      </c>
      <c r="BJ61" s="126">
        <f>BH61-BI61</f>
        <v>1407105.3199999998</v>
      </c>
    </row>
    <row r="62" spans="1:64" ht="15.75">
      <c r="A62" s="130"/>
      <c r="B62" s="12" t="s">
        <v>203</v>
      </c>
      <c r="C62" s="9">
        <f>IF('Upto Month Current'!$K$4="",0,'Upto Month Current'!$K$4)</f>
        <v>68271</v>
      </c>
      <c r="D62" s="9">
        <f>IF('Upto Month Current'!$K$5="",0,'Upto Month Current'!$K$5)</f>
        <v>40427</v>
      </c>
      <c r="E62" s="9">
        <f>IF('Upto Month Current'!$K$6="",0,'Upto Month Current'!$K$6)</f>
        <v>0</v>
      </c>
      <c r="F62" s="9">
        <f>IF('Upto Month Current'!$K$7="",0,'Upto Month Current'!$K$7)</f>
        <v>7441</v>
      </c>
      <c r="G62" s="9">
        <f>IF('Upto Month Current'!$K$8="",0,'Upto Month Current'!$K$8)</f>
        <v>5505</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6</v>
      </c>
      <c r="M62" s="9">
        <f>IF('Upto Month Current'!$K$14="",0,'Upto Month Current'!$K$14)</f>
        <v>5130</v>
      </c>
      <c r="N62" s="9">
        <f>IF('Upto Month Current'!$K$15="",0,'Upto Month Current'!$K$15)</f>
        <v>16</v>
      </c>
      <c r="O62" s="9">
        <f>IF('Upto Month Current'!$K$16="",0,'Upto Month Current'!$K$16)</f>
        <v>618</v>
      </c>
      <c r="P62" s="9">
        <f>IF('Upto Month Current'!$K$17="",0,'Upto Month Current'!$K$17)</f>
        <v>7098</v>
      </c>
      <c r="Q62" s="9">
        <f>IF('Upto Month Current'!$K$18="",0,'Upto Month Current'!$K$18)</f>
        <v>0</v>
      </c>
      <c r="R62" s="9">
        <f>IF('Upto Month Current'!$K$21="",0,'Upto Month Current'!$K$21)</f>
        <v>155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417</v>
      </c>
      <c r="Z62" s="9">
        <f>IF('Upto Month Current'!$K$43="",0,'Upto Month Current'!$K$43)</f>
        <v>131</v>
      </c>
      <c r="AA62" s="9">
        <f>IF('Upto Month Current'!$K$44="",0,'Upto Month Current'!$K$44)</f>
        <v>67</v>
      </c>
      <c r="AB62" s="9">
        <f>IF('Upto Month Current'!$K$51="",0,'Upto Month Current'!$K$51)</f>
        <v>0</v>
      </c>
      <c r="AC62" s="123">
        <f>SUM(C62:AB62)</f>
        <v>135282</v>
      </c>
      <c r="AD62" s="9">
        <f>IF('Upto Month Current'!$K$19="",0,'Upto Month Current'!$K$19)</f>
        <v>11</v>
      </c>
      <c r="AE62" s="9">
        <f>IF('Upto Month Current'!$K$20="",0,'Upto Month Current'!$K$20)</f>
        <v>50</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-40</v>
      </c>
      <c r="AK62" s="9">
        <f>IF('Upto Month Current'!$K$29="",0,'Upto Month Current'!$K$29)</f>
        <v>1905</v>
      </c>
      <c r="AL62" s="9">
        <f>IF('Upto Month Current'!$K$31="",0,'Upto Month Current'!$K$31)</f>
        <v>0</v>
      </c>
      <c r="AM62" s="9">
        <f>IF('Upto Month Current'!$K$32="",0,'Upto Month Current'!$K$32)</f>
        <v>0</v>
      </c>
      <c r="AN62" s="9">
        <f>IF('Upto Month Current'!$K$33="",0,'Upto Month Current'!$K$33)</f>
        <v>7614</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118</v>
      </c>
      <c r="BC62" s="9">
        <f>IF('Upto Month Current'!$K$54="",0,'Upto Month Current'!$K$54)</f>
        <v>118</v>
      </c>
      <c r="BD62" s="9">
        <f>IF('Upto Month Current'!$K$55="",0,'Upto Month Current'!$K$55)</f>
        <v>0</v>
      </c>
      <c r="BE62" s="9">
        <f>IF('Upto Month Current'!$K$56="",0,'Upto Month Current'!$K$56)</f>
        <v>15</v>
      </c>
      <c r="BF62" s="9">
        <f>IF('Upto Month Current'!$K$58="",0,'Upto Month Current'!$K$58)</f>
        <v>4258</v>
      </c>
      <c r="BG62" s="124">
        <f>SUM(AD62:BF62)</f>
        <v>14049</v>
      </c>
      <c r="BH62" s="125">
        <f>AC62+BG62</f>
        <v>149331</v>
      </c>
      <c r="BI62" s="9">
        <f>IF('Upto Month Current'!$K$60="",0,'Upto Month Current'!$K$60)</f>
        <v>0</v>
      </c>
      <c r="BJ62" s="126">
        <f>BH62-BI62</f>
        <v>149331</v>
      </c>
      <c r="BK62">
        <f>'Upto Month Current'!$K$61</f>
        <v>149332</v>
      </c>
    </row>
    <row r="63" spans="1:64" ht="15.75">
      <c r="A63" s="130"/>
      <c r="B63" s="5" t="s">
        <v>201</v>
      </c>
      <c r="C63" s="128">
        <f t="shared" ref="C63:AH63" si="37">C62/C59</f>
        <v>5.1780708460754332E-2</v>
      </c>
      <c r="D63" s="128">
        <f t="shared" si="37"/>
        <v>0.15857892073603652</v>
      </c>
      <c r="E63" s="128">
        <f t="shared" si="37"/>
        <v>0</v>
      </c>
      <c r="F63" s="128">
        <f t="shared" si="37"/>
        <v>5.7576390662116887E-2</v>
      </c>
      <c r="G63" s="128">
        <f t="shared" si="37"/>
        <v>6.3778022359960607E-2</v>
      </c>
      <c r="H63" s="128" t="e">
        <f t="shared" si="37"/>
        <v>#DIV/0!</v>
      </c>
      <c r="I63" s="128" t="e">
        <f t="shared" si="37"/>
        <v>#DIV/0!</v>
      </c>
      <c r="J63" s="128">
        <f t="shared" si="37"/>
        <v>0</v>
      </c>
      <c r="K63" s="128">
        <f t="shared" si="37"/>
        <v>0</v>
      </c>
      <c r="L63" s="128">
        <f t="shared" si="37"/>
        <v>4.8543689320388345E-3</v>
      </c>
      <c r="M63" s="128">
        <f t="shared" si="37"/>
        <v>4.4751901737734662E-2</v>
      </c>
      <c r="N63" s="128">
        <f t="shared" si="37"/>
        <v>2.2068965517241378E-2</v>
      </c>
      <c r="O63" s="128">
        <f t="shared" si="37"/>
        <v>3.0581947743467935E-2</v>
      </c>
      <c r="P63" s="128">
        <f t="shared" si="37"/>
        <v>6.688969514206286E-2</v>
      </c>
      <c r="Q63" s="128" t="e">
        <f t="shared" si="37"/>
        <v>#DIV/0!</v>
      </c>
      <c r="R63" s="128">
        <f t="shared" si="37"/>
        <v>5.1943699731903485E-2</v>
      </c>
      <c r="S63" s="128" t="e">
        <f t="shared" si="37"/>
        <v>#DIV/0!</v>
      </c>
      <c r="T63" s="128" t="e">
        <f t="shared" si="37"/>
        <v>#DIV/0!</v>
      </c>
      <c r="U63" s="128" t="e">
        <f t="shared" si="37"/>
        <v>#DIV/0!</v>
      </c>
      <c r="V63" s="128" t="e">
        <f t="shared" si="37"/>
        <v>#DIV/0!</v>
      </c>
      <c r="W63" s="128" t="e">
        <f t="shared" si="37"/>
        <v>#DIV/0!</v>
      </c>
      <c r="X63" s="128" t="e">
        <f t="shared" si="37"/>
        <v>#DIV/0!</v>
      </c>
      <c r="Y63" s="128">
        <f t="shared" si="37"/>
        <v>0.22613882863340565</v>
      </c>
      <c r="Z63" s="128">
        <f t="shared" si="37"/>
        <v>0.18767908309455589</v>
      </c>
      <c r="AA63" s="128">
        <f t="shared" si="37"/>
        <v>0.15056179775280898</v>
      </c>
      <c r="AB63" s="128" t="e">
        <f t="shared" si="37"/>
        <v>#DIV/0!</v>
      </c>
      <c r="AC63" s="128">
        <f t="shared" si="37"/>
        <v>6.4785451647723299E-2</v>
      </c>
      <c r="AD63" s="128">
        <f t="shared" si="37"/>
        <v>9.0631951882672816E-4</v>
      </c>
      <c r="AE63" s="128">
        <f t="shared" si="37"/>
        <v>0.66666666666666663</v>
      </c>
      <c r="AF63" s="128">
        <f t="shared" si="37"/>
        <v>0</v>
      </c>
      <c r="AG63" s="128" t="e">
        <f t="shared" si="37"/>
        <v>#DIV/0!</v>
      </c>
      <c r="AH63" s="128" t="e">
        <f t="shared" si="37"/>
        <v>#DIV/0!</v>
      </c>
      <c r="AI63" s="128">
        <f t="shared" ref="AI63:BJ63" si="38">AI62/AI59</f>
        <v>0</v>
      </c>
      <c r="AJ63" s="128">
        <f t="shared" si="38"/>
        <v>-1.0866612333604999E-2</v>
      </c>
      <c r="AK63" s="128">
        <f t="shared" si="38"/>
        <v>0.18670979123787121</v>
      </c>
      <c r="AL63" s="128">
        <f t="shared" si="38"/>
        <v>0</v>
      </c>
      <c r="AM63" s="128">
        <f t="shared" si="38"/>
        <v>0</v>
      </c>
      <c r="AN63" s="128">
        <f t="shared" si="38"/>
        <v>8.04598915788695E-2</v>
      </c>
      <c r="AO63" s="128">
        <f t="shared" si="38"/>
        <v>0</v>
      </c>
      <c r="AP63" s="128" t="e">
        <f t="shared" si="38"/>
        <v>#DIV/0!</v>
      </c>
      <c r="AQ63" s="128" t="e">
        <f t="shared" si="38"/>
        <v>#DIV/0!</v>
      </c>
      <c r="AR63" s="128" t="e">
        <f t="shared" si="38"/>
        <v>#DIV/0!</v>
      </c>
      <c r="AS63" s="128" t="e">
        <f t="shared" si="38"/>
        <v>#DIV/0!</v>
      </c>
      <c r="AT63" s="128" t="e">
        <f t="shared" si="38"/>
        <v>#DIV/0!</v>
      </c>
      <c r="AU63" s="128" t="e">
        <f t="shared" si="38"/>
        <v>#DIV/0!</v>
      </c>
      <c r="AV63" s="128">
        <f t="shared" si="38"/>
        <v>0</v>
      </c>
      <c r="AW63" s="128">
        <f t="shared" si="38"/>
        <v>0</v>
      </c>
      <c r="AX63" s="128">
        <f t="shared" si="38"/>
        <v>0</v>
      </c>
      <c r="AY63" s="128" t="e">
        <f t="shared" si="38"/>
        <v>#DIV/0!</v>
      </c>
      <c r="AZ63" s="128" t="e">
        <f t="shared" si="38"/>
        <v>#DIV/0!</v>
      </c>
      <c r="BA63" s="128" t="e">
        <f t="shared" si="38"/>
        <v>#DIV/0!</v>
      </c>
      <c r="BB63" s="128">
        <f t="shared" si="38"/>
        <v>3.4472684779433244E-2</v>
      </c>
      <c r="BC63" s="128">
        <f t="shared" si="38"/>
        <v>3.4472684779433244E-2</v>
      </c>
      <c r="BD63" s="128">
        <f t="shared" si="38"/>
        <v>0</v>
      </c>
      <c r="BE63" s="128">
        <f t="shared" si="38"/>
        <v>0.27272727272727271</v>
      </c>
      <c r="BF63" s="128">
        <f t="shared" si="38"/>
        <v>4.6127529945520114E-3</v>
      </c>
      <c r="BG63" s="128">
        <f t="shared" si="38"/>
        <v>1.1247865355469854E-2</v>
      </c>
      <c r="BH63" s="128">
        <f t="shared" si="38"/>
        <v>4.4747513702392223E-2</v>
      </c>
      <c r="BI63" s="128">
        <f t="shared" si="38"/>
        <v>0</v>
      </c>
      <c r="BJ63" s="128">
        <f t="shared" si="38"/>
        <v>4.7465207088742779E-2</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135</v>
      </c>
      <c r="B65" s="11" t="s">
        <v>205</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BH65-BI65</f>
        <v>2707317</v>
      </c>
    </row>
    <row r="66" spans="1:63" ht="15.75">
      <c r="A66" s="130" t="s">
        <v>135</v>
      </c>
      <c r="B66" s="5" t="s">
        <v>202</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SUM(C66:AB66)</f>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SUM(AD66:BF66)</f>
        <v>36285808.539999999</v>
      </c>
      <c r="BH66" s="125">
        <f>AC66+BG66</f>
        <v>37671900.259999998</v>
      </c>
      <c r="BI66" s="37">
        <v>35928300</v>
      </c>
      <c r="BJ66" s="126">
        <f>BH66-BI66</f>
        <v>1743600.2599999979</v>
      </c>
    </row>
    <row r="67" spans="1:63" ht="15.75">
      <c r="A67" s="130"/>
      <c r="B67" s="5"/>
      <c r="C67" s="37">
        <f>C65-C66</f>
        <v>0</v>
      </c>
      <c r="D67" s="37">
        <f t="shared" ref="D67:AB67" si="39">D65-D66</f>
        <v>0</v>
      </c>
      <c r="E67" s="37">
        <f t="shared" si="39"/>
        <v>0</v>
      </c>
      <c r="F67" s="37">
        <f t="shared" si="39"/>
        <v>0</v>
      </c>
      <c r="G67" s="37">
        <f t="shared" si="39"/>
        <v>0</v>
      </c>
      <c r="H67" s="37">
        <f t="shared" si="39"/>
        <v>1279469.2799999998</v>
      </c>
      <c r="I67" s="37">
        <f t="shared" si="39"/>
        <v>0</v>
      </c>
      <c r="J67" s="37">
        <f t="shared" si="39"/>
        <v>0</v>
      </c>
      <c r="K67" s="37">
        <f t="shared" si="39"/>
        <v>0</v>
      </c>
      <c r="L67" s="37">
        <f t="shared" si="39"/>
        <v>0</v>
      </c>
      <c r="M67" s="37">
        <f t="shared" si="39"/>
        <v>0</v>
      </c>
      <c r="N67" s="37">
        <f t="shared" si="39"/>
        <v>0</v>
      </c>
      <c r="O67" s="37">
        <f t="shared" si="39"/>
        <v>0</v>
      </c>
      <c r="P67" s="37">
        <f t="shared" si="39"/>
        <v>0</v>
      </c>
      <c r="Q67" s="37">
        <f t="shared" si="39"/>
        <v>0</v>
      </c>
      <c r="R67" s="37">
        <f t="shared" si="39"/>
        <v>0</v>
      </c>
      <c r="S67" s="37">
        <f t="shared" si="39"/>
        <v>0</v>
      </c>
      <c r="T67" s="37">
        <f t="shared" si="39"/>
        <v>0</v>
      </c>
      <c r="U67" s="37">
        <f t="shared" si="39"/>
        <v>0</v>
      </c>
      <c r="V67" s="37">
        <f t="shared" si="39"/>
        <v>0</v>
      </c>
      <c r="W67" s="37">
        <f t="shared" si="39"/>
        <v>0</v>
      </c>
      <c r="X67" s="37">
        <f t="shared" si="39"/>
        <v>0</v>
      </c>
      <c r="Y67" s="37">
        <f t="shared" si="39"/>
        <v>0</v>
      </c>
      <c r="Z67" s="37">
        <f t="shared" si="39"/>
        <v>0</v>
      </c>
      <c r="AA67" s="37">
        <f t="shared" si="39"/>
        <v>0</v>
      </c>
      <c r="AB67" s="37">
        <f t="shared" si="39"/>
        <v>0</v>
      </c>
      <c r="AC67" s="123">
        <f>SUM(C67:AB67)</f>
        <v>1279469.2799999998</v>
      </c>
      <c r="AD67" s="37">
        <f>AD65-AD66</f>
        <v>0</v>
      </c>
      <c r="AE67" s="37">
        <f t="shared" ref="AE67:BF67" si="40">AE65-AE66</f>
        <v>0</v>
      </c>
      <c r="AF67" s="37">
        <f t="shared" si="40"/>
        <v>0</v>
      </c>
      <c r="AG67" s="37">
        <f t="shared" si="40"/>
        <v>0</v>
      </c>
      <c r="AH67" s="37">
        <f t="shared" si="40"/>
        <v>0</v>
      </c>
      <c r="AI67" s="37">
        <f t="shared" si="40"/>
        <v>0</v>
      </c>
      <c r="AJ67" s="37">
        <f t="shared" si="40"/>
        <v>0</v>
      </c>
      <c r="AK67" s="37">
        <f t="shared" si="40"/>
        <v>0</v>
      </c>
      <c r="AL67" s="37">
        <f t="shared" si="40"/>
        <v>0</v>
      </c>
      <c r="AM67" s="37">
        <f t="shared" si="40"/>
        <v>0</v>
      </c>
      <c r="AN67" s="37">
        <f t="shared" si="40"/>
        <v>0</v>
      </c>
      <c r="AO67" s="37">
        <f t="shared" si="40"/>
        <v>0</v>
      </c>
      <c r="AP67" s="37">
        <f t="shared" si="40"/>
        <v>0</v>
      </c>
      <c r="AQ67" s="37">
        <f t="shared" si="40"/>
        <v>0</v>
      </c>
      <c r="AR67" s="37">
        <f t="shared" si="40"/>
        <v>0</v>
      </c>
      <c r="AS67" s="37">
        <f t="shared" si="40"/>
        <v>0</v>
      </c>
      <c r="AT67" s="37">
        <f t="shared" si="40"/>
        <v>0</v>
      </c>
      <c r="AU67" s="37">
        <f t="shared" si="40"/>
        <v>0</v>
      </c>
      <c r="AV67" s="37">
        <f t="shared" si="40"/>
        <v>0</v>
      </c>
      <c r="AW67" s="37">
        <f t="shared" si="40"/>
        <v>0</v>
      </c>
      <c r="AX67" s="37">
        <f t="shared" si="40"/>
        <v>0</v>
      </c>
      <c r="AY67" s="37">
        <f t="shared" si="40"/>
        <v>0</v>
      </c>
      <c r="AZ67" s="37">
        <f t="shared" si="40"/>
        <v>0</v>
      </c>
      <c r="BA67" s="37">
        <f t="shared" si="40"/>
        <v>0</v>
      </c>
      <c r="BB67" s="37">
        <f t="shared" si="40"/>
        <v>0</v>
      </c>
      <c r="BC67" s="37">
        <f t="shared" si="40"/>
        <v>0</v>
      </c>
      <c r="BD67" s="37">
        <f t="shared" si="40"/>
        <v>0</v>
      </c>
      <c r="BE67" s="37">
        <f t="shared" si="40"/>
        <v>0</v>
      </c>
      <c r="BF67" s="37">
        <f t="shared" si="40"/>
        <v>35612547.460000001</v>
      </c>
      <c r="BG67" s="124">
        <f>SUM(AD67:BF67)</f>
        <v>35612547.460000001</v>
      </c>
      <c r="BH67" s="125">
        <f>AC67+BG67</f>
        <v>36892016.740000002</v>
      </c>
      <c r="BI67" s="38">
        <f>BI65-BI66</f>
        <v>35928300</v>
      </c>
      <c r="BJ67" s="126">
        <f>BH67-BI67</f>
        <v>963716.74000000209</v>
      </c>
    </row>
    <row r="68" spans="1:63" ht="15.75">
      <c r="A68" s="130"/>
      <c r="B68" s="12" t="s">
        <v>203</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176599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SUM(C68:AB68)</f>
        <v>176599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203219</v>
      </c>
      <c r="BG68" s="124">
        <f>SUM(AD68:BF68)</f>
        <v>203219</v>
      </c>
      <c r="BH68" s="125">
        <f>AC68+BG68</f>
        <v>379818</v>
      </c>
      <c r="BI68" s="9">
        <f>IF('Upto Month Current'!$L$60="",0,'Upto Month Current'!$L$60)</f>
        <v>202499</v>
      </c>
      <c r="BJ68" s="126">
        <f>BH68-BI68</f>
        <v>177319</v>
      </c>
      <c r="BK68">
        <f>'Upto Month Current'!$L$61</f>
        <v>177319</v>
      </c>
    </row>
    <row r="69" spans="1:63" ht="15.75">
      <c r="A69" s="130"/>
      <c r="B69" s="5" t="s">
        <v>201</v>
      </c>
      <c r="C69" s="128" t="e">
        <f t="shared" ref="C69:AH69" si="41">C68/C65</f>
        <v>#DIV/0!</v>
      </c>
      <c r="D69" s="128" t="e">
        <f t="shared" si="41"/>
        <v>#DIV/0!</v>
      </c>
      <c r="E69" s="128" t="e">
        <f t="shared" si="41"/>
        <v>#DIV/0!</v>
      </c>
      <c r="F69" s="128" t="e">
        <f t="shared" si="41"/>
        <v>#DIV/0!</v>
      </c>
      <c r="G69" s="128" t="e">
        <f t="shared" si="41"/>
        <v>#DIV/0!</v>
      </c>
      <c r="H69" s="128">
        <f t="shared" si="41"/>
        <v>6.6252094774796003E-2</v>
      </c>
      <c r="I69" s="128" t="e">
        <f t="shared" si="41"/>
        <v>#DIV/0!</v>
      </c>
      <c r="J69" s="128" t="e">
        <f t="shared" si="41"/>
        <v>#DIV/0!</v>
      </c>
      <c r="K69" s="128" t="e">
        <f t="shared" si="41"/>
        <v>#DIV/0!</v>
      </c>
      <c r="L69" s="128" t="e">
        <f t="shared" si="41"/>
        <v>#DIV/0!</v>
      </c>
      <c r="M69" s="128" t="e">
        <f t="shared" si="41"/>
        <v>#DIV/0!</v>
      </c>
      <c r="N69" s="128" t="e">
        <f t="shared" si="41"/>
        <v>#DIV/0!</v>
      </c>
      <c r="O69" s="128" t="e">
        <f t="shared" si="41"/>
        <v>#DIV/0!</v>
      </c>
      <c r="P69" s="128" t="e">
        <f t="shared" si="41"/>
        <v>#DIV/0!</v>
      </c>
      <c r="Q69" s="128" t="e">
        <f t="shared" si="41"/>
        <v>#DIV/0!</v>
      </c>
      <c r="R69" s="128" t="e">
        <f t="shared" si="41"/>
        <v>#DIV/0!</v>
      </c>
      <c r="S69" s="128" t="e">
        <f t="shared" si="41"/>
        <v>#DIV/0!</v>
      </c>
      <c r="T69" s="128" t="e">
        <f t="shared" si="41"/>
        <v>#DIV/0!</v>
      </c>
      <c r="U69" s="128" t="e">
        <f t="shared" si="41"/>
        <v>#DIV/0!</v>
      </c>
      <c r="V69" s="128" t="e">
        <f t="shared" si="41"/>
        <v>#DIV/0!</v>
      </c>
      <c r="W69" s="128" t="e">
        <f t="shared" si="41"/>
        <v>#DIV/0!</v>
      </c>
      <c r="X69" s="128" t="e">
        <f t="shared" si="41"/>
        <v>#DIV/0!</v>
      </c>
      <c r="Y69" s="128" t="e">
        <f t="shared" si="41"/>
        <v>#DIV/0!</v>
      </c>
      <c r="Z69" s="128" t="e">
        <f t="shared" si="41"/>
        <v>#DIV/0!</v>
      </c>
      <c r="AA69" s="128" t="e">
        <f t="shared" si="41"/>
        <v>#DIV/0!</v>
      </c>
      <c r="AB69" s="128" t="e">
        <f t="shared" si="41"/>
        <v>#DIV/0!</v>
      </c>
      <c r="AC69" s="128">
        <f t="shared" si="41"/>
        <v>6.6252094774796003E-2</v>
      </c>
      <c r="AD69" s="128" t="e">
        <f t="shared" si="41"/>
        <v>#DIV/0!</v>
      </c>
      <c r="AE69" s="128" t="e">
        <f t="shared" si="41"/>
        <v>#DIV/0!</v>
      </c>
      <c r="AF69" s="128" t="e">
        <f t="shared" si="41"/>
        <v>#DIV/0!</v>
      </c>
      <c r="AG69" s="128" t="e">
        <f t="shared" si="41"/>
        <v>#DIV/0!</v>
      </c>
      <c r="AH69" s="128" t="e">
        <f t="shared" si="41"/>
        <v>#DIV/0!</v>
      </c>
      <c r="AI69" s="128" t="e">
        <f t="shared" ref="AI69:BJ69" si="42">AI68/AI65</f>
        <v>#DIV/0!</v>
      </c>
      <c r="AJ69" s="128" t="e">
        <f t="shared" si="42"/>
        <v>#DIV/0!</v>
      </c>
      <c r="AK69" s="128" t="e">
        <f t="shared" si="42"/>
        <v>#DIV/0!</v>
      </c>
      <c r="AL69" s="128" t="e">
        <f t="shared" si="42"/>
        <v>#DIV/0!</v>
      </c>
      <c r="AM69" s="128" t="e">
        <f t="shared" si="42"/>
        <v>#DIV/0!</v>
      </c>
      <c r="AN69" s="128" t="e">
        <f t="shared" si="42"/>
        <v>#DIV/0!</v>
      </c>
      <c r="AO69" s="128" t="e">
        <f t="shared" si="42"/>
        <v>#DIV/0!</v>
      </c>
      <c r="AP69" s="128" t="e">
        <f t="shared" si="42"/>
        <v>#DIV/0!</v>
      </c>
      <c r="AQ69" s="128" t="e">
        <f t="shared" si="42"/>
        <v>#DIV/0!</v>
      </c>
      <c r="AR69" s="128" t="e">
        <f t="shared" si="42"/>
        <v>#DIV/0!</v>
      </c>
      <c r="AS69" s="128" t="e">
        <f t="shared" si="42"/>
        <v>#DIV/0!</v>
      </c>
      <c r="AT69" s="128" t="e">
        <f t="shared" si="42"/>
        <v>#DIV/0!</v>
      </c>
      <c r="AU69" s="128" t="e">
        <f t="shared" si="42"/>
        <v>#DIV/0!</v>
      </c>
      <c r="AV69" s="128" t="e">
        <f t="shared" si="42"/>
        <v>#DIV/0!</v>
      </c>
      <c r="AW69" s="128" t="e">
        <f t="shared" si="42"/>
        <v>#DIV/0!</v>
      </c>
      <c r="AX69" s="128" t="e">
        <f t="shared" si="42"/>
        <v>#DIV/0!</v>
      </c>
      <c r="AY69" s="128" t="e">
        <f t="shared" si="42"/>
        <v>#DIV/0!</v>
      </c>
      <c r="AZ69" s="128" t="e">
        <f t="shared" si="42"/>
        <v>#DIV/0!</v>
      </c>
      <c r="BA69" s="128" t="e">
        <f t="shared" si="42"/>
        <v>#DIV/0!</v>
      </c>
      <c r="BB69" s="128" t="e">
        <f t="shared" si="42"/>
        <v>#DIV/0!</v>
      </c>
      <c r="BC69" s="128" t="e">
        <f t="shared" si="42"/>
        <v>#DIV/0!</v>
      </c>
      <c r="BD69" s="128" t="e">
        <f t="shared" si="42"/>
        <v>#DIV/0!</v>
      </c>
      <c r="BE69" s="128" t="e">
        <f t="shared" si="42"/>
        <v>#DIV/0!</v>
      </c>
      <c r="BF69" s="128">
        <f t="shared" si="42"/>
        <v>2.8264763105292699E-3</v>
      </c>
      <c r="BG69" s="128">
        <f t="shared" si="42"/>
        <v>2.8264763105292699E-3</v>
      </c>
      <c r="BH69" s="128">
        <f t="shared" si="42"/>
        <v>5.0938579313101265E-3</v>
      </c>
      <c r="BI69" s="128">
        <f t="shared" si="42"/>
        <v>2.8180988246034465E-3</v>
      </c>
      <c r="BJ69" s="128">
        <f t="shared" si="42"/>
        <v>6.5496208977375014E-2</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122</v>
      </c>
      <c r="B71" s="11" t="s">
        <v>205</v>
      </c>
      <c r="C71" s="5">
        <f t="shared" ref="C71:AB71" si="43">C5+C11+C17+C23+C29+C35+C41+C47+C53+C59+C65</f>
        <v>24138688</v>
      </c>
      <c r="D71" s="5">
        <f t="shared" si="43"/>
        <v>4295500</v>
      </c>
      <c r="E71" s="5">
        <f t="shared" si="43"/>
        <v>1031647</v>
      </c>
      <c r="F71" s="5">
        <f t="shared" si="43"/>
        <v>2562181</v>
      </c>
      <c r="G71" s="5">
        <f t="shared" si="43"/>
        <v>1334558</v>
      </c>
      <c r="H71" s="5">
        <f t="shared" si="43"/>
        <v>2665561</v>
      </c>
      <c r="I71" s="5">
        <f t="shared" si="43"/>
        <v>0</v>
      </c>
      <c r="J71" s="5">
        <f t="shared" si="43"/>
        <v>1268085</v>
      </c>
      <c r="K71" s="5">
        <f t="shared" si="43"/>
        <v>190400</v>
      </c>
      <c r="L71" s="5">
        <f t="shared" si="43"/>
        <v>441643</v>
      </c>
      <c r="M71" s="5">
        <f t="shared" si="43"/>
        <v>934343</v>
      </c>
      <c r="N71" s="5">
        <f t="shared" si="43"/>
        <v>14406</v>
      </c>
      <c r="O71" s="5">
        <f t="shared" si="43"/>
        <v>79259</v>
      </c>
      <c r="P71" s="5">
        <f t="shared" si="43"/>
        <v>756000</v>
      </c>
      <c r="Q71" s="5">
        <f t="shared" si="43"/>
        <v>0</v>
      </c>
      <c r="R71" s="5">
        <f t="shared" si="43"/>
        <v>45000</v>
      </c>
      <c r="S71" s="5">
        <f t="shared" si="43"/>
        <v>762685</v>
      </c>
      <c r="T71" s="5">
        <f t="shared" si="43"/>
        <v>1003547</v>
      </c>
      <c r="U71" s="5">
        <f t="shared" si="43"/>
        <v>0</v>
      </c>
      <c r="V71" s="5">
        <f t="shared" si="43"/>
        <v>318607</v>
      </c>
      <c r="W71" s="5">
        <f t="shared" si="43"/>
        <v>555</v>
      </c>
      <c r="X71" s="5">
        <f t="shared" si="43"/>
        <v>369</v>
      </c>
      <c r="Y71" s="5">
        <f t="shared" si="43"/>
        <v>8159</v>
      </c>
      <c r="Z71" s="5">
        <f t="shared" si="43"/>
        <v>1420</v>
      </c>
      <c r="AA71" s="5">
        <f t="shared" si="43"/>
        <v>44929</v>
      </c>
      <c r="AB71" s="5">
        <f t="shared" si="43"/>
        <v>1692510</v>
      </c>
      <c r="AC71" s="123">
        <f>SUM(C71:AB71)</f>
        <v>43590052</v>
      </c>
      <c r="AD71" s="5">
        <f t="shared" ref="AD71:BG71" si="44">AD5+AD11+AD17+AD23+AD29+AD35+AD41+AD47+AD53+AD59+AD65</f>
        <v>123491</v>
      </c>
      <c r="AE71" s="5">
        <f t="shared" si="44"/>
        <v>48382</v>
      </c>
      <c r="AF71" s="5">
        <f t="shared" si="44"/>
        <v>61987</v>
      </c>
      <c r="AG71" s="5">
        <f t="shared" si="44"/>
        <v>0</v>
      </c>
      <c r="AH71" s="5">
        <f t="shared" si="44"/>
        <v>125</v>
      </c>
      <c r="AI71" s="5">
        <f t="shared" si="44"/>
        <v>11015</v>
      </c>
      <c r="AJ71" s="5">
        <f t="shared" si="44"/>
        <v>1256176</v>
      </c>
      <c r="AK71" s="5">
        <f t="shared" si="44"/>
        <v>1270104</v>
      </c>
      <c r="AL71" s="5">
        <f t="shared" si="44"/>
        <v>7058240</v>
      </c>
      <c r="AM71" s="5">
        <f t="shared" si="44"/>
        <v>110800</v>
      </c>
      <c r="AN71" s="5">
        <f t="shared" si="44"/>
        <v>2806196</v>
      </c>
      <c r="AO71" s="5">
        <f t="shared" si="44"/>
        <v>17228022</v>
      </c>
      <c r="AP71" s="5">
        <f t="shared" si="44"/>
        <v>83649</v>
      </c>
      <c r="AQ71" s="5">
        <f t="shared" si="44"/>
        <v>908586</v>
      </c>
      <c r="AR71" s="5">
        <f t="shared" si="44"/>
        <v>0</v>
      </c>
      <c r="AS71" s="5">
        <f t="shared" si="44"/>
        <v>0</v>
      </c>
      <c r="AT71" s="5">
        <f t="shared" si="44"/>
        <v>571696</v>
      </c>
      <c r="AU71" s="5">
        <f t="shared" si="44"/>
        <v>1</v>
      </c>
      <c r="AV71" s="5">
        <f t="shared" si="44"/>
        <v>14471</v>
      </c>
      <c r="AW71" s="5">
        <f t="shared" si="44"/>
        <v>13505</v>
      </c>
      <c r="AX71" s="5">
        <f t="shared" si="44"/>
        <v>3047</v>
      </c>
      <c r="AY71" s="5">
        <f t="shared" si="44"/>
        <v>145786</v>
      </c>
      <c r="AZ71" s="5">
        <f t="shared" si="44"/>
        <v>987794</v>
      </c>
      <c r="BA71" s="5">
        <f t="shared" si="44"/>
        <v>756000</v>
      </c>
      <c r="BB71" s="5">
        <f t="shared" si="44"/>
        <v>72091</v>
      </c>
      <c r="BC71" s="5">
        <f t="shared" si="44"/>
        <v>72172</v>
      </c>
      <c r="BD71" s="5">
        <f t="shared" si="44"/>
        <v>431</v>
      </c>
      <c r="BE71" s="5">
        <f t="shared" si="44"/>
        <v>33840</v>
      </c>
      <c r="BF71" s="5">
        <f t="shared" si="44"/>
        <v>73190909</v>
      </c>
      <c r="BG71" s="6">
        <f t="shared" si="44"/>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45">C6+C12+C18+C24+C30+C36+C42+C48+C54+C60+C66</f>
        <v>12552117.76</v>
      </c>
      <c r="D72" s="11">
        <f t="shared" si="45"/>
        <v>3279708.1200000006</v>
      </c>
      <c r="E72" s="11">
        <f t="shared" si="45"/>
        <v>0</v>
      </c>
      <c r="F72" s="11">
        <f t="shared" si="45"/>
        <v>1332334.1200000001</v>
      </c>
      <c r="G72" s="11">
        <f t="shared" si="45"/>
        <v>693970.16000000015</v>
      </c>
      <c r="H72" s="11">
        <f t="shared" si="45"/>
        <v>1386091.7200000002</v>
      </c>
      <c r="I72" s="11">
        <f t="shared" si="45"/>
        <v>0</v>
      </c>
      <c r="J72" s="11">
        <f t="shared" si="45"/>
        <v>659404.20000000007</v>
      </c>
      <c r="K72" s="11">
        <f t="shared" si="45"/>
        <v>113735.44</v>
      </c>
      <c r="L72" s="11">
        <f t="shared" si="45"/>
        <v>229654.36000000002</v>
      </c>
      <c r="M72" s="11">
        <f t="shared" si="45"/>
        <v>485858.36000000004</v>
      </c>
      <c r="N72" s="11">
        <f t="shared" si="45"/>
        <v>7491.12</v>
      </c>
      <c r="O72" s="11">
        <f t="shared" si="45"/>
        <v>41214.680000000008</v>
      </c>
      <c r="P72" s="11">
        <f t="shared" si="45"/>
        <v>441996.36000000004</v>
      </c>
      <c r="Q72" s="11">
        <f t="shared" si="45"/>
        <v>0</v>
      </c>
      <c r="R72" s="11">
        <f t="shared" si="45"/>
        <v>48183.199999999997</v>
      </c>
      <c r="S72" s="11">
        <f t="shared" si="45"/>
        <v>396596.19999999995</v>
      </c>
      <c r="T72" s="11">
        <f t="shared" si="45"/>
        <v>521844.44000000006</v>
      </c>
      <c r="U72" s="11">
        <f t="shared" si="45"/>
        <v>0</v>
      </c>
      <c r="V72" s="11">
        <f t="shared" si="45"/>
        <v>165675.64000000004</v>
      </c>
      <c r="W72" s="11">
        <f t="shared" si="45"/>
        <v>288.60000000000002</v>
      </c>
      <c r="X72" s="11">
        <f t="shared" si="45"/>
        <v>191.88000000000002</v>
      </c>
      <c r="Y72" s="11">
        <f t="shared" si="45"/>
        <v>4242.6799999999994</v>
      </c>
      <c r="Z72" s="11">
        <f t="shared" si="45"/>
        <v>738.40000000000009</v>
      </c>
      <c r="AA72" s="11">
        <f t="shared" si="45"/>
        <v>23363.08</v>
      </c>
      <c r="AB72" s="11">
        <f t="shared" si="45"/>
        <v>880105.2</v>
      </c>
      <c r="AC72" s="123">
        <f>SUM(C72:AB72)</f>
        <v>23264805.719999995</v>
      </c>
      <c r="AD72" s="11">
        <f t="shared" ref="AD72:BG72" si="46">AD6+AD12+AD18+AD24+AD30+AD36+AD42+AD48+AD54+AD60+AD66</f>
        <v>83000.320000000022</v>
      </c>
      <c r="AE72" s="11">
        <f t="shared" si="46"/>
        <v>25158.639999999999</v>
      </c>
      <c r="AF72" s="11">
        <f t="shared" si="46"/>
        <v>32233.239999999998</v>
      </c>
      <c r="AG72" s="11">
        <f t="shared" si="46"/>
        <v>0</v>
      </c>
      <c r="AH72" s="11">
        <f t="shared" si="46"/>
        <v>65</v>
      </c>
      <c r="AI72" s="11">
        <f t="shared" si="46"/>
        <v>5727.8</v>
      </c>
      <c r="AJ72" s="11">
        <f t="shared" si="46"/>
        <v>1030621.8</v>
      </c>
      <c r="AK72" s="11">
        <f t="shared" si="46"/>
        <v>663865.28</v>
      </c>
      <c r="AL72" s="11">
        <f t="shared" si="46"/>
        <v>5116687.16</v>
      </c>
      <c r="AM72" s="11">
        <f t="shared" si="46"/>
        <v>107235.96000000002</v>
      </c>
      <c r="AN72" s="11">
        <f t="shared" si="46"/>
        <v>1459221.9200000002</v>
      </c>
      <c r="AO72" s="11">
        <f t="shared" si="46"/>
        <v>12059371.440000001</v>
      </c>
      <c r="AP72" s="11">
        <f t="shared" si="46"/>
        <v>43497.48</v>
      </c>
      <c r="AQ72" s="11">
        <f t="shared" si="46"/>
        <v>472464.72000000003</v>
      </c>
      <c r="AR72" s="11">
        <f t="shared" si="46"/>
        <v>0</v>
      </c>
      <c r="AS72" s="11">
        <f t="shared" si="46"/>
        <v>0</v>
      </c>
      <c r="AT72" s="11">
        <f t="shared" si="46"/>
        <v>358787.52</v>
      </c>
      <c r="AU72" s="11">
        <f t="shared" si="46"/>
        <v>0</v>
      </c>
      <c r="AV72" s="11">
        <f t="shared" si="46"/>
        <v>7524.92</v>
      </c>
      <c r="AW72" s="11">
        <f t="shared" si="46"/>
        <v>7022.5999999999995</v>
      </c>
      <c r="AX72" s="11">
        <f t="shared" si="46"/>
        <v>1584.44</v>
      </c>
      <c r="AY72" s="11">
        <f t="shared" si="46"/>
        <v>75808.72</v>
      </c>
      <c r="AZ72" s="11">
        <f t="shared" si="46"/>
        <v>919772.88000000012</v>
      </c>
      <c r="BA72" s="11">
        <f t="shared" si="46"/>
        <v>542228.96</v>
      </c>
      <c r="BB72" s="11">
        <f t="shared" si="46"/>
        <v>37487.32</v>
      </c>
      <c r="BC72" s="11">
        <f t="shared" si="46"/>
        <v>37529.439999999995</v>
      </c>
      <c r="BD72" s="11">
        <f t="shared" si="46"/>
        <v>224.11999999999998</v>
      </c>
      <c r="BE72" s="11">
        <f t="shared" si="46"/>
        <v>17596.8</v>
      </c>
      <c r="BF72" s="11">
        <f t="shared" si="46"/>
        <v>37028031.979999997</v>
      </c>
      <c r="BG72" s="10">
        <f t="shared" si="46"/>
        <v>60132750.460000001</v>
      </c>
      <c r="BH72" s="125">
        <f>AC72+BG72</f>
        <v>83397556.179999992</v>
      </c>
      <c r="BI72" s="5">
        <f t="shared" ref="BI72:BJ74" si="47">BI6+BI12+BI18+BI24+BI30+BI36+BI42+BI48+BI54+BI60+BI66</f>
        <v>36516458</v>
      </c>
      <c r="BJ72" s="51">
        <f t="shared" si="47"/>
        <v>46881098.18</v>
      </c>
    </row>
    <row r="73" spans="1:63" ht="15.75">
      <c r="A73" s="130"/>
      <c r="B73" s="5"/>
      <c r="C73" s="11">
        <f>C7+C13+C19+C25+C31+C37+C43+C49+C55+C61+C67</f>
        <v>11586570.24</v>
      </c>
      <c r="D73" s="11">
        <f t="shared" ref="D73:AB73" si="48">D7+D13+D19+D25+D31+D37+D43+D49+D55+D61+D67</f>
        <v>1015791.8799999998</v>
      </c>
      <c r="E73" s="11">
        <f t="shared" si="48"/>
        <v>1031647</v>
      </c>
      <c r="F73" s="11">
        <f t="shared" si="48"/>
        <v>1229846.8799999999</v>
      </c>
      <c r="G73" s="11">
        <f t="shared" si="48"/>
        <v>640587.83999999985</v>
      </c>
      <c r="H73" s="11">
        <f t="shared" si="48"/>
        <v>1279469.2799999998</v>
      </c>
      <c r="I73" s="11">
        <f t="shared" si="48"/>
        <v>0</v>
      </c>
      <c r="J73" s="11">
        <f t="shared" si="48"/>
        <v>608680.79999999993</v>
      </c>
      <c r="K73" s="11">
        <f t="shared" si="48"/>
        <v>76664.56</v>
      </c>
      <c r="L73" s="11">
        <f t="shared" si="48"/>
        <v>211988.63999999998</v>
      </c>
      <c r="M73" s="11">
        <f t="shared" si="48"/>
        <v>448484.63999999996</v>
      </c>
      <c r="N73" s="11">
        <f t="shared" si="48"/>
        <v>6914.88</v>
      </c>
      <c r="O73" s="11">
        <f t="shared" si="48"/>
        <v>38044.319999999992</v>
      </c>
      <c r="P73" s="11">
        <f t="shared" si="48"/>
        <v>314003.63999999996</v>
      </c>
      <c r="Q73" s="11">
        <f t="shared" si="48"/>
        <v>0</v>
      </c>
      <c r="R73" s="11">
        <f t="shared" si="48"/>
        <v>-3183.2000000000007</v>
      </c>
      <c r="S73" s="11">
        <f t="shared" si="48"/>
        <v>366088.80000000005</v>
      </c>
      <c r="T73" s="11">
        <f t="shared" si="48"/>
        <v>481702.55999999994</v>
      </c>
      <c r="U73" s="11">
        <f t="shared" si="48"/>
        <v>0</v>
      </c>
      <c r="V73" s="11">
        <f t="shared" si="48"/>
        <v>152931.35999999996</v>
      </c>
      <c r="W73" s="11">
        <f t="shared" si="48"/>
        <v>266.39999999999998</v>
      </c>
      <c r="X73" s="11">
        <f t="shared" si="48"/>
        <v>177.11999999999998</v>
      </c>
      <c r="Y73" s="11">
        <f t="shared" si="48"/>
        <v>3916.32</v>
      </c>
      <c r="Z73" s="11">
        <f t="shared" si="48"/>
        <v>681.59999999999991</v>
      </c>
      <c r="AA73" s="11">
        <f t="shared" si="48"/>
        <v>21565.919999999998</v>
      </c>
      <c r="AB73" s="11">
        <f t="shared" si="48"/>
        <v>812404.8</v>
      </c>
      <c r="AC73" s="123">
        <f>SUM(C73:AB73)</f>
        <v>20325246.280000005</v>
      </c>
      <c r="AD73" s="11">
        <f>AD7+AD13+AD19+AD25+AD31+AD37+AD43+AD49+AD55+AD61+AD67</f>
        <v>40490.679999999993</v>
      </c>
      <c r="AE73" s="11">
        <f t="shared" ref="AE73:BF73" si="49">AE7+AE13+AE19+AE25+AE31+AE37+AE43+AE49+AE55+AE61+AE67</f>
        <v>23176.32</v>
      </c>
      <c r="AF73" s="11">
        <f t="shared" si="49"/>
        <v>29164.320000000003</v>
      </c>
      <c r="AG73" s="11">
        <f t="shared" si="49"/>
        <v>0</v>
      </c>
      <c r="AH73" s="11">
        <f t="shared" si="49"/>
        <v>60</v>
      </c>
      <c r="AI73" s="11">
        <f t="shared" si="49"/>
        <v>5278.5599999999995</v>
      </c>
      <c r="AJ73" s="11">
        <f t="shared" si="49"/>
        <v>222877.23999999996</v>
      </c>
      <c r="AK73" s="11">
        <f t="shared" si="49"/>
        <v>499520.31999999995</v>
      </c>
      <c r="AL73" s="11">
        <f t="shared" si="49"/>
        <v>1851960.3599999996</v>
      </c>
      <c r="AM73" s="11">
        <f t="shared" si="49"/>
        <v>3564.0399999999968</v>
      </c>
      <c r="AN73" s="11">
        <f t="shared" si="49"/>
        <v>1191405.1199999999</v>
      </c>
      <c r="AO73" s="11">
        <f t="shared" si="49"/>
        <v>5168650.5599999987</v>
      </c>
      <c r="AP73" s="11">
        <f t="shared" si="49"/>
        <v>40151.519999999997</v>
      </c>
      <c r="AQ73" s="11">
        <f t="shared" si="49"/>
        <v>436121.27999999997</v>
      </c>
      <c r="AR73" s="11">
        <f t="shared" si="49"/>
        <v>0</v>
      </c>
      <c r="AS73" s="11">
        <f t="shared" si="49"/>
        <v>0</v>
      </c>
      <c r="AT73" s="11">
        <f t="shared" si="49"/>
        <v>212908.47999999998</v>
      </c>
      <c r="AU73" s="11">
        <f t="shared" si="49"/>
        <v>1</v>
      </c>
      <c r="AV73" s="11">
        <f t="shared" si="49"/>
        <v>6816</v>
      </c>
      <c r="AW73" s="11">
        <f t="shared" si="49"/>
        <v>6364.8</v>
      </c>
      <c r="AX73" s="11">
        <f t="shared" si="49"/>
        <v>1179.3599999999999</v>
      </c>
      <c r="AY73" s="11">
        <f t="shared" si="49"/>
        <v>69977.279999999999</v>
      </c>
      <c r="AZ73" s="11">
        <f t="shared" si="49"/>
        <v>68021.119999999879</v>
      </c>
      <c r="BA73" s="11">
        <f t="shared" si="49"/>
        <v>213771.03999999998</v>
      </c>
      <c r="BB73" s="11">
        <f t="shared" si="49"/>
        <v>24403.200000000001</v>
      </c>
      <c r="BC73" s="11">
        <f t="shared" si="49"/>
        <v>24442.080000000002</v>
      </c>
      <c r="BD73" s="11">
        <f t="shared" si="49"/>
        <v>120.96</v>
      </c>
      <c r="BE73" s="11">
        <f t="shared" si="49"/>
        <v>15340.319999999998</v>
      </c>
      <c r="BF73" s="11">
        <f t="shared" si="49"/>
        <v>36212382.300000004</v>
      </c>
      <c r="BG73" s="10">
        <f>BG7+BG13+BG19+BG25+BG31+BG37+BG43+BG49+BG55+BG61+BG67</f>
        <v>46368148.259999998</v>
      </c>
      <c r="BH73" s="125">
        <f>AC73+BG73</f>
        <v>66693394.540000007</v>
      </c>
      <c r="BI73" s="5">
        <f t="shared" si="47"/>
        <v>36516458</v>
      </c>
      <c r="BJ73" s="51">
        <f t="shared" si="47"/>
        <v>30176936.539999999</v>
      </c>
    </row>
    <row r="74" spans="1:63" ht="15.75">
      <c r="A74" s="130"/>
      <c r="B74" s="12" t="str">
        <f>B68</f>
        <v>Actuals upto Sep' 20</v>
      </c>
      <c r="C74" s="5">
        <f>C8+C14+C20+C26+C32+C38+C44+C50+C56+C62+C68</f>
        <v>1087948</v>
      </c>
      <c r="D74" s="5">
        <f t="shared" ref="D74:AB74" si="50">D8+D14+D20+D26+D32+D38+D44+D50+D56+D62+D68</f>
        <v>722000</v>
      </c>
      <c r="E74" s="5">
        <f t="shared" si="50"/>
        <v>358</v>
      </c>
      <c r="F74" s="5">
        <f t="shared" si="50"/>
        <v>128830</v>
      </c>
      <c r="G74" s="5">
        <f t="shared" si="50"/>
        <v>97996</v>
      </c>
      <c r="H74" s="5">
        <f t="shared" si="50"/>
        <v>176599</v>
      </c>
      <c r="I74" s="5">
        <f t="shared" si="50"/>
        <v>0</v>
      </c>
      <c r="J74" s="5">
        <f t="shared" si="50"/>
        <v>154167</v>
      </c>
      <c r="K74" s="5">
        <f t="shared" si="50"/>
        <v>7635</v>
      </c>
      <c r="L74" s="5">
        <f t="shared" si="50"/>
        <v>44495</v>
      </c>
      <c r="M74" s="5">
        <f t="shared" si="50"/>
        <v>58802</v>
      </c>
      <c r="N74" s="5">
        <f t="shared" si="50"/>
        <v>154</v>
      </c>
      <c r="O74" s="5">
        <f t="shared" si="50"/>
        <v>4580</v>
      </c>
      <c r="P74" s="5">
        <f t="shared" si="50"/>
        <v>57820</v>
      </c>
      <c r="Q74" s="5">
        <f t="shared" si="50"/>
        <v>0</v>
      </c>
      <c r="R74" s="5">
        <f t="shared" si="50"/>
        <v>2264</v>
      </c>
      <c r="S74" s="5">
        <f t="shared" si="50"/>
        <v>14462</v>
      </c>
      <c r="T74" s="5">
        <f t="shared" si="50"/>
        <v>231825</v>
      </c>
      <c r="U74" s="5">
        <f t="shared" si="50"/>
        <v>0</v>
      </c>
      <c r="V74" s="5">
        <f t="shared" si="50"/>
        <v>10023</v>
      </c>
      <c r="W74" s="5">
        <f t="shared" si="50"/>
        <v>0</v>
      </c>
      <c r="X74" s="5">
        <f t="shared" si="50"/>
        <v>0</v>
      </c>
      <c r="Y74" s="5">
        <f t="shared" si="50"/>
        <v>9457</v>
      </c>
      <c r="Z74" s="5">
        <f t="shared" si="50"/>
        <v>3881</v>
      </c>
      <c r="AA74" s="5">
        <f t="shared" si="50"/>
        <v>3149</v>
      </c>
      <c r="AB74" s="5">
        <f t="shared" si="50"/>
        <v>40931</v>
      </c>
      <c r="AC74" s="123">
        <f>SUM(C74:AB74)</f>
        <v>2857376</v>
      </c>
      <c r="AD74" s="5">
        <f>AD8+AD14+AD20+AD26+AD32+AD38+AD44+AD50+AD56+AD62+AD68</f>
        <v>452</v>
      </c>
      <c r="AE74" s="5">
        <f t="shared" ref="AE74:BF74" si="51">AE8+AE14+AE20+AE26+AE32+AE38+AE44+AE50+AE56+AE62+AE68</f>
        <v>1023</v>
      </c>
      <c r="AF74" s="5">
        <f t="shared" si="51"/>
        <v>9496</v>
      </c>
      <c r="AG74" s="5">
        <f t="shared" si="51"/>
        <v>0</v>
      </c>
      <c r="AH74" s="5">
        <f t="shared" si="51"/>
        <v>0</v>
      </c>
      <c r="AI74" s="5">
        <f t="shared" si="51"/>
        <v>2184</v>
      </c>
      <c r="AJ74" s="5">
        <f t="shared" si="51"/>
        <v>97157</v>
      </c>
      <c r="AK74" s="5">
        <f t="shared" si="51"/>
        <v>105336</v>
      </c>
      <c r="AL74" s="5">
        <f t="shared" si="51"/>
        <v>1120038</v>
      </c>
      <c r="AM74" s="5">
        <f t="shared" si="51"/>
        <v>24605</v>
      </c>
      <c r="AN74" s="5">
        <f t="shared" si="51"/>
        <v>450497</v>
      </c>
      <c r="AO74" s="5">
        <f t="shared" si="51"/>
        <v>-133271</v>
      </c>
      <c r="AP74" s="5">
        <f t="shared" si="51"/>
        <v>17402</v>
      </c>
      <c r="AQ74" s="5">
        <f t="shared" si="51"/>
        <v>2149</v>
      </c>
      <c r="AR74" s="5">
        <f t="shared" si="51"/>
        <v>0</v>
      </c>
      <c r="AS74" s="5">
        <f t="shared" si="51"/>
        <v>0</v>
      </c>
      <c r="AT74" s="5">
        <f t="shared" si="51"/>
        <v>1523</v>
      </c>
      <c r="AU74" s="5">
        <f t="shared" si="51"/>
        <v>0</v>
      </c>
      <c r="AV74" s="5">
        <f t="shared" si="51"/>
        <v>0</v>
      </c>
      <c r="AW74" s="5">
        <f t="shared" si="51"/>
        <v>59</v>
      </c>
      <c r="AX74" s="5">
        <f t="shared" si="51"/>
        <v>0</v>
      </c>
      <c r="AY74" s="5">
        <f t="shared" si="51"/>
        <v>0</v>
      </c>
      <c r="AZ74" s="5">
        <f t="shared" si="51"/>
        <v>19663</v>
      </c>
      <c r="BA74" s="5">
        <f t="shared" si="51"/>
        <v>34414</v>
      </c>
      <c r="BB74" s="5">
        <f t="shared" si="51"/>
        <v>22280</v>
      </c>
      <c r="BC74" s="5">
        <f t="shared" si="51"/>
        <v>22280</v>
      </c>
      <c r="BD74" s="5">
        <f t="shared" si="51"/>
        <v>0</v>
      </c>
      <c r="BE74" s="5">
        <f t="shared" si="51"/>
        <v>31312</v>
      </c>
      <c r="BF74" s="5">
        <f t="shared" si="51"/>
        <v>414112</v>
      </c>
      <c r="BG74" s="6">
        <f>BG8+BG14+BG20+BG26+BG32+BG38+BG44+BG50+BG56+BG62+BG68</f>
        <v>2242711</v>
      </c>
      <c r="BH74" s="127">
        <f>AC74+BG74</f>
        <v>5100087</v>
      </c>
      <c r="BI74" s="5">
        <f t="shared" si="47"/>
        <v>410727</v>
      </c>
      <c r="BJ74" s="51">
        <f t="shared" si="47"/>
        <v>4689360</v>
      </c>
      <c r="BK74" s="30">
        <f>'Upto Month Current'!N61-'Upto Month Current'!M61</f>
        <v>-4689441</v>
      </c>
    </row>
    <row r="75" spans="1:63" ht="15.75">
      <c r="A75" s="130"/>
      <c r="B75" s="5" t="s">
        <v>201</v>
      </c>
      <c r="C75" s="128">
        <f t="shared" ref="C75:AH75" si="52">C74/C71</f>
        <v>4.5070718010854612E-2</v>
      </c>
      <c r="D75" s="128">
        <f t="shared" si="52"/>
        <v>0.16808287742986847</v>
      </c>
      <c r="E75" s="128">
        <f t="shared" si="52"/>
        <v>3.4701792376655969E-4</v>
      </c>
      <c r="F75" s="128">
        <f t="shared" si="52"/>
        <v>5.02813813700125E-2</v>
      </c>
      <c r="G75" s="128">
        <f t="shared" si="52"/>
        <v>7.3429554953774956E-2</v>
      </c>
      <c r="H75" s="128">
        <f t="shared" si="52"/>
        <v>6.6252094774796003E-2</v>
      </c>
      <c r="I75" s="128" t="e">
        <f t="shared" si="52"/>
        <v>#DIV/0!</v>
      </c>
      <c r="J75" s="128">
        <f t="shared" si="52"/>
        <v>0.12157465785022298</v>
      </c>
      <c r="K75" s="128">
        <f t="shared" si="52"/>
        <v>4.009978991596639E-2</v>
      </c>
      <c r="L75" s="128">
        <f t="shared" si="52"/>
        <v>0.10074879484108205</v>
      </c>
      <c r="M75" s="128">
        <f t="shared" si="52"/>
        <v>6.2934061688266513E-2</v>
      </c>
      <c r="N75" s="128">
        <f t="shared" si="52"/>
        <v>1.0689990281827016E-2</v>
      </c>
      <c r="O75" s="128">
        <f t="shared" si="52"/>
        <v>5.7785235746098236E-2</v>
      </c>
      <c r="P75" s="128">
        <f t="shared" si="52"/>
        <v>7.6481481481481484E-2</v>
      </c>
      <c r="Q75" s="128" t="e">
        <f t="shared" si="52"/>
        <v>#DIV/0!</v>
      </c>
      <c r="R75" s="128">
        <f t="shared" si="52"/>
        <v>5.0311111111111112E-2</v>
      </c>
      <c r="S75" s="128">
        <f t="shared" si="52"/>
        <v>1.896195677114405E-2</v>
      </c>
      <c r="T75" s="128">
        <f t="shared" si="52"/>
        <v>0.23100562305502384</v>
      </c>
      <c r="U75" s="128" t="e">
        <f t="shared" si="52"/>
        <v>#DIV/0!</v>
      </c>
      <c r="V75" s="128">
        <f t="shared" si="52"/>
        <v>3.1458819172209024E-2</v>
      </c>
      <c r="W75" s="128">
        <f t="shared" si="52"/>
        <v>0</v>
      </c>
      <c r="X75" s="128">
        <f t="shared" si="52"/>
        <v>0</v>
      </c>
      <c r="Y75" s="128">
        <f t="shared" si="52"/>
        <v>1.159088123544552</v>
      </c>
      <c r="Z75" s="128">
        <f t="shared" si="52"/>
        <v>2.7330985915492958</v>
      </c>
      <c r="AA75" s="128">
        <f t="shared" si="52"/>
        <v>7.008836163724988E-2</v>
      </c>
      <c r="AB75" s="128">
        <f t="shared" si="52"/>
        <v>2.4183608959474391E-2</v>
      </c>
      <c r="AC75" s="128">
        <f t="shared" si="52"/>
        <v>6.5551103265488186E-2</v>
      </c>
      <c r="AD75" s="128">
        <f t="shared" si="52"/>
        <v>3.6601857625252043E-3</v>
      </c>
      <c r="AE75" s="128">
        <f t="shared" si="52"/>
        <v>2.1144227191930882E-2</v>
      </c>
      <c r="AF75" s="128">
        <f t="shared" si="52"/>
        <v>0.15319341152177068</v>
      </c>
      <c r="AG75" s="128" t="e">
        <f t="shared" si="52"/>
        <v>#DIV/0!</v>
      </c>
      <c r="AH75" s="128">
        <f t="shared" si="52"/>
        <v>0</v>
      </c>
      <c r="AI75" s="128">
        <f t="shared" ref="AI75:BJ75" si="53">AI74/AI71</f>
        <v>0.19827507943713119</v>
      </c>
      <c r="AJ75" s="128">
        <f t="shared" si="53"/>
        <v>7.7343461425787463E-2</v>
      </c>
      <c r="AK75" s="128">
        <f t="shared" si="53"/>
        <v>8.2934940760756595E-2</v>
      </c>
      <c r="AL75" s="128">
        <f t="shared" si="53"/>
        <v>0.15868516797388585</v>
      </c>
      <c r="AM75" s="128">
        <f t="shared" si="53"/>
        <v>0.2220667870036101</v>
      </c>
      <c r="AN75" s="128">
        <f t="shared" si="53"/>
        <v>0.16053654128221978</v>
      </c>
      <c r="AO75" s="128">
        <f t="shared" si="53"/>
        <v>-7.7357110410005278E-3</v>
      </c>
      <c r="AP75" s="128">
        <f t="shared" si="53"/>
        <v>0.20803595978433692</v>
      </c>
      <c r="AQ75" s="128">
        <f t="shared" si="53"/>
        <v>2.3652136396554646E-3</v>
      </c>
      <c r="AR75" s="128" t="e">
        <f t="shared" si="53"/>
        <v>#DIV/0!</v>
      </c>
      <c r="AS75" s="128" t="e">
        <f t="shared" si="53"/>
        <v>#DIV/0!</v>
      </c>
      <c r="AT75" s="128">
        <f t="shared" si="53"/>
        <v>2.6640032464806469E-3</v>
      </c>
      <c r="AU75" s="128">
        <f t="shared" si="53"/>
        <v>0</v>
      </c>
      <c r="AV75" s="128">
        <f t="shared" si="53"/>
        <v>0</v>
      </c>
      <c r="AW75" s="128">
        <f t="shared" si="53"/>
        <v>4.3687523139577938E-3</v>
      </c>
      <c r="AX75" s="128">
        <f t="shared" si="53"/>
        <v>0</v>
      </c>
      <c r="AY75" s="128">
        <f t="shared" si="53"/>
        <v>0</v>
      </c>
      <c r="AZ75" s="128">
        <f t="shared" si="53"/>
        <v>1.9905972297867773E-2</v>
      </c>
      <c r="BA75" s="128">
        <f t="shared" si="53"/>
        <v>4.5521164021164018E-2</v>
      </c>
      <c r="BB75" s="128">
        <f t="shared" si="53"/>
        <v>0.30905383473665227</v>
      </c>
      <c r="BC75" s="128">
        <f t="shared" si="53"/>
        <v>0.30870697777531453</v>
      </c>
      <c r="BD75" s="128">
        <f t="shared" si="53"/>
        <v>0</v>
      </c>
      <c r="BE75" s="128">
        <f t="shared" si="53"/>
        <v>0.92529550827423168</v>
      </c>
      <c r="BF75" s="128">
        <f t="shared" si="53"/>
        <v>5.657970445482512E-3</v>
      </c>
      <c r="BG75" s="128">
        <f t="shared" si="53"/>
        <v>2.0993561307170082E-2</v>
      </c>
      <c r="BH75" s="128">
        <f t="shared" si="53"/>
        <v>3.3905966981416819E-2</v>
      </c>
      <c r="BI75" s="128">
        <f t="shared" si="53"/>
        <v>5.6238614380398014E-3</v>
      </c>
      <c r="BJ75" s="128">
        <f t="shared" si="53"/>
        <v>6.05972797127819E-2</v>
      </c>
    </row>
    <row r="76" spans="1:63">
      <c r="BF76" s="30">
        <f>BF74-BF68</f>
        <v>210893</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2024-05-14T07:07:26Z</cp:lastPrinted>
  <dcterms:created xsi:type="dcterms:W3CDTF">2015-06-05T18:17:20Z</dcterms:created>
  <dcterms:modified xsi:type="dcterms:W3CDTF">2024-05-14T07:07:55Z</dcterms:modified>
</cp:coreProperties>
</file>