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 name="Sheet6" sheetId="13" r:id="rId13"/>
    <sheet name="MR PPT" sheetId="14" r:id="rId14"/>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49" i="4"/>
  <c r="F49"/>
  <c r="BK71" i="2"/>
  <c r="AW51"/>
  <c r="G77" i="4"/>
  <c r="G90" s="1"/>
  <c r="G107" s="1"/>
  <c r="F3"/>
  <c r="H3"/>
  <c r="J126" i="2"/>
  <c r="BH116"/>
  <c r="AD116"/>
  <c r="BI116" l="1"/>
  <c r="BK116" s="1"/>
  <c r="BH105" l="1"/>
  <c r="AD105"/>
  <c r="BH94"/>
  <c r="AD94"/>
  <c r="BH83"/>
  <c r="AD83"/>
  <c r="BH72"/>
  <c r="AD72"/>
  <c r="BH61"/>
  <c r="AD61"/>
  <c r="BH50"/>
  <c r="AD50"/>
  <c r="BH39"/>
  <c r="AD39"/>
  <c r="BH28"/>
  <c r="AD28"/>
  <c r="BH17"/>
  <c r="AD17"/>
  <c r="BH6"/>
  <c r="BI105" l="1"/>
  <c r="BK105" s="1"/>
  <c r="BI94"/>
  <c r="BK94" s="1"/>
  <c r="BI83"/>
  <c r="BK83" s="1"/>
  <c r="BI72"/>
  <c r="BK72" s="1"/>
  <c r="BI61"/>
  <c r="BK61" s="1"/>
  <c r="BI50"/>
  <c r="BK50" s="1"/>
  <c r="BI39"/>
  <c r="BK39" s="1"/>
  <c r="BI28"/>
  <c r="BK28" s="1"/>
  <c r="BI17"/>
  <c r="BK17" s="1"/>
  <c r="E38" i="14"/>
  <c r="E36"/>
  <c r="E41"/>
  <c r="J37"/>
  <c r="K37" s="1"/>
  <c r="J39"/>
  <c r="K39" s="1"/>
  <c r="L39"/>
  <c r="J40"/>
  <c r="K40" s="1"/>
  <c r="L40"/>
  <c r="E44"/>
  <c r="C34"/>
  <c r="E34"/>
  <c r="F34"/>
  <c r="G34"/>
  <c r="H34"/>
  <c r="I34"/>
  <c r="J34"/>
  <c r="K34"/>
  <c r="L34"/>
  <c r="B34"/>
  <c r="J16"/>
  <c r="K16" s="1"/>
  <c r="J17"/>
  <c r="K17" s="1"/>
  <c r="J18"/>
  <c r="K18" s="1"/>
  <c r="J19"/>
  <c r="K19" s="1"/>
  <c r="J20"/>
  <c r="K20" s="1"/>
  <c r="J21"/>
  <c r="K21" s="1"/>
  <c r="J22"/>
  <c r="K22" s="1"/>
  <c r="J23"/>
  <c r="K23" s="1"/>
  <c r="J24"/>
  <c r="K24" s="1"/>
  <c r="J25"/>
  <c r="K25" s="1"/>
  <c r="J26"/>
  <c r="K26" s="1"/>
  <c r="J27"/>
  <c r="K27" s="1"/>
  <c r="J28"/>
  <c r="K28" s="1"/>
  <c r="J29"/>
  <c r="K29" s="1"/>
  <c r="J15"/>
  <c r="K15" s="1"/>
  <c r="J14"/>
  <c r="K14" s="1"/>
  <c r="G30"/>
  <c r="F30"/>
  <c r="E29"/>
  <c r="E28"/>
  <c r="E27"/>
  <c r="E26"/>
  <c r="E25"/>
  <c r="E22"/>
  <c r="E21"/>
  <c r="E20"/>
  <c r="E19"/>
  <c r="E18"/>
  <c r="E17"/>
  <c r="E16"/>
  <c r="E15"/>
  <c r="E14"/>
  <c r="E8"/>
  <c r="D8"/>
  <c r="F7"/>
  <c r="E45" s="1"/>
  <c r="F6"/>
  <c r="F8" s="1"/>
  <c r="E30" l="1"/>
  <c r="E21" i="13"/>
  <c r="H26"/>
  <c r="I26" s="1"/>
  <c r="J26" s="1"/>
  <c r="F26"/>
  <c r="D26"/>
  <c r="C26"/>
  <c r="H25"/>
  <c r="F25"/>
  <c r="D25"/>
  <c r="C25"/>
  <c r="H24"/>
  <c r="I24" s="1"/>
  <c r="J24" s="1"/>
  <c r="F24"/>
  <c r="D24"/>
  <c r="C24"/>
  <c r="C23"/>
  <c r="C18"/>
  <c r="C17"/>
  <c r="C16"/>
  <c r="C15"/>
  <c r="C14"/>
  <c r="C13"/>
  <c r="C9"/>
  <c r="C8"/>
  <c r="C7"/>
  <c r="C6"/>
  <c r="C5"/>
  <c r="C4"/>
  <c r="C3"/>
  <c r="G14"/>
  <c r="D14"/>
  <c r="C95" i="2"/>
  <c r="L25" i="13" l="1"/>
  <c r="I25"/>
  <c r="J25" s="1"/>
  <c r="L24"/>
  <c r="K25"/>
  <c r="K24"/>
  <c r="L26"/>
  <c r="K26"/>
  <c r="D126" i="2"/>
  <c r="E126"/>
  <c r="F126"/>
  <c r="G126"/>
  <c r="H126"/>
  <c r="I126"/>
  <c r="K126"/>
  <c r="L126"/>
  <c r="M126"/>
  <c r="N126"/>
  <c r="D23" i="14" s="1"/>
  <c r="L23" s="1"/>
  <c r="O126" i="2"/>
  <c r="D24" i="14" s="1"/>
  <c r="L24" s="1"/>
  <c r="P126" i="2"/>
  <c r="Q126"/>
  <c r="R126"/>
  <c r="S126"/>
  <c r="T126"/>
  <c r="U126"/>
  <c r="V126"/>
  <c r="W126"/>
  <c r="X126"/>
  <c r="Y126"/>
  <c r="Z126"/>
  <c r="AA126"/>
  <c r="AB126"/>
  <c r="AC126"/>
  <c r="C126"/>
  <c r="E127"/>
  <c r="M8"/>
  <c r="BL129"/>
  <c r="D2" i="13"/>
  <c r="D12" s="1"/>
  <c r="AS124" i="2"/>
  <c r="AV124"/>
  <c r="AS113"/>
  <c r="AV113"/>
  <c r="AS102"/>
  <c r="AV102"/>
  <c r="AS91"/>
  <c r="AV91"/>
  <c r="AS80"/>
  <c r="AV80"/>
  <c r="AS69"/>
  <c r="AV69"/>
  <c r="AS58"/>
  <c r="AV58"/>
  <c r="AS47"/>
  <c r="AV47"/>
  <c r="AS36"/>
  <c r="AV36"/>
  <c r="AS25"/>
  <c r="AV25"/>
  <c r="BJ127"/>
  <c r="F90" i="4" l="1"/>
  <c r="C37"/>
  <c r="BH115" i="2"/>
  <c r="AD115"/>
  <c r="BI115" l="1"/>
  <c r="BK115" s="1"/>
  <c r="BH49" l="1"/>
  <c r="AD49"/>
  <c r="BH104"/>
  <c r="AD104"/>
  <c r="BH93"/>
  <c r="AD93"/>
  <c r="BH82"/>
  <c r="AD82"/>
  <c r="BH71"/>
  <c r="AD71"/>
  <c r="BH60"/>
  <c r="AD60"/>
  <c r="BH38"/>
  <c r="AD38"/>
  <c r="BH27"/>
  <c r="AD27"/>
  <c r="BH16"/>
  <c r="AD16"/>
  <c r="BH5"/>
  <c r="AD5"/>
  <c r="BI82" l="1"/>
  <c r="BK82" s="1"/>
  <c r="BI16"/>
  <c r="BK16" s="1"/>
  <c r="BI93"/>
  <c r="BK93" s="1"/>
  <c r="BI49"/>
  <c r="BK49" s="1"/>
  <c r="BI5"/>
  <c r="BK5" s="1"/>
  <c r="BI71"/>
  <c r="BI60"/>
  <c r="BI27"/>
  <c r="BI38"/>
  <c r="BI104"/>
  <c r="BK104" s="1"/>
  <c r="BK27" l="1"/>
  <c r="BK60"/>
  <c r="BK38"/>
  <c r="E13" i="12"/>
  <c r="F13"/>
  <c r="G5"/>
  <c r="G6"/>
  <c r="G7"/>
  <c r="G13" s="1"/>
  <c r="G8"/>
  <c r="G9"/>
  <c r="G10"/>
  <c r="G11"/>
  <c r="G12"/>
  <c r="G4"/>
  <c r="I44" i="4" l="1"/>
  <c r="BJ95" i="2"/>
  <c r="BJ84"/>
  <c r="BJ73"/>
  <c r="BJ62"/>
  <c r="F44" i="4"/>
  <c r="F43"/>
  <c r="D96" i="2"/>
  <c r="D102" s="1"/>
  <c r="C18"/>
  <c r="D18"/>
  <c r="BJ106" l="1"/>
  <c r="BG106"/>
  <c r="F104" i="4"/>
  <c r="F103"/>
  <c r="F101"/>
  <c r="F100"/>
  <c r="F98"/>
  <c r="F97"/>
  <c r="F96"/>
  <c r="F94"/>
  <c r="F93"/>
  <c r="F92"/>
  <c r="BN84" i="2"/>
  <c r="F102" i="4" l="1"/>
  <c r="F95"/>
  <c r="D21" i="13" s="1"/>
  <c r="AS84" i="2"/>
  <c r="L40"/>
  <c r="BG40"/>
  <c r="AD6"/>
  <c r="BI6" s="1"/>
  <c r="BK6" s="1"/>
  <c r="BH127" l="1"/>
  <c r="K117" i="4"/>
  <c r="L117" s="1"/>
  <c r="K116"/>
  <c r="L116" s="1"/>
  <c r="K115"/>
  <c r="L115" s="1"/>
  <c r="K111"/>
  <c r="L111" s="1"/>
  <c r="K110"/>
  <c r="L110" s="1"/>
  <c r="K109"/>
  <c r="L109" s="1"/>
  <c r="H118"/>
  <c r="H112"/>
  <c r="H107"/>
  <c r="H77"/>
  <c r="H90" s="1"/>
  <c r="H40"/>
  <c r="H32"/>
  <c r="H11"/>
  <c r="BK127" i="2" l="1"/>
  <c r="J77" i="4"/>
  <c r="I90" s="1"/>
  <c r="I107" s="1"/>
  <c r="I77"/>
  <c r="F77"/>
  <c r="I118"/>
  <c r="K118" s="1"/>
  <c r="L118" s="1"/>
  <c r="F118"/>
  <c r="C118"/>
  <c r="M117"/>
  <c r="M116"/>
  <c r="M115"/>
  <c r="I112"/>
  <c r="K112" s="1"/>
  <c r="L112" s="1"/>
  <c r="F112"/>
  <c r="C112"/>
  <c r="M111"/>
  <c r="M110"/>
  <c r="M109"/>
  <c r="F107"/>
  <c r="F105"/>
  <c r="E105"/>
  <c r="C105"/>
  <c r="E102"/>
  <c r="C102"/>
  <c r="F99"/>
  <c r="E99"/>
  <c r="C99"/>
  <c r="E95"/>
  <c r="C95"/>
  <c r="C21" i="13" s="1"/>
  <c r="C85" i="4"/>
  <c r="C74"/>
  <c r="C69"/>
  <c r="C19" i="13" s="1"/>
  <c r="C64" i="4"/>
  <c r="C55"/>
  <c r="C50"/>
  <c r="C28"/>
  <c r="D87"/>
  <c r="B83" i="11"/>
  <c r="B69"/>
  <c r="B64"/>
  <c r="B54"/>
  <c r="B28"/>
  <c r="C28" i="5"/>
  <c r="C7"/>
  <c r="B7" i="11"/>
  <c r="C102" i="5"/>
  <c r="C96"/>
  <c r="C92"/>
  <c r="C109"/>
  <c r="C115"/>
  <c r="E43" i="14" l="1"/>
  <c r="C22" i="13"/>
  <c r="E42" i="14"/>
  <c r="C20" i="13"/>
  <c r="D43" i="14"/>
  <c r="D22" i="13"/>
  <c r="D42" i="14"/>
  <c r="D20" i="13"/>
  <c r="D50" i="4"/>
  <c r="D55"/>
  <c r="D57"/>
  <c r="D44"/>
  <c r="D74"/>
  <c r="D85"/>
  <c r="D95"/>
  <c r="D69"/>
  <c r="D102"/>
  <c r="D118"/>
  <c r="D110"/>
  <c r="D93"/>
  <c r="D97"/>
  <c r="D101"/>
  <c r="D81"/>
  <c r="D79"/>
  <c r="D68"/>
  <c r="D62"/>
  <c r="D54"/>
  <c r="D43"/>
  <c r="D48"/>
  <c r="D35"/>
  <c r="D15"/>
  <c r="D19"/>
  <c r="D23"/>
  <c r="D27"/>
  <c r="D115"/>
  <c r="D109"/>
  <c r="D96"/>
  <c r="D100"/>
  <c r="D104"/>
  <c r="D80"/>
  <c r="D84"/>
  <c r="D72"/>
  <c r="D61"/>
  <c r="D60"/>
  <c r="D47"/>
  <c r="D37"/>
  <c r="D14"/>
  <c r="D18"/>
  <c r="D22"/>
  <c r="D26"/>
  <c r="D5"/>
  <c r="D116"/>
  <c r="D103"/>
  <c r="D83"/>
  <c r="D73"/>
  <c r="D67"/>
  <c r="D53"/>
  <c r="D46"/>
  <c r="D42"/>
  <c r="D34"/>
  <c r="D17"/>
  <c r="D21"/>
  <c r="D25"/>
  <c r="D6"/>
  <c r="D117"/>
  <c r="D111"/>
  <c r="D94"/>
  <c r="D98"/>
  <c r="D92"/>
  <c r="D82"/>
  <c r="D63"/>
  <c r="D45"/>
  <c r="D49"/>
  <c r="D36"/>
  <c r="D16"/>
  <c r="D20"/>
  <c r="D24"/>
  <c r="D13"/>
  <c r="D64"/>
  <c r="D99"/>
  <c r="D105"/>
  <c r="D112"/>
  <c r="M118"/>
  <c r="M112"/>
  <c r="AB118" i="2"/>
  <c r="AB124" s="1"/>
  <c r="AB117"/>
  <c r="AB107"/>
  <c r="AB113" s="1"/>
  <c r="AB106"/>
  <c r="AB96"/>
  <c r="AB95"/>
  <c r="AB85"/>
  <c r="AB84"/>
  <c r="AB74"/>
  <c r="AB80" s="1"/>
  <c r="AB73"/>
  <c r="AB63"/>
  <c r="AB62"/>
  <c r="AB52"/>
  <c r="AB51"/>
  <c r="AB41"/>
  <c r="AB47" s="1"/>
  <c r="AB40"/>
  <c r="AB30"/>
  <c r="AB36" s="1"/>
  <c r="AB29"/>
  <c r="AB19"/>
  <c r="AB25" s="1"/>
  <c r="AB18"/>
  <c r="AB127"/>
  <c r="AB8"/>
  <c r="AB14" s="1"/>
  <c r="AB7"/>
  <c r="BG126"/>
  <c r="AB57" l="1"/>
  <c r="AB58"/>
  <c r="AB101"/>
  <c r="AB102"/>
  <c r="AB68"/>
  <c r="AB69"/>
  <c r="AB90"/>
  <c r="AB91"/>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D12" i="14" s="1"/>
  <c r="D34" s="1"/>
  <c r="J3" i="4"/>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K100" s="1"/>
  <c r="L100" s="1"/>
  <c r="AC36" i="2"/>
  <c r="I101" i="4"/>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D29" i="14" s="1"/>
  <c r="L29" s="1"/>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F42" i="4" l="1"/>
  <c r="D13" i="13" s="1"/>
  <c r="I102" i="4"/>
  <c r="K102" s="1"/>
  <c r="L102" s="1"/>
  <c r="M100"/>
  <c r="I27" i="11"/>
  <c r="Q27" s="1"/>
  <c r="R27" s="1"/>
  <c r="K101" i="4"/>
  <c r="L101" s="1"/>
  <c r="M101"/>
  <c r="C27" i="11"/>
  <c r="H27" i="4"/>
  <c r="AV21" i="2"/>
  <c r="AS21"/>
  <c r="AC21"/>
  <c r="AC130"/>
  <c r="AC131" s="1"/>
  <c r="AC134"/>
  <c r="D27" i="5"/>
  <c r="I27"/>
  <c r="M27" s="1"/>
  <c r="J27" i="4"/>
  <c r="AC132" i="2"/>
  <c r="AC133" s="1"/>
  <c r="I42" i="4"/>
  <c r="I50" l="1"/>
  <c r="G13" i="13"/>
  <c r="M102" i="4"/>
  <c r="O27" i="11"/>
  <c r="K27"/>
  <c r="L27" s="1"/>
  <c r="M27"/>
  <c r="N27" s="1"/>
  <c r="M27" i="4"/>
  <c r="N27" s="1"/>
  <c r="K27"/>
  <c r="L27" s="1"/>
  <c r="O27"/>
  <c r="K27" i="5"/>
  <c r="L27" s="1"/>
  <c r="F50" i="4"/>
  <c r="I84"/>
  <c r="G23" i="13" s="1"/>
  <c r="BH126" i="2" l="1"/>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14"/>
  <c r="L8"/>
  <c r="L14" s="1"/>
  <c r="K8"/>
  <c r="K14" s="1"/>
  <c r="J8"/>
  <c r="J14" s="1"/>
  <c r="I8"/>
  <c r="I14" s="1"/>
  <c r="H8"/>
  <c r="H14" s="1"/>
  <c r="G8"/>
  <c r="G14" s="1"/>
  <c r="F8"/>
  <c r="F14" s="1"/>
  <c r="E8"/>
  <c r="E14" s="1"/>
  <c r="D8"/>
  <c r="D14" s="1"/>
  <c r="C8"/>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C14" l="1"/>
  <c r="C13"/>
  <c r="AO14"/>
  <c r="AO129"/>
  <c r="AO130" s="1"/>
  <c r="AO80"/>
  <c r="AO79"/>
  <c r="R69"/>
  <c r="R68"/>
  <c r="C112"/>
  <c r="C113"/>
  <c r="J44" i="4"/>
  <c r="K44" s="1"/>
  <c r="L44" s="1"/>
  <c r="AP91" i="2"/>
  <c r="D57"/>
  <c r="D58"/>
  <c r="I92" i="4"/>
  <c r="W36" i="2"/>
  <c r="I98" i="4"/>
  <c r="AQ58" i="2"/>
  <c r="I93" i="4"/>
  <c r="M93" s="1"/>
  <c r="V47" i="2"/>
  <c r="I103" i="4"/>
  <c r="M103" s="1"/>
  <c r="BB36" i="2"/>
  <c r="I94" i="4"/>
  <c r="M94" s="1"/>
  <c r="V58" i="2"/>
  <c r="I104" i="4"/>
  <c r="M104" s="1"/>
  <c r="BB47" i="2"/>
  <c r="J49" i="4"/>
  <c r="J67"/>
  <c r="O67" s="1"/>
  <c r="I96"/>
  <c r="I97"/>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Q79"/>
  <c r="AT79"/>
  <c r="AW79"/>
  <c r="AY79"/>
  <c r="BA79"/>
  <c r="BC79"/>
  <c r="BE79"/>
  <c r="BG79"/>
  <c r="D68"/>
  <c r="F68"/>
  <c r="H68"/>
  <c r="J68"/>
  <c r="L68"/>
  <c r="N68"/>
  <c r="P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I63"/>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AQ84" i="2"/>
  <c r="AQ88" s="1"/>
  <c r="AQ89" s="1"/>
  <c r="AP84"/>
  <c r="AO84"/>
  <c r="AO88" s="1"/>
  <c r="AO89" s="1"/>
  <c r="AN84"/>
  <c r="AN88" s="1"/>
  <c r="AN89" s="1"/>
  <c r="AM84"/>
  <c r="H49" i="4" s="1"/>
  <c r="F14" i="13"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5"/>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H103" i="4" s="1"/>
  <c r="BA29" i="2"/>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O49" i="4" l="1"/>
  <c r="H14" i="13"/>
  <c r="K14" s="1"/>
  <c r="BH69" i="2"/>
  <c r="BH68"/>
  <c r="M45" i="4"/>
  <c r="N45" s="1"/>
  <c r="O44"/>
  <c r="I99"/>
  <c r="I42" i="14" s="1"/>
  <c r="L42" s="1"/>
  <c r="I95" i="4"/>
  <c r="I105"/>
  <c r="I43" i="14" s="1"/>
  <c r="L43"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73" i="4"/>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H23" i="13" l="1"/>
  <c r="I23" s="1"/>
  <c r="J23" s="1"/>
  <c r="I44" i="14"/>
  <c r="O42" i="4"/>
  <c r="H13" i="13"/>
  <c r="M95" i="4"/>
  <c r="H21" i="13"/>
  <c r="M105" i="4"/>
  <c r="H22" i="13"/>
  <c r="M99" i="4"/>
  <c r="H20" i="13"/>
  <c r="L14"/>
  <c r="I14"/>
  <c r="J14" s="1"/>
  <c r="K82" i="11"/>
  <c r="L82" s="1"/>
  <c r="BH134" i="2"/>
  <c r="H105" i="4"/>
  <c r="H43" i="14" s="1"/>
  <c r="J43" s="1"/>
  <c r="K43" s="1"/>
  <c r="K97" i="4"/>
  <c r="L97" s="1"/>
  <c r="H99"/>
  <c r="H42" i="14" s="1"/>
  <c r="J42" s="1"/>
  <c r="K42" s="1"/>
  <c r="H74" i="4"/>
  <c r="M74" s="1"/>
  <c r="N74" s="1"/>
  <c r="K103"/>
  <c r="L103" s="1"/>
  <c r="H95"/>
  <c r="K92"/>
  <c r="H42"/>
  <c r="F13" i="13" s="1"/>
  <c r="K13" s="1"/>
  <c r="M64" i="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L20" i="13" l="1"/>
  <c r="I20"/>
  <c r="J20" s="1"/>
  <c r="L22"/>
  <c r="I22"/>
  <c r="J22" s="1"/>
  <c r="L21"/>
  <c r="I21"/>
  <c r="J21" s="1"/>
  <c r="L13"/>
  <c r="I13"/>
  <c r="J13" s="1"/>
  <c r="K99" i="4"/>
  <c r="L99" s="1"/>
  <c r="F20" i="13"/>
  <c r="K20" s="1"/>
  <c r="K105" i="4"/>
  <c r="L105" s="1"/>
  <c r="F22" i="13"/>
  <c r="K22" s="1"/>
  <c r="K95" i="4"/>
  <c r="L95" s="1"/>
  <c r="F21" i="13"/>
  <c r="K21" s="1"/>
  <c r="C82" i="11"/>
  <c r="M82" s="1"/>
  <c r="N82" s="1"/>
  <c r="H84" i="4"/>
  <c r="H44" i="14" s="1"/>
  <c r="J44" s="1"/>
  <c r="K44" s="1"/>
  <c r="H50" i="4"/>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M84" l="1"/>
  <c r="N84" s="1"/>
  <c r="F23" i="13"/>
  <c r="K23" s="1"/>
  <c r="BK76" i="2"/>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P129"/>
  <c r="AN129"/>
  <c r="AM129"/>
  <c r="AL129"/>
  <c r="AK129"/>
  <c r="J53" i="4" s="1"/>
  <c r="H16" i="13" s="1"/>
  <c r="AJ129" i="2"/>
  <c r="AI129"/>
  <c r="AH129"/>
  <c r="AG129"/>
  <c r="AF129"/>
  <c r="AE129"/>
  <c r="AA129"/>
  <c r="Z129"/>
  <c r="Y129"/>
  <c r="X129"/>
  <c r="W129"/>
  <c r="V129"/>
  <c r="T129"/>
  <c r="S129"/>
  <c r="R129"/>
  <c r="Q129"/>
  <c r="P129"/>
  <c r="O129"/>
  <c r="N129"/>
  <c r="M129"/>
  <c r="L129"/>
  <c r="K129"/>
  <c r="J129"/>
  <c r="I129"/>
  <c r="I135" s="1"/>
  <c r="H129"/>
  <c r="G129"/>
  <c r="F129"/>
  <c r="E129"/>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D127"/>
  <c r="H14" i="11" s="1"/>
  <c r="C127" i="2"/>
  <c r="BJ126"/>
  <c r="BF126"/>
  <c r="F81" i="11" s="1"/>
  <c r="BE126" i="2"/>
  <c r="BD126"/>
  <c r="F80" i="11" s="1"/>
  <c r="BC126" i="2"/>
  <c r="F79" i="11" s="1"/>
  <c r="BB126" i="2"/>
  <c r="BA126"/>
  <c r="AZ126"/>
  <c r="AY126"/>
  <c r="AX126"/>
  <c r="AW126"/>
  <c r="AV126"/>
  <c r="AV135" s="1"/>
  <c r="AU126"/>
  <c r="AT126"/>
  <c r="AS126"/>
  <c r="AS135" s="1"/>
  <c r="AR126"/>
  <c r="AQ126"/>
  <c r="AP126"/>
  <c r="AO126"/>
  <c r="AN126"/>
  <c r="AM126"/>
  <c r="AL126"/>
  <c r="AK126"/>
  <c r="AJ126"/>
  <c r="F36" i="11" s="1"/>
  <c r="AI126" i="2"/>
  <c r="AH126"/>
  <c r="AG126"/>
  <c r="F35" i="11" s="1"/>
  <c r="AF126" i="2"/>
  <c r="AE126"/>
  <c r="F26" i="11"/>
  <c r="F25"/>
  <c r="F24"/>
  <c r="Q24" s="1"/>
  <c r="R24" s="1"/>
  <c r="F23"/>
  <c r="F22"/>
  <c r="F21"/>
  <c r="F20"/>
  <c r="F19"/>
  <c r="F18"/>
  <c r="F17"/>
  <c r="F16"/>
  <c r="F15"/>
  <c r="Q15" s="1"/>
  <c r="R15" s="1"/>
  <c r="F14"/>
  <c r="BK9" i="2"/>
  <c r="AH135" l="1"/>
  <c r="AI135"/>
  <c r="AT135"/>
  <c r="BA135"/>
  <c r="BE135"/>
  <c r="Z135"/>
  <c r="X135"/>
  <c r="E135"/>
  <c r="S135"/>
  <c r="AZ135"/>
  <c r="AU135"/>
  <c r="AR135"/>
  <c r="H135"/>
  <c r="Q135"/>
  <c r="M135"/>
  <c r="AQ135"/>
  <c r="V135"/>
  <c r="BB135"/>
  <c r="AG135"/>
  <c r="AW135"/>
  <c r="BJ135"/>
  <c r="BF135"/>
  <c r="BD135"/>
  <c r="BC135"/>
  <c r="AY135"/>
  <c r="AX135"/>
  <c r="AN135"/>
  <c r="AM135"/>
  <c r="AJ135"/>
  <c r="AF135"/>
  <c r="AA135"/>
  <c r="Y135"/>
  <c r="W135"/>
  <c r="K135"/>
  <c r="R135"/>
  <c r="P135"/>
  <c r="O135"/>
  <c r="N135"/>
  <c r="L135"/>
  <c r="J135"/>
  <c r="G135"/>
  <c r="F135"/>
  <c r="D135"/>
  <c r="C135"/>
  <c r="T135"/>
  <c r="AP135"/>
  <c r="AE135"/>
  <c r="F56" i="11"/>
  <c r="AO135" i="2"/>
  <c r="F53" i="11"/>
  <c r="AL135" i="2"/>
  <c r="F52" i="11"/>
  <c r="AK135" i="2"/>
  <c r="I19" i="11"/>
  <c r="Q19" s="1"/>
  <c r="I15"/>
  <c r="I22"/>
  <c r="Q22" s="1"/>
  <c r="R22" s="1"/>
  <c r="I26"/>
  <c r="Q26" s="1"/>
  <c r="R26" s="1"/>
  <c r="I35"/>
  <c r="Q35" s="1"/>
  <c r="R35" s="1"/>
  <c r="I52"/>
  <c r="Q52" s="1"/>
  <c r="I56"/>
  <c r="Q56" s="1"/>
  <c r="I77"/>
  <c r="Q77" s="1"/>
  <c r="I14"/>
  <c r="Q14" s="1"/>
  <c r="R14" s="1"/>
  <c r="I21"/>
  <c r="Q21" s="1"/>
  <c r="R21" s="1"/>
  <c r="I23"/>
  <c r="Q23" s="1"/>
  <c r="R23" s="1"/>
  <c r="I25"/>
  <c r="Q25" s="1"/>
  <c r="R25" s="1"/>
  <c r="I36"/>
  <c r="Q36" s="1"/>
  <c r="R36" s="1"/>
  <c r="I80"/>
  <c r="Q80" s="1"/>
  <c r="R80" s="1"/>
  <c r="I18"/>
  <c r="Q18" s="1"/>
  <c r="R18" s="1"/>
  <c r="I13"/>
  <c r="Q13" s="1"/>
  <c r="I17"/>
  <c r="Q17" s="1"/>
  <c r="R17" s="1"/>
  <c r="I20"/>
  <c r="Q20" s="1"/>
  <c r="R20" s="1"/>
  <c r="I24"/>
  <c r="K24" s="1"/>
  <c r="L24" s="1"/>
  <c r="I79"/>
  <c r="Q79" s="1"/>
  <c r="R79" s="1"/>
  <c r="I16"/>
  <c r="Q16" s="1"/>
  <c r="R16" s="1"/>
  <c r="I53"/>
  <c r="Q53" s="1"/>
  <c r="J68" i="4"/>
  <c r="K68" s="1"/>
  <c r="I78" i="11"/>
  <c r="Q78" s="1"/>
  <c r="I81"/>
  <c r="Q81" s="1"/>
  <c r="R81" s="1"/>
  <c r="F68"/>
  <c r="F69" s="1"/>
  <c r="F68" i="4"/>
  <c r="F69" s="1"/>
  <c r="D19" i="13" s="1"/>
  <c r="I68" i="11"/>
  <c r="Q68" s="1"/>
  <c r="F77"/>
  <c r="F78"/>
  <c r="K19"/>
  <c r="L19" s="1"/>
  <c r="BM21" i="2"/>
  <c r="H34" i="11"/>
  <c r="R19"/>
  <c r="BK10" i="2"/>
  <c r="BM9"/>
  <c r="BM10" s="1"/>
  <c r="I34" i="11"/>
  <c r="Q34" s="1"/>
  <c r="BK89" i="2"/>
  <c r="BM88"/>
  <c r="BM89" s="1"/>
  <c r="BK122"/>
  <c r="BM121"/>
  <c r="BM122" s="1"/>
  <c r="BK78"/>
  <c r="BM77"/>
  <c r="BM78" s="1"/>
  <c r="G13" i="5"/>
  <c r="F13" i="11"/>
  <c r="BG134" i="2"/>
  <c r="F82" i="11"/>
  <c r="H13"/>
  <c r="AD127" i="2"/>
  <c r="I15" i="4"/>
  <c r="H15" i="11"/>
  <c r="I17" i="4"/>
  <c r="H17" i="11"/>
  <c r="I22" i="4"/>
  <c r="G6" i="13" s="1"/>
  <c r="H22" i="11"/>
  <c r="I35" i="4"/>
  <c r="G15" i="13" s="1"/>
  <c r="H35" i="11"/>
  <c r="I53" i="4"/>
  <c r="G16" i="13" s="1"/>
  <c r="I16" s="1"/>
  <c r="J16" s="1"/>
  <c r="H52" i="11"/>
  <c r="I57" i="4"/>
  <c r="G18" i="13" s="1"/>
  <c r="H56" i="11"/>
  <c r="I79" i="4"/>
  <c r="H77" i="11"/>
  <c r="I81" i="4"/>
  <c r="H79" i="11"/>
  <c r="O14"/>
  <c r="F34"/>
  <c r="I16" i="4"/>
  <c r="H16" i="11"/>
  <c r="I36" i="4"/>
  <c r="H36" i="11"/>
  <c r="I54" i="4"/>
  <c r="G17" i="13" s="1"/>
  <c r="H53" i="11"/>
  <c r="I69" i="4"/>
  <c r="G19" i="13" s="1"/>
  <c r="H68" i="11"/>
  <c r="I80" i="4"/>
  <c r="H78" i="11"/>
  <c r="I82" i="4"/>
  <c r="H80" i="11"/>
  <c r="I83" i="4"/>
  <c r="H81" i="11"/>
  <c r="O15"/>
  <c r="O22"/>
  <c r="Y134" i="2"/>
  <c r="AF134"/>
  <c r="AJ134"/>
  <c r="AN134"/>
  <c r="AR134"/>
  <c r="AV134"/>
  <c r="AZ134"/>
  <c r="BD134"/>
  <c r="F134"/>
  <c r="N134"/>
  <c r="R134"/>
  <c r="W134"/>
  <c r="AA134"/>
  <c r="AH134"/>
  <c r="AL134"/>
  <c r="AP134"/>
  <c r="AT134"/>
  <c r="AX134"/>
  <c r="BB134"/>
  <c r="BF134"/>
  <c r="AD126"/>
  <c r="F5" i="4" s="1"/>
  <c r="C6" i="14" s="1"/>
  <c r="D30" s="1"/>
  <c r="C134" i="2"/>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H6" i="13" s="1"/>
  <c r="I26" i="5"/>
  <c r="J26" i="4"/>
  <c r="I35" i="5"/>
  <c r="J35" i="4"/>
  <c r="I52" i="5"/>
  <c r="I80"/>
  <c r="J82" i="4"/>
  <c r="G36" i="5"/>
  <c r="F36" i="4"/>
  <c r="G79" i="5"/>
  <c r="F81" i="4"/>
  <c r="G82" i="5"/>
  <c r="M82" s="1"/>
  <c r="F84" i="4"/>
  <c r="G35" i="5"/>
  <c r="F35" i="4"/>
  <c r="G52" i="5"/>
  <c r="F53" i="4"/>
  <c r="G80" i="5"/>
  <c r="F82" i="4"/>
  <c r="G53" i="5"/>
  <c r="F54" i="4"/>
  <c r="G56" i="5"/>
  <c r="F57" i="4"/>
  <c r="G77" i="5"/>
  <c r="F79" i="4"/>
  <c r="G34" i="5"/>
  <c r="F34" i="4"/>
  <c r="G68" i="5"/>
  <c r="G69" s="1"/>
  <c r="G78"/>
  <c r="F80" i="4"/>
  <c r="G81" i="5"/>
  <c r="F83" i="4"/>
  <c r="G16" i="5"/>
  <c r="F16" i="4"/>
  <c r="D17" i="14" s="1"/>
  <c r="L17" s="1"/>
  <c r="F18" i="4"/>
  <c r="G18" i="5"/>
  <c r="G15"/>
  <c r="F15" i="4"/>
  <c r="D16" i="14" s="1"/>
  <c r="L16" s="1"/>
  <c r="G22" i="5"/>
  <c r="F22" i="4"/>
  <c r="G26" i="5"/>
  <c r="F26" i="4"/>
  <c r="D28" i="14" s="1"/>
  <c r="L28" s="1"/>
  <c r="F19" i="4"/>
  <c r="G19" i="5"/>
  <c r="G17"/>
  <c r="F17" i="4"/>
  <c r="D18" i="14" s="1"/>
  <c r="L18" s="1"/>
  <c r="F20" i="4"/>
  <c r="G20" i="5"/>
  <c r="F24" i="4"/>
  <c r="G24" i="5"/>
  <c r="F14" i="4"/>
  <c r="D15" i="14" s="1"/>
  <c r="L15" s="1"/>
  <c r="G14" i="5"/>
  <c r="F21" i="4"/>
  <c r="G21" i="5"/>
  <c r="F23" i="4"/>
  <c r="G23" i="5"/>
  <c r="F25" i="4"/>
  <c r="G25" i="5"/>
  <c r="F13" i="4"/>
  <c r="D14" i="14" s="1"/>
  <c r="L14" s="1"/>
  <c r="C130" i="2"/>
  <c r="C131" s="1"/>
  <c r="I13" i="4"/>
  <c r="F130" i="2"/>
  <c r="F131" s="1"/>
  <c r="J130"/>
  <c r="J131" s="1"/>
  <c r="I19" i="4"/>
  <c r="G3" i="13" s="1"/>
  <c r="N130" i="2"/>
  <c r="N131" s="1"/>
  <c r="R130"/>
  <c r="R131" s="1"/>
  <c r="W130"/>
  <c r="W131" s="1"/>
  <c r="AA130"/>
  <c r="AA131" s="1"/>
  <c r="AH130"/>
  <c r="AH131" s="1"/>
  <c r="AL130"/>
  <c r="AL131" s="1"/>
  <c r="AO131"/>
  <c r="AS130"/>
  <c r="AS131" s="1"/>
  <c r="AW130"/>
  <c r="AW131" s="1"/>
  <c r="BA130"/>
  <c r="BA131" s="1"/>
  <c r="BD130"/>
  <c r="BD131" s="1"/>
  <c r="J13" i="4"/>
  <c r="J20"/>
  <c r="H4" i="13" s="1"/>
  <c r="J24" i="4"/>
  <c r="H8" i="13" s="1"/>
  <c r="S130" i="2"/>
  <c r="S131" s="1"/>
  <c r="I24" i="4"/>
  <c r="G8" i="13" s="1"/>
  <c r="I8" s="1"/>
  <c r="J8" s="1"/>
  <c r="J14" i="4"/>
  <c r="J18"/>
  <c r="J21"/>
  <c r="H5" i="13" s="1"/>
  <c r="J23" i="4"/>
  <c r="H7" i="13" s="1"/>
  <c r="J25" i="4"/>
  <c r="H9" i="13" s="1"/>
  <c r="K130" i="2"/>
  <c r="K131" s="1"/>
  <c r="I20" i="4"/>
  <c r="G4" i="13" s="1"/>
  <c r="I4" s="1"/>
  <c r="J4" s="1"/>
  <c r="D130" i="2"/>
  <c r="D131" s="1"/>
  <c r="I14" i="4"/>
  <c r="H130" i="2"/>
  <c r="H131" s="1"/>
  <c r="I18" i="4"/>
  <c r="L130" i="2"/>
  <c r="L131" s="1"/>
  <c r="I21" i="4"/>
  <c r="G5" i="13" s="1"/>
  <c r="I5" s="1"/>
  <c r="J5" s="1"/>
  <c r="P130" i="2"/>
  <c r="P131" s="1"/>
  <c r="I23" i="4"/>
  <c r="G7" i="13" s="1"/>
  <c r="T130" i="2"/>
  <c r="T131" s="1"/>
  <c r="I25" i="4"/>
  <c r="G9" i="13" s="1"/>
  <c r="I9" s="1"/>
  <c r="J9" s="1"/>
  <c r="Y130" i="2"/>
  <c r="Y131" s="1"/>
  <c r="AF130"/>
  <c r="AF131" s="1"/>
  <c r="AJ130"/>
  <c r="AJ131" s="1"/>
  <c r="AM130"/>
  <c r="AM131" s="1"/>
  <c r="AQ130"/>
  <c r="AQ131" s="1"/>
  <c r="AU130"/>
  <c r="AU131" s="1"/>
  <c r="AY130"/>
  <c r="AY131" s="1"/>
  <c r="BB130"/>
  <c r="BB131" s="1"/>
  <c r="BF130"/>
  <c r="BF131" s="1"/>
  <c r="AV132"/>
  <c r="AV133" s="1"/>
  <c r="AK130"/>
  <c r="AK131" s="1"/>
  <c r="AN130"/>
  <c r="AN131" s="1"/>
  <c r="J19" i="4"/>
  <c r="H3" i="13" s="1"/>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F6" i="13" s="1"/>
  <c r="V128" i="2"/>
  <c r="H26" i="4"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O84" l="1"/>
  <c r="D44" i="14"/>
  <c r="L44" s="1"/>
  <c r="D23" i="13"/>
  <c r="L23" s="1"/>
  <c r="D41" i="14"/>
  <c r="D18" i="13"/>
  <c r="D38" i="14"/>
  <c r="D17" i="13"/>
  <c r="D37" i="14"/>
  <c r="L37" s="1"/>
  <c r="D16" i="13"/>
  <c r="L16" s="1"/>
  <c r="D36" i="14"/>
  <c r="D15" i="13"/>
  <c r="D22" i="14"/>
  <c r="L22" s="1"/>
  <c r="D6" i="13"/>
  <c r="E6" s="1"/>
  <c r="D27" i="14"/>
  <c r="L27" s="1"/>
  <c r="D9" i="13"/>
  <c r="E9" s="1"/>
  <c r="D25" i="14"/>
  <c r="L25" s="1"/>
  <c r="D7" i="13"/>
  <c r="E7" s="1"/>
  <c r="D21" i="14"/>
  <c r="L21" s="1"/>
  <c r="D5" i="13"/>
  <c r="E5" s="1"/>
  <c r="D26" i="14"/>
  <c r="L26" s="1"/>
  <c r="D8" i="13"/>
  <c r="E8" s="1"/>
  <c r="D20" i="14"/>
  <c r="L20" s="1"/>
  <c r="D4" i="13"/>
  <c r="E4" s="1"/>
  <c r="D19" i="14"/>
  <c r="L19" s="1"/>
  <c r="D3" i="13"/>
  <c r="E3" s="1"/>
  <c r="L3"/>
  <c r="L7"/>
  <c r="L8"/>
  <c r="L6"/>
  <c r="L9"/>
  <c r="L5"/>
  <c r="L4"/>
  <c r="H15"/>
  <c r="L15" s="1"/>
  <c r="I36" i="14"/>
  <c r="L36" s="1"/>
  <c r="H18" i="13"/>
  <c r="L18" s="1"/>
  <c r="I41" i="14"/>
  <c r="L41" s="1"/>
  <c r="H17" i="13"/>
  <c r="L17" s="1"/>
  <c r="I38" i="14"/>
  <c r="L38" s="1"/>
  <c r="F15" i="13"/>
  <c r="H36" i="14"/>
  <c r="J36" s="1"/>
  <c r="K36" s="1"/>
  <c r="I3" i="13"/>
  <c r="J3" s="1"/>
  <c r="I15"/>
  <c r="J15" s="1"/>
  <c r="I6"/>
  <c r="J6" s="1"/>
  <c r="K6"/>
  <c r="I7"/>
  <c r="J7" s="1"/>
  <c r="O34" i="4"/>
  <c r="O35" i="11"/>
  <c r="O19"/>
  <c r="K56"/>
  <c r="L56" s="1"/>
  <c r="K35"/>
  <c r="L35" s="1"/>
  <c r="AD135" i="2"/>
  <c r="O26" i="11"/>
  <c r="K22"/>
  <c r="L22" s="1"/>
  <c r="M26" i="4"/>
  <c r="N26" s="1"/>
  <c r="O23" i="11"/>
  <c r="O56"/>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R28" s="1"/>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M14" s="1"/>
  <c r="N14" s="1"/>
  <c r="H14" i="4"/>
  <c r="M14" s="1"/>
  <c r="N14" s="1"/>
  <c r="C53" i="11"/>
  <c r="M53" s="1"/>
  <c r="N53" s="1"/>
  <c r="H54" i="4"/>
  <c r="H38" i="14" s="1"/>
  <c r="C25" i="11"/>
  <c r="H25" i="4"/>
  <c r="C21" i="11"/>
  <c r="M21" s="1"/>
  <c r="N21" s="1"/>
  <c r="H21" i="4"/>
  <c r="H69"/>
  <c r="F19" i="13" s="1"/>
  <c r="M68" i="4"/>
  <c r="N68" s="1"/>
  <c r="C18" i="11"/>
  <c r="H18" i="4"/>
  <c r="M18" s="1"/>
  <c r="N18" s="1"/>
  <c r="C52" i="11"/>
  <c r="M52" s="1"/>
  <c r="N52" s="1"/>
  <c r="H53" i="4"/>
  <c r="F16" i="13" s="1"/>
  <c r="K16" s="1"/>
  <c r="C19" i="11"/>
  <c r="M19" s="1"/>
  <c r="N19" s="1"/>
  <c r="H19" i="4"/>
  <c r="H85"/>
  <c r="M79"/>
  <c r="N79" s="1"/>
  <c r="C23" i="11"/>
  <c r="M23" s="1"/>
  <c r="N23" s="1"/>
  <c r="H23" i="4"/>
  <c r="C13" i="11"/>
  <c r="M13" s="1"/>
  <c r="N13" s="1"/>
  <c r="H13" i="4"/>
  <c r="C24" i="11"/>
  <c r="M24" s="1"/>
  <c r="N24" s="1"/>
  <c r="H24" i="4"/>
  <c r="C20" i="11"/>
  <c r="M20" s="1"/>
  <c r="N20" s="1"/>
  <c r="H20" i="4"/>
  <c r="C56" i="11"/>
  <c r="M56" s="1"/>
  <c r="N56" s="1"/>
  <c r="H57" i="4"/>
  <c r="H41" i="14" s="1"/>
  <c r="O16" i="4"/>
  <c r="O25"/>
  <c r="O54"/>
  <c r="O36"/>
  <c r="O83"/>
  <c r="O18"/>
  <c r="O13"/>
  <c r="O79"/>
  <c r="O81"/>
  <c r="O57"/>
  <c r="O19"/>
  <c r="O35"/>
  <c r="O15"/>
  <c r="O68"/>
  <c r="O82"/>
  <c r="O26"/>
  <c r="O80"/>
  <c r="O17"/>
  <c r="O53"/>
  <c r="O22"/>
  <c r="I37"/>
  <c r="I5" i="11"/>
  <c r="K16" i="4"/>
  <c r="K81"/>
  <c r="K80"/>
  <c r="K17"/>
  <c r="K57"/>
  <c r="O13" i="11"/>
  <c r="K34"/>
  <c r="L34" s="1"/>
  <c r="I55" i="4"/>
  <c r="K54"/>
  <c r="F83" i="11"/>
  <c r="R82"/>
  <c r="I85" i="4"/>
  <c r="Q37" i="1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M18"/>
  <c r="N18" s="1"/>
  <c r="D26" i="5"/>
  <c r="K26" s="1"/>
  <c r="L26" s="1"/>
  <c r="C26" i="11"/>
  <c r="D80" i="5"/>
  <c r="K80" s="1"/>
  <c r="L80" s="1"/>
  <c r="C80" i="11"/>
  <c r="D36" i="5"/>
  <c r="K36" s="1"/>
  <c r="L36" s="1"/>
  <c r="C36" i="11"/>
  <c r="D81" i="5"/>
  <c r="K81" s="1"/>
  <c r="L81" s="1"/>
  <c r="C81" i="11"/>
  <c r="BI126" i="2"/>
  <c r="F5" i="11"/>
  <c r="F37"/>
  <c r="H28"/>
  <c r="K13"/>
  <c r="L13" s="1"/>
  <c r="M25"/>
  <c r="N25" s="1"/>
  <c r="D16" i="5"/>
  <c r="K16" s="1"/>
  <c r="L16" s="1"/>
  <c r="C16" i="11"/>
  <c r="D77" i="5"/>
  <c r="C77" i="11"/>
  <c r="D79" i="5"/>
  <c r="K79" s="1"/>
  <c r="L79" s="1"/>
  <c r="C79" i="11"/>
  <c r="D22" i="5"/>
  <c r="K22" s="1"/>
  <c r="L22" s="1"/>
  <c r="C22" i="11"/>
  <c r="D35" i="5"/>
  <c r="K35" s="1"/>
  <c r="L35" s="1"/>
  <c r="C35" i="11"/>
  <c r="H69"/>
  <c r="K68"/>
  <c r="L68" s="1"/>
  <c r="K77"/>
  <c r="L77" s="1"/>
  <c r="H83"/>
  <c r="H54"/>
  <c r="K52"/>
  <c r="L52" s="1"/>
  <c r="H5"/>
  <c r="O82"/>
  <c r="H37"/>
  <c r="M24" i="5"/>
  <c r="M23"/>
  <c r="M14"/>
  <c r="M20"/>
  <c r="M19"/>
  <c r="M18"/>
  <c r="M21"/>
  <c r="BI129" i="2"/>
  <c r="AD134"/>
  <c r="I5" i="5"/>
  <c r="D13"/>
  <c r="K13" s="1"/>
  <c r="L13" s="1"/>
  <c r="AD128" i="2"/>
  <c r="H5" i="4" s="1"/>
  <c r="G6" i="14" s="1"/>
  <c r="F37" i="4"/>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H19" i="13" s="1"/>
  <c r="L19" s="1"/>
  <c r="J55" i="4"/>
  <c r="K53"/>
  <c r="J85"/>
  <c r="K79"/>
  <c r="L79" s="1"/>
  <c r="J37"/>
  <c r="K34"/>
  <c r="I54" i="5"/>
  <c r="I83"/>
  <c r="I37"/>
  <c r="G83"/>
  <c r="G54"/>
  <c r="F85" i="4"/>
  <c r="F55"/>
  <c r="F28"/>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K28" i="11" l="1"/>
  <c r="L28" s="1"/>
  <c r="Q85"/>
  <c r="K15" i="13"/>
  <c r="I18"/>
  <c r="J18" s="1"/>
  <c r="J41" i="14"/>
  <c r="K41" s="1"/>
  <c r="J38"/>
  <c r="K38" s="1"/>
  <c r="O5" i="4"/>
  <c r="H6" i="14"/>
  <c r="K5" i="4"/>
  <c r="L5" s="1"/>
  <c r="I17" i="13"/>
  <c r="J17" s="1"/>
  <c r="H30" i="14"/>
  <c r="I6"/>
  <c r="J6" s="1"/>
  <c r="K19" i="13"/>
  <c r="I19"/>
  <c r="J19" s="1"/>
  <c r="M57" i="4"/>
  <c r="N57" s="1"/>
  <c r="F18" i="13"/>
  <c r="K18" s="1"/>
  <c r="M20" i="4"/>
  <c r="N20" s="1"/>
  <c r="F4" i="13"/>
  <c r="K4" s="1"/>
  <c r="M24" i="4"/>
  <c r="N24" s="1"/>
  <c r="F8" i="13"/>
  <c r="K8" s="1"/>
  <c r="M23" i="4"/>
  <c r="N23" s="1"/>
  <c r="F7" i="13"/>
  <c r="K7" s="1"/>
  <c r="M19" i="4"/>
  <c r="N19" s="1"/>
  <c r="F3" i="13"/>
  <c r="K3" s="1"/>
  <c r="M21" i="4"/>
  <c r="N21" s="1"/>
  <c r="F5" i="13"/>
  <c r="K5" s="1"/>
  <c r="M25" i="4"/>
  <c r="N25" s="1"/>
  <c r="F9" i="13"/>
  <c r="K9" s="1"/>
  <c r="M54" i="4"/>
  <c r="N54" s="1"/>
  <c r="F17" i="13"/>
  <c r="K17" s="1"/>
  <c r="K69" i="11"/>
  <c r="L69" s="1"/>
  <c r="K83"/>
  <c r="L83" s="1"/>
  <c r="R54"/>
  <c r="BI135" i="2"/>
  <c r="O54" i="11"/>
  <c r="I85"/>
  <c r="K54"/>
  <c r="L54" s="1"/>
  <c r="R83"/>
  <c r="Q5"/>
  <c r="R5" s="1"/>
  <c r="M34" i="4"/>
  <c r="N34" s="1"/>
  <c r="K68" i="5"/>
  <c r="L68" s="1"/>
  <c r="C54" i="11"/>
  <c r="M54" s="1"/>
  <c r="N54" s="1"/>
  <c r="M5" i="4"/>
  <c r="N5" s="1"/>
  <c r="M85"/>
  <c r="N85" s="1"/>
  <c r="M69"/>
  <c r="N69" s="1"/>
  <c r="M37"/>
  <c r="N37" s="1"/>
  <c r="M13"/>
  <c r="N13" s="1"/>
  <c r="H28"/>
  <c r="H55"/>
  <c r="M55" s="1"/>
  <c r="N55" s="1"/>
  <c r="M53"/>
  <c r="N53" s="1"/>
  <c r="O85"/>
  <c r="O55"/>
  <c r="G14"/>
  <c r="G96"/>
  <c r="G94"/>
  <c r="G97"/>
  <c r="G95"/>
  <c r="G93"/>
  <c r="G117"/>
  <c r="G116"/>
  <c r="G115"/>
  <c r="G111"/>
  <c r="G110"/>
  <c r="G109"/>
  <c r="G100"/>
  <c r="G98"/>
  <c r="G104"/>
  <c r="G103"/>
  <c r="G101"/>
  <c r="G92"/>
  <c r="G112"/>
  <c r="G102"/>
  <c r="G105"/>
  <c r="E22" i="13" s="1"/>
  <c r="G99" i="4"/>
  <c r="E20" i="13" s="1"/>
  <c r="G118" i="4"/>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E16" i="13" s="1"/>
  <c r="G73" i="4"/>
  <c r="G84"/>
  <c r="E23" i="13" s="1"/>
  <c r="G60" i="4"/>
  <c r="G21"/>
  <c r="G27"/>
  <c r="G16"/>
  <c r="G19"/>
  <c r="G49"/>
  <c r="E14" i="13" s="1"/>
  <c r="G37" i="4"/>
  <c r="G79"/>
  <c r="G83"/>
  <c r="G72"/>
  <c r="G35"/>
  <c r="E15" i="13" s="1"/>
  <c r="G64" i="4"/>
  <c r="G24"/>
  <c r="G26"/>
  <c r="G22"/>
  <c r="G50"/>
  <c r="G46"/>
  <c r="G45"/>
  <c r="G63"/>
  <c r="G57"/>
  <c r="E18" i="13" s="1"/>
  <c r="G54" i="4"/>
  <c r="E17" i="13" s="1"/>
  <c r="G82" i="4"/>
  <c r="G61"/>
  <c r="F6"/>
  <c r="G23"/>
  <c r="G15"/>
  <c r="G25"/>
  <c r="G42"/>
  <c r="E13" i="13" s="1"/>
  <c r="G47" i="4"/>
  <c r="G48"/>
  <c r="G34"/>
  <c r="G81"/>
  <c r="G80"/>
  <c r="G69"/>
  <c r="E19" i="13" s="1"/>
  <c r="G68" i="4"/>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G6" i="4" l="1"/>
  <c r="G7" s="1"/>
  <c r="C7" i="14"/>
  <c r="I30"/>
  <c r="L30" s="1"/>
  <c r="K6"/>
  <c r="BK135" i="2"/>
  <c r="J7" i="4"/>
  <c r="K85" i="1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28" i="4"/>
  <c r="H28" i="5"/>
  <c r="H7"/>
  <c r="BK128" i="2"/>
  <c r="H7" i="4" s="1"/>
  <c r="BK11" i="2"/>
  <c r="O7" i="4"/>
  <c r="D45" i="14" l="1"/>
  <c r="C8"/>
  <c r="J30"/>
  <c r="K30" s="1"/>
  <c r="M7" i="4"/>
  <c r="N7" s="1"/>
  <c r="H6"/>
  <c r="G7" i="14" s="1"/>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BK132" i="2"/>
  <c r="O6" i="4" l="1"/>
  <c r="H7" i="14"/>
  <c r="H45"/>
  <c r="I7"/>
  <c r="J7" s="1"/>
  <c r="G8"/>
  <c r="M6" i="4"/>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I45" i="14" l="1"/>
  <c r="L45" s="1"/>
  <c r="K7"/>
  <c r="H8"/>
  <c r="K8" s="1"/>
  <c r="D28" i="11"/>
  <c r="D6"/>
  <c r="D7" s="1"/>
  <c r="M6"/>
  <c r="N6" s="1"/>
  <c r="D7" i="4"/>
  <c r="D28"/>
  <c r="E6" i="5"/>
  <c r="E7" s="1"/>
  <c r="K6"/>
  <c r="L6" s="1"/>
  <c r="E28"/>
  <c r="K37" i="4"/>
  <c r="J45" i="14" l="1"/>
  <c r="K45" s="1"/>
  <c r="I8"/>
  <c r="J8" s="1"/>
  <c r="L37" i="4"/>
  <c r="K26"/>
  <c r="J28"/>
  <c r="O28" l="1"/>
  <c r="M28"/>
  <c r="N28" s="1"/>
  <c r="L26"/>
  <c r="K28"/>
  <c r="L28" s="1"/>
  <c r="BI119" i="2"/>
  <c r="BI120" s="1"/>
  <c r="BK119" l="1"/>
  <c r="BM119" s="1"/>
  <c r="I7" i="4"/>
  <c r="I6" l="1"/>
  <c r="K6" s="1"/>
  <c r="L6" s="1"/>
  <c r="J117"/>
  <c r="J116"/>
  <c r="J115"/>
  <c r="J111"/>
  <c r="J110"/>
  <c r="J109"/>
  <c r="J97"/>
  <c r="J100"/>
  <c r="J92"/>
  <c r="J96"/>
  <c r="J94"/>
  <c r="J98"/>
  <c r="J104"/>
  <c r="J103"/>
  <c r="J101"/>
  <c r="J93"/>
  <c r="J118"/>
  <c r="J95"/>
  <c r="J102"/>
  <c r="J99"/>
  <c r="J112"/>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<sst xmlns="http://schemas.openxmlformats.org/spreadsheetml/2006/main" count="1702" uniqueCount="437">
  <si>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</si>
  <si>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</si>
  <si>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</si>
  <si>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</si>
  <si>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</si>
  <si>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</si>
  <si>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</si>
  <si>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</si>
  <si>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</si>
  <si>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</si>
  <si>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</si>
  <si>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</si>
  <si>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</si>
  <si>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</si>
  <si>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</si>
  <si>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</si>
  <si>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</si>
  <si>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</si>
  <si>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</si>
  <si>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</si>
  <si>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</si>
  <si>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</si>
  <si>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</si>
  <si>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</si>
  <si>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</si>
  <si>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</si>
  <si>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</si>
  <si>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</si>
  <si>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</si>
  <si>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</si>
  <si>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</si>
  <si>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</si>
  <si>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</si>
  <si>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</si>
  <si>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</si>
  <si>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</si>
  <si>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</si>
  <si>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</si>
  <si>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</si>
  <si>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</si>
  <si>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</si>
  <si>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</si>
  <si>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</si>
  <si>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</si>
  <si>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</si>
  <si>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</si>
  <si>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</si>
  <si>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</si>
  <si>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</si>
  <si>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</si>
  <si>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</si>
  <si>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</si>
  <si>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</si>
  <si>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</si>
  <si>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</si>
  <si>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</si>
  <si>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</si>
  <si>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</si>
  <si>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</si>
  <si>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</si>
  <si>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</si>
  <si>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</si>
  <si>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</si>
  <si>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</si>
  <si>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</si>
  <si>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</si>
  <si>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</si>
  <si>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</si>
  <si>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</si>
  <si>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</si>
  <si>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</si>
  <si>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</si>
  <si>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</si>
  <si>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</si>
  <si>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</si>
  <si>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</si>
  <si>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</si>
  <si>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</si>
  <si>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</si>
  <si>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</si>
  <si>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</si>
  <si>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</si>
  <si>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</si>
  <si>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</si>
  <si>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</si>
  <si>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</si>
  <si>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</si>
  <si>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</si>
  <si>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</si>
  <si>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</si>
  <si>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</si>
  <si>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</si>
  <si>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</si>
  <si>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</si>
  <si>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</si>
  <si>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</si>
  <si>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</si>
  <si>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</si>
  <si>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</si>
  <si>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</si>
  <si>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</si>
  <si>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</si>
  <si>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</si>
  <si>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</si>
  <si>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</si>
  <si>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</si>
  <si>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</si>
  <si>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</si>
  <si>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</si>
  <si>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</si>
  <si>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</si>
  <si>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</si>
  <si>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</si>
  <si>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</si>
  <si>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</si>
  <si>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</si>
  <si>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</si>
  <si>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</si>
  <si>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</si>
  <si>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</si>
  <si>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</si>
  <si>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</si>
  <si>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</si>
  <si>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</si>
  <si>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</si>
  <si>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</si>
  <si>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</si>
  <si>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</si>
  <si>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</si>
  <si>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</si>
  <si>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</si>
  <si>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</si>
  <si>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</si>
  <si>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</si>
  <si>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</si>
  <si>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</si>
  <si>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</si>
  <si>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</si>
  <si>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</si>
  <si>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</si>
  <si>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</si>
  <si>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</si>
  <si>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</si>
  <si>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</si>
  <si>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</si>
  <si>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</si>
  <si>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</si>
  <si>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</si>
  <si>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</si>
  <si>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</si>
  <si>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</si>
  <si>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</si>
  <si>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</si>
  <si>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</si>
  <si>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</si>
  <si>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</si>
  <si>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</si>
  <si>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</si>
  <si>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</si>
  <si>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</si>
  <si>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</si>
  <si>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</si>
  <si>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</si>
  <si>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</si>
  <si>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</si>
  <si>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</si>
  <si>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</si>
  <si>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</si>
  <si>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</si>
  <si>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</si>
  <si>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</si>
  <si>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</si>
  <si>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</si>
  <si>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</si>
  <si>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</si>
  <si>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</si>
  <si>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</si>
  <si>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</si>
  <si>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</si>
  <si>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</si>
  <si>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</si>
  <si>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</si>
  <si>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</si>
  <si>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</si>
  <si>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</si>
  <si>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</si>
  <si>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</si>
  <si>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</si>
  <si>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</si>
  <si>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</si>
  <si>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</si>
  <si>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</si>
  <si>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</si>
  <si>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</si>
  <si>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</si>
  <si>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</si>
  <si>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</si>
  <si>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</si>
  <si>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</si>
  <si>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</si>
  <si>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</si>
  <si>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</si>
  <si>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</si>
  <si>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</si>
  <si>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</si>
  <si>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</si>
  <si>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</si>
  <si>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</si>
  <si>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</si>
  <si>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</si>
  <si>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</si>
  <si>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</si>
  <si>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</si>
  <si>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</si>
  <si>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</si>
  <si>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</si>
  <si>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</si>
  <si>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</si>
  <si>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</si>
  <si>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</si>
  <si>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</si>
  <si>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</si>
  <si>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</si>
  <si>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</si>
  <si>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</si>
  <si>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</si>
  <si>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</si>
  <si>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</si>
  <si>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</si>
  <si>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</si>
  <si>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</si>
  <si>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</si>
  <si>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</si>
  <si>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</si>
  <si>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</si>
  <si>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</si>
  <si>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</si>
  <si>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</si>
  <si>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</si>
  <si>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</si>
  <si>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</si>
  <si>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</si>
  <si>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</si>
  <si>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</si>
  <si>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</si>
  <si>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</si>
  <si>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</si>
  <si>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</si>
  <si>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</si>
  <si>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</si>
  <si>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</si>
  <si>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</si>
  <si>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</si>
  <si>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</si>
  <si>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</si>
  <si>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</si>
  <si>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</si>
  <si>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</si>
  <si>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</si>
  <si>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</si>
  <si>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</si>
  <si>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</si>
  <si>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</si>
  <si>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</si>
  <si>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</si>
  <si>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</si>
  <si>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</si>
  <si>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</si>
  <si>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</si>
  <si>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</si>
  <si>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</si>
  <si>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</si>
  <si>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</si>
  <si>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</si>
  <si>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</si>
  <si>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</si>
  <si>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</si>
  <si>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</si>
  <si>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</si>
  <si>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</si>
  <si>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</si>
  <si>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</si>
  <si>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</si>
  <si>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</si>
  <si>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</si>
  <si>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</si>
  <si>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</si>
  <si>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</si>
  <si>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</si>
  <si>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</si>
  <si>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</si>
  <si>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</si>
  <si>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</si>
  <si>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</si>
  <si>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</si>
  <si>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</si>
  <si>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</si>
  <si>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</si>
  <si>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</si>
  <si>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</si>
  <si>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</si>
  <si>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</si>
  <si>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</si>
  <si>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</si>
  <si>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</si>
  <si>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</si>
  <si>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</si>
  <si>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</si>
  <si>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</si>
  <si>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</si>
  <si>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</si>
  <si>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</si>
  <si>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</si>
  <si>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</si>
  <si>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</si>
  <si>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</si>
  <si>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</si>
  <si>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</si>
  <si>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</si>
  <si>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</si>
  <si>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</si>
  <si>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</si>
  <si>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</si>
  <si>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</si>
  <si>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</si>
  <si>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</si>
  <si>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</si>
  <si>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</si>
  <si>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</si>
  <si>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xml:space="preserve"> </t>
  </si>
  <si>
    <t>f</t>
  </si>
  <si>
    <t>Main PUs Under Staff Cost more Variation with COPPY and High Utilization</t>
  </si>
  <si>
    <t>Rs. In Crore</t>
  </si>
  <si>
    <t>Item/Particular</t>
  </si>
  <si>
    <t>Actual 2022-23</t>
  </si>
  <si>
    <t>Target Growth</t>
  </si>
  <si>
    <t>LAST YEAR</t>
  </si>
  <si>
    <t>BP THIS YEAR</t>
  </si>
  <si>
    <t>ACT. THIS YEAR</t>
  </si>
  <si>
    <t xml:space="preserve"> Var. over BP</t>
  </si>
  <si>
    <t xml:space="preserve">% Var. over BP </t>
  </si>
  <si>
    <t>% Var. wrt. COPPY</t>
  </si>
  <si>
    <t>% Utilisation</t>
  </si>
  <si>
    <t>OTA</t>
  </si>
  <si>
    <t>Other Allowance</t>
  </si>
  <si>
    <t>Medical Reimb.</t>
  </si>
  <si>
    <t>Main PUs Under Non-Staff Cost more/less Variation with COPPY and High Utilization</t>
  </si>
  <si>
    <t>DIESEL TRACTION</t>
  </si>
  <si>
    <t>ELECTRIC TRACTION</t>
  </si>
  <si>
    <t>Advertisement Exp.</t>
  </si>
  <si>
    <t>STOCK PURCHASE (Other than D-10 HSD Traction)</t>
  </si>
  <si>
    <t>DIRECT PURCHASE</t>
  </si>
  <si>
    <t>Contractual Payment</t>
  </si>
  <si>
    <t>LEASE CHARGES AND DEBIT</t>
  </si>
  <si>
    <t>POH (Material Home)</t>
  </si>
  <si>
    <t>POH (Material Foreign)</t>
  </si>
  <si>
    <t>Coach Sanitation and Linen Management etc</t>
  </si>
  <si>
    <t>Station Sanitation</t>
  </si>
  <si>
    <t>Sanitation in Railway colonies</t>
  </si>
  <si>
    <t>POH (Wages Home)</t>
  </si>
  <si>
    <t xml:space="preserve">SUMMARY (STAFF COST and OTHER THAN STAFF COST)  (in crores) </t>
  </si>
  <si>
    <t xml:space="preserve">MAIN HEAD </t>
  </si>
  <si>
    <t>RG</t>
  </si>
  <si>
    <t xml:space="preserve">Actual </t>
  </si>
  <si>
    <t>Variation</t>
  </si>
  <si>
    <t>2023-24</t>
  </si>
  <si>
    <t>EXP 2020-21</t>
  </si>
  <si>
    <t>EXP 2021-22</t>
  </si>
  <si>
    <t>EXP 2022-23</t>
  </si>
  <si>
    <t>Excess/ Saving over COPPY</t>
  </si>
  <si>
    <t xml:space="preserve">% Excess/ Saving over COPPY </t>
  </si>
  <si>
    <t>Col-1</t>
  </si>
  <si>
    <t>Col-2</t>
  </si>
  <si>
    <t>Col-3</t>
  </si>
  <si>
    <t>Col-4</t>
  </si>
  <si>
    <t>Col-5</t>
  </si>
  <si>
    <t>Col-6</t>
  </si>
  <si>
    <t>Col-7 (6-5)</t>
  </si>
  <si>
    <t>Col-8 (7 *100/5)</t>
  </si>
  <si>
    <t xml:space="preserve">Col-9 (6/1*100) </t>
  </si>
  <si>
    <t>Total Cost</t>
  </si>
  <si>
    <t>% Utilisation of BGSL</t>
  </si>
  <si>
    <r>
      <t>SUMMARY  PU WISE (STAFF COST) (i</t>
    </r>
    <r>
      <rPr>
        <sz val="28"/>
        <rFont val="Times New Roman"/>
        <family val="1"/>
      </rPr>
      <t>n Crores)</t>
    </r>
    <r>
      <rPr>
        <b/>
        <sz val="28"/>
        <rFont val="Times New Roman"/>
        <family val="1"/>
      </rPr>
      <t xml:space="preserve"> </t>
    </r>
  </si>
  <si>
    <t>PUs</t>
  </si>
  <si>
    <t>Exp. upto March-23</t>
  </si>
  <si>
    <t>Exp. upto March-22</t>
  </si>
  <si>
    <t>Exp. upto March-21</t>
  </si>
  <si>
    <t>Excess/Saving over COPPY</t>
  </si>
  <si>
    <t>Excess/Saving over COPPY in %</t>
  </si>
  <si>
    <t xml:space="preserve">% utilisation of BGSL </t>
  </si>
  <si>
    <t>Salary-</t>
  </si>
  <si>
    <t>D.A.-</t>
  </si>
  <si>
    <t>P.L.B.</t>
  </si>
  <si>
    <t>H.R.A.</t>
  </si>
  <si>
    <t>Tranp.  Allow.</t>
  </si>
  <si>
    <t>N.D.A</t>
  </si>
  <si>
    <t>Other Allow.</t>
  </si>
  <si>
    <t>Fee &amp; Hon.</t>
  </si>
  <si>
    <t>Transfer Allow.</t>
  </si>
  <si>
    <t>T.A.</t>
  </si>
  <si>
    <t>Medical reimbursement</t>
  </si>
  <si>
    <t>POH-wages Home</t>
  </si>
  <si>
    <t>POH-wages Foreign</t>
  </si>
  <si>
    <t>Total staff cost</t>
  </si>
  <si>
    <t>Primary Unit</t>
  </si>
  <si>
    <r>
      <t>SUMMARY  PU WISE (OTHER THAN STAFF COST) (i</t>
    </r>
    <r>
      <rPr>
        <sz val="28"/>
        <rFont val="Times New Roman"/>
        <family val="1"/>
      </rPr>
      <t>n Crores)</t>
    </r>
    <r>
      <rPr>
        <b/>
        <sz val="28"/>
        <rFont val="Times New Roman"/>
        <family val="1"/>
      </rPr>
      <t xml:space="preserve"> </t>
    </r>
  </si>
  <si>
    <t>Advrt. Exp.</t>
  </si>
  <si>
    <t>Mat.from stock</t>
  </si>
  <si>
    <t>Direct Purchase</t>
  </si>
  <si>
    <t>Fuel (Other than Traction)</t>
  </si>
  <si>
    <t>Contract. Payment.</t>
  </si>
  <si>
    <t>POH:Material-Home</t>
  </si>
  <si>
    <t>POH:Material-Foreign</t>
  </si>
  <si>
    <t>Misc. exp.</t>
  </si>
  <si>
    <t>Total  Other than Staff Cost</t>
  </si>
  <si>
    <t>Exp. upto Feb for 2022-23</t>
  </si>
  <si>
    <t>Exp. upto Feb for 2023-24</t>
  </si>
  <si>
    <t>Exp. Upto Feb  for 2023-24</t>
  </si>
  <si>
    <t>BP to end  March-24</t>
  </si>
  <si>
    <t>FG Utilization</t>
  </si>
  <si>
    <t>LEASE CHAFGES &amp; DEBITS</t>
  </si>
  <si>
    <t>Actuals 2023-24</t>
  </si>
  <si>
    <t>ORDINARY WORKING EXPENSES PU WISE ZONAL   APRIL-24</t>
  </si>
  <si>
    <t>% of Total OWE 2023-24</t>
  </si>
  <si>
    <t>BP to end April-24</t>
  </si>
  <si>
    <t>Actual up to April-23</t>
  </si>
  <si>
    <t>Actual up to April-24</t>
  </si>
  <si>
    <t>FINANCE REGISTER - GRANT WISE AND PU WISE SUMMARY FROM MONTH :APRIL    23 TO APRIL    23</t>
  </si>
  <si>
    <t>Report generated on : 02.05.2024 at 11:08:23 AM</t>
  </si>
  <si>
    <t>PU Wise  expenditure to end of March-24 on Vote On Acc ZONAL</t>
  </si>
  <si>
    <t>Vote On Acc 2024-25</t>
  </si>
  <si>
    <t>% Vote On Acc Utilization</t>
  </si>
  <si>
    <t>Vote On Acc-AC</t>
  </si>
  <si>
    <t>% of Total Vote On Acc 2024-25</t>
  </si>
  <si>
    <t>Vote On Acc Utilization</t>
  </si>
  <si>
    <t>FINANCE REGISTER - GRANT WISE AND PU WISE SUMMARY FROM MONTH :APRIL    24 TO APRIL    24</t>
  </si>
  <si>
    <t>Report generated on : 06.05.2024 at 11:21:07 AM</t>
  </si>
</sst>
</file>

<file path=xl/styles.xml><?xml version="1.0" encoding="utf-8"?>
<styleSheet xmlns="http://schemas.openxmlformats.org/spreadsheetml/2006/main">
  <numFmts count="2">
    <numFmt numFmtId="164" formatCode="0.0%"/>
    <numFmt numFmtId="165" formatCode="#####0.00"/>
  </numFmts>
  <fonts count="4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sz val="11"/>
      <color theme="1"/>
      <name val="Arial"/>
      <family val="2"/>
    </font>
    <font>
      <sz val="12"/>
      <color rgb="FFFF0000"/>
      <name val="Arial"/>
      <family val="2"/>
    </font>
    <font>
      <b/>
      <sz val="12"/>
      <color theme="1"/>
      <name val="Calibri"/>
      <family val="2"/>
      <scheme val="minor"/>
    </font>
    <font>
      <b/>
      <sz val="12"/>
      <color theme="8"/>
      <name val="Arial"/>
      <family val="2"/>
    </font>
    <font>
      <b/>
      <sz val="28"/>
      <name val="Times New Roman"/>
      <family val="1"/>
    </font>
    <font>
      <b/>
      <sz val="18"/>
      <color rgb="FF000000"/>
      <name val="Times New Roman"/>
      <family val="1"/>
    </font>
    <font>
      <b/>
      <sz val="16"/>
      <color rgb="FF000000"/>
      <name val="Times New Roman"/>
      <family val="1"/>
    </font>
    <font>
      <sz val="28"/>
      <name val="Times New Roman"/>
      <family val="1"/>
    </font>
    <font>
      <b/>
      <sz val="14"/>
      <color rgb="FF000000"/>
      <name val="Times New Roman"/>
      <family val="1"/>
    </font>
    <font>
      <sz val="16"/>
      <color rgb="FF000000"/>
      <name val="Times New Roman"/>
      <family val="1"/>
    </font>
    <font>
      <b/>
      <i/>
      <sz val="10"/>
      <name val="Arial"/>
    </font>
    <font>
      <sz val="16"/>
      <color theme="1"/>
      <name val="Times New Roman"/>
      <family val="1"/>
    </font>
  </fonts>
  <fills count="13">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6D9F1"/>
        <bgColor indexed="64"/>
      </patternFill>
    </fill>
    <fill>
      <patternFill patternType="solid">
        <fgColor rgb="FF9DC3E6"/>
        <bgColor indexed="64"/>
      </patternFill>
    </fill>
    <fill>
      <patternFill patternType="solid">
        <fgColor rgb="FFBDD7EE"/>
        <bgColor indexed="64"/>
      </patternFill>
    </fill>
    <fill>
      <patternFill patternType="solid">
        <fgColor rgb="FFD6DCE5"/>
        <bgColor indexed="64"/>
      </patternFill>
    </fill>
    <fill>
      <patternFill patternType="solid">
        <fgColor rgb="FFFF0000"/>
        <bgColor indexed="64"/>
      </patternFill>
    </fill>
  </fills>
  <borders count="26">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diagonal/>
    </border>
    <border>
      <left style="thin">
        <color indexed="8"/>
      </left>
      <right/>
      <top/>
      <bottom/>
      <diagonal/>
    </border>
  </borders>
  <cellStyleXfs count="2">
    <xf numFmtId="0" fontId="0" fillId="0" borderId="0"/>
    <xf numFmtId="9" fontId="1" fillId="0" borderId="0" applyFont="0" applyFill="0" applyBorder="0" applyAlignment="0" applyProtection="0"/>
  </cellStyleXfs>
  <cellXfs count="463">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64" fontId="23" fillId="0" borderId="3" xfId="1" applyNumberFormat="1" applyFont="1" applyBorder="1"/>
    <xf numFmtId="10" fontId="23" fillId="0" borderId="3" xfId="1" applyNumberFormat="1" applyFont="1" applyBorder="1"/>
    <xf numFmtId="0" fontId="23" fillId="0" borderId="3" xfId="0" applyFont="1" applyBorder="1"/>
    <xf numFmtId="1" fontId="23" fillId="0" borderId="3" xfId="0" applyNumberFormat="1" applyFont="1" applyFill="1" applyBorder="1" applyAlignment="1">
      <alignment horizontal="right"/>
    </xf>
    <xf numFmtId="1" fontId="23" fillId="0" borderId="3" xfId="0" applyNumberFormat="1" applyFont="1" applyFill="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3" borderId="0" xfId="0" applyFont="1" applyFill="1"/>
    <xf numFmtId="0" fontId="7" fillId="0" borderId="3" xfId="0"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0" fillId="0" borderId="0" xfId="0"/>
    <xf numFmtId="0" fontId="0" fillId="5" borderId="0" xfId="0" applyFill="1" applyAlignment="1">
      <alignment wrapText="1"/>
    </xf>
    <xf numFmtId="0" fontId="15" fillId="0" borderId="0" xfId="0" applyFont="1"/>
    <xf numFmtId="0" fontId="22" fillId="0" borderId="0" xfId="0" applyFont="1"/>
    <xf numFmtId="0" fontId="25" fillId="0" borderId="0" xfId="0" applyFont="1"/>
    <xf numFmtId="0" fontId="26" fillId="0" borderId="0" xfId="0" applyFont="1"/>
    <xf numFmtId="0" fontId="9"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0" fillId="0" borderId="0" xfId="0"/>
    <xf numFmtId="0" fontId="29" fillId="0" borderId="3" xfId="0" applyFont="1" applyBorder="1"/>
    <xf numFmtId="0" fontId="22" fillId="0" borderId="3" xfId="0" applyFont="1" applyBorder="1"/>
    <xf numFmtId="1" fontId="2" fillId="0" borderId="3" xfId="0" applyNumberFormat="1" applyFont="1" applyFill="1" applyBorder="1"/>
    <xf numFmtId="1" fontId="15" fillId="0" borderId="3" xfId="0" applyNumberFormat="1" applyFont="1" applyBorder="1"/>
    <xf numFmtId="0" fontId="30" fillId="0" borderId="0" xfId="0" applyFont="1"/>
    <xf numFmtId="0" fontId="31" fillId="0" borderId="0" xfId="0" applyFont="1"/>
    <xf numFmtId="0" fontId="31"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1" fontId="32" fillId="0" borderId="3" xfId="0" applyNumberFormat="1" applyFont="1" applyFill="1" applyBorder="1"/>
    <xf numFmtId="1" fontId="4" fillId="0" borderId="3" xfId="0" applyNumberFormat="1" applyFont="1" applyFill="1" applyBorder="1"/>
    <xf numFmtId="0" fontId="0" fillId="0" borderId="0" xfId="0"/>
    <xf numFmtId="0" fontId="5" fillId="0" borderId="0" xfId="0" applyFont="1" applyAlignment="1">
      <alignment wrapText="1"/>
    </xf>
    <xf numFmtId="2" fontId="7" fillId="0" borderId="0" xfId="0" applyNumberFormat="1" applyFont="1" applyBorder="1"/>
    <xf numFmtId="0" fontId="7" fillId="2" borderId="0" xfId="0" applyFont="1" applyFill="1"/>
    <xf numFmtId="2" fontId="6" fillId="2" borderId="3" xfId="0" applyNumberFormat="1" applyFont="1" applyFill="1" applyBorder="1"/>
    <xf numFmtId="2" fontId="6" fillId="0" borderId="0" xfId="0" applyNumberFormat="1" applyFont="1" applyBorder="1" applyAlignment="1">
      <alignment wrapText="1"/>
    </xf>
    <xf numFmtId="2" fontId="6" fillId="3" borderId="3" xfId="0" applyNumberFormat="1" applyFont="1" applyFill="1" applyBorder="1" applyAlignment="1">
      <alignment wrapText="1"/>
    </xf>
    <xf numFmtId="2" fontId="7" fillId="0" borderId="0" xfId="0" applyNumberFormat="1" applyFont="1"/>
    <xf numFmtId="0" fontId="8" fillId="0" borderId="0" xfId="0" applyFont="1" applyBorder="1"/>
    <xf numFmtId="0" fontId="8" fillId="0" borderId="0" xfId="0" applyFont="1" applyBorder="1" applyAlignment="1">
      <alignment wrapText="1"/>
    </xf>
    <xf numFmtId="0" fontId="5" fillId="0" borderId="3" xfId="0" applyFont="1" applyBorder="1" applyAlignment="1">
      <alignment wrapText="1"/>
    </xf>
    <xf numFmtId="0" fontId="0" fillId="0" borderId="0" xfId="0"/>
    <xf numFmtId="0" fontId="5" fillId="0" borderId="3" xfId="0" applyFont="1" applyBorder="1" applyAlignment="1">
      <alignment horizontal="center" wrapText="1"/>
    </xf>
    <xf numFmtId="0" fontId="5" fillId="0" borderId="3" xfId="0" applyFont="1" applyBorder="1" applyAlignment="1">
      <alignment horizontal="center"/>
    </xf>
    <xf numFmtId="0" fontId="5" fillId="0" borderId="3" xfId="0" applyFont="1" applyBorder="1" applyAlignment="1">
      <alignment horizontal="right"/>
    </xf>
    <xf numFmtId="0" fontId="5" fillId="0" borderId="15" xfId="0" applyFont="1" applyBorder="1" applyAlignment="1">
      <alignment horizontal="center" vertical="center"/>
    </xf>
    <xf numFmtId="0" fontId="5" fillId="0" borderId="5" xfId="0" applyFont="1" applyBorder="1" applyAlignment="1">
      <alignment horizontal="center" vertical="center" wrapText="1"/>
    </xf>
    <xf numFmtId="0" fontId="5" fillId="4"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9" fontId="0" fillId="0" borderId="3" xfId="1" applyFont="1" applyBorder="1"/>
    <xf numFmtId="2" fontId="0" fillId="4" borderId="3" xfId="0" applyNumberFormat="1" applyFill="1" applyBorder="1"/>
    <xf numFmtId="10" fontId="0" fillId="6" borderId="3" xfId="1" applyNumberFormat="1" applyFont="1" applyFill="1" applyBorder="1"/>
    <xf numFmtId="0" fontId="5" fillId="0" borderId="3" xfId="0" applyFont="1" applyFill="1" applyBorder="1" applyAlignment="1">
      <alignment horizontal="center"/>
    </xf>
    <xf numFmtId="0" fontId="5" fillId="0" borderId="3" xfId="0" applyFont="1" applyFill="1" applyBorder="1" applyAlignment="1">
      <alignment wrapText="1"/>
    </xf>
    <xf numFmtId="0" fontId="6" fillId="0" borderId="3" xfId="0" applyFont="1" applyBorder="1" applyAlignment="1">
      <alignment horizontal="center" vertical="center"/>
    </xf>
    <xf numFmtId="0" fontId="5" fillId="0" borderId="3" xfId="0" applyFont="1" applyFill="1" applyBorder="1" applyAlignment="1">
      <alignment horizontal="left"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center"/>
    </xf>
    <xf numFmtId="1" fontId="5" fillId="0" borderId="5" xfId="0" applyNumberFormat="1" applyFont="1" applyBorder="1" applyAlignment="1">
      <alignment horizontal="center" vertical="center" wrapText="1"/>
    </xf>
    <xf numFmtId="165" fontId="0" fillId="4" borderId="1" xfId="0" applyNumberFormat="1" applyFill="1" applyBorder="1" applyAlignment="1">
      <alignment horizontal="right" vertical="top"/>
    </xf>
    <xf numFmtId="10" fontId="0" fillId="6" borderId="3" xfId="1" applyNumberFormat="1" applyFont="1" applyFill="1" applyBorder="1" applyAlignment="1">
      <alignment horizontal="right" vertical="center"/>
    </xf>
    <xf numFmtId="10" fontId="0" fillId="5" borderId="3" xfId="1" applyNumberFormat="1" applyFont="1" applyFill="1" applyBorder="1" applyAlignment="1">
      <alignment horizontal="right" vertical="center"/>
    </xf>
    <xf numFmtId="2" fontId="0" fillId="0" borderId="3" xfId="0" applyNumberFormat="1" applyBorder="1" applyAlignment="1">
      <alignment horizontal="right"/>
    </xf>
    <xf numFmtId="2" fontId="0" fillId="4" borderId="3" xfId="0" applyNumberFormat="1" applyFill="1" applyBorder="1" applyAlignment="1">
      <alignment horizontal="right"/>
    </xf>
    <xf numFmtId="10" fontId="0" fillId="0" borderId="3" xfId="1" applyNumberFormat="1" applyFont="1" applyBorder="1" applyAlignment="1">
      <alignment horizontal="right"/>
    </xf>
    <xf numFmtId="10" fontId="0" fillId="7" borderId="3" xfId="1" applyNumberFormat="1" applyFont="1" applyFill="1" applyBorder="1" applyAlignment="1">
      <alignment horizontal="right"/>
    </xf>
    <xf numFmtId="10" fontId="0" fillId="5" borderId="3" xfId="1" applyNumberFormat="1" applyFont="1" applyFill="1" applyBorder="1" applyAlignment="1">
      <alignment horizontal="right"/>
    </xf>
    <xf numFmtId="10" fontId="0" fillId="6" borderId="3" xfId="1" applyNumberFormat="1" applyFont="1" applyFill="1" applyBorder="1" applyAlignment="1">
      <alignment horizontal="right"/>
    </xf>
    <xf numFmtId="0" fontId="0" fillId="0" borderId="3" xfId="0" applyBorder="1" applyAlignment="1">
      <alignment horizontal="right"/>
    </xf>
    <xf numFmtId="2" fontId="8" fillId="4" borderId="3" xfId="0" applyNumberFormat="1" applyFont="1" applyFill="1" applyBorder="1" applyAlignment="1">
      <alignment horizontal="right"/>
    </xf>
    <xf numFmtId="2" fontId="7" fillId="4" borderId="3" xfId="0" applyNumberFormat="1" applyFont="1" applyFill="1" applyBorder="1" applyAlignment="1">
      <alignment horizontal="right"/>
    </xf>
    <xf numFmtId="0" fontId="7" fillId="4" borderId="3" xfId="0" applyFont="1" applyFill="1" applyBorder="1" applyAlignment="1">
      <alignment horizontal="right"/>
    </xf>
    <xf numFmtId="164" fontId="0" fillId="0" borderId="3" xfId="1" applyNumberFormat="1" applyFont="1" applyBorder="1" applyAlignment="1">
      <alignment horizontal="right"/>
    </xf>
    <xf numFmtId="2" fontId="0" fillId="0" borderId="3" xfId="0" applyNumberFormat="1" applyBorder="1" applyAlignment="1">
      <alignment horizontal="right" vertical="center"/>
    </xf>
    <xf numFmtId="0" fontId="0" fillId="0" borderId="3" xfId="0" applyBorder="1" applyAlignment="1">
      <alignment horizontal="right" vertical="center"/>
    </xf>
    <xf numFmtId="2" fontId="0" fillId="4" borderId="3" xfId="0" applyNumberFormat="1" applyFill="1" applyBorder="1" applyAlignment="1">
      <alignment horizontal="right" vertical="center"/>
    </xf>
    <xf numFmtId="0" fontId="0" fillId="4" borderId="3" xfId="0" applyFill="1" applyBorder="1" applyAlignment="1">
      <alignment horizontal="right" vertical="center"/>
    </xf>
    <xf numFmtId="10" fontId="0" fillId="0" borderId="3" xfId="1" applyNumberFormat="1" applyFont="1" applyBorder="1" applyAlignment="1">
      <alignment horizontal="right" vertical="center"/>
    </xf>
    <xf numFmtId="10" fontId="0" fillId="7" borderId="3" xfId="1" applyNumberFormat="1" applyFont="1" applyFill="1" applyBorder="1" applyAlignment="1">
      <alignment horizontal="right" vertical="center"/>
    </xf>
    <xf numFmtId="165" fontId="0" fillId="4" borderId="1" xfId="0" applyNumberFormat="1" applyFill="1" applyBorder="1" applyAlignment="1">
      <alignment horizontal="right" vertical="center"/>
    </xf>
    <xf numFmtId="0" fontId="34" fillId="8" borderId="16" xfId="0" applyFont="1" applyFill="1" applyBorder="1" applyAlignment="1">
      <alignment horizontal="center" vertical="center" wrapText="1" readingOrder="1"/>
    </xf>
    <xf numFmtId="0" fontId="34" fillId="8" borderId="20" xfId="0" applyFont="1" applyFill="1" applyBorder="1" applyAlignment="1">
      <alignment horizontal="center" vertical="center" wrapText="1" readingOrder="1"/>
    </xf>
    <xf numFmtId="0" fontId="34" fillId="8" borderId="22" xfId="0" applyFont="1" applyFill="1" applyBorder="1" applyAlignment="1">
      <alignment horizontal="center" vertical="center" wrapText="1" readingOrder="1"/>
    </xf>
    <xf numFmtId="0" fontId="34" fillId="0" borderId="20" xfId="0" applyFont="1" applyBorder="1" applyAlignment="1">
      <alignment horizontal="right" vertical="center" wrapText="1" readingOrder="1"/>
    </xf>
    <xf numFmtId="2" fontId="35" fillId="0" borderId="20" xfId="0" applyNumberFormat="1" applyFont="1" applyBorder="1" applyAlignment="1">
      <alignment horizontal="right" vertical="center" wrapText="1" readingOrder="1"/>
    </xf>
    <xf numFmtId="2" fontId="34" fillId="0" borderId="20" xfId="0" applyNumberFormat="1" applyFont="1" applyBorder="1" applyAlignment="1">
      <alignment horizontal="right" vertical="center" wrapText="1" readingOrder="1"/>
    </xf>
    <xf numFmtId="0" fontId="33" fillId="5" borderId="0" xfId="0" applyFont="1" applyFill="1" applyAlignment="1">
      <alignment readingOrder="1"/>
    </xf>
    <xf numFmtId="0" fontId="37" fillId="9" borderId="22" xfId="0" applyFont="1" applyFill="1" applyBorder="1" applyAlignment="1">
      <alignment horizontal="left" vertical="center" wrapText="1" readingOrder="1"/>
    </xf>
    <xf numFmtId="0" fontId="37" fillId="9" borderId="22" xfId="0" applyFont="1" applyFill="1" applyBorder="1" applyAlignment="1">
      <alignment horizontal="center" vertical="center" wrapText="1" readingOrder="1"/>
    </xf>
    <xf numFmtId="0" fontId="37" fillId="10" borderId="20" xfId="0" applyFont="1" applyFill="1" applyBorder="1" applyAlignment="1">
      <alignment vertical="center" wrapText="1"/>
    </xf>
    <xf numFmtId="0" fontId="37" fillId="10" borderId="20" xfId="0" applyFont="1" applyFill="1" applyBorder="1" applyAlignment="1">
      <alignment horizontal="center" vertical="top" wrapText="1"/>
    </xf>
    <xf numFmtId="0" fontId="37" fillId="10" borderId="20" xfId="0" applyFont="1" applyFill="1" applyBorder="1" applyAlignment="1">
      <alignment horizontal="center" vertical="center" wrapText="1" readingOrder="1"/>
    </xf>
    <xf numFmtId="0" fontId="37" fillId="11" borderId="20" xfId="0" applyFont="1" applyFill="1" applyBorder="1" applyAlignment="1">
      <alignment horizontal="left" wrapText="1" readingOrder="1"/>
    </xf>
    <xf numFmtId="0" fontId="37" fillId="0" borderId="20" xfId="0" applyFont="1" applyBorder="1" applyAlignment="1">
      <alignment horizontal="center" wrapText="1" readingOrder="1"/>
    </xf>
    <xf numFmtId="0" fontId="38" fillId="0" borderId="20" xfId="0" applyFont="1" applyBorder="1" applyAlignment="1">
      <alignment horizontal="right" vertical="center" wrapText="1" readingOrder="1"/>
    </xf>
    <xf numFmtId="0" fontId="35" fillId="9" borderId="20" xfId="0" applyFont="1" applyFill="1" applyBorder="1" applyAlignment="1">
      <alignment horizontal="right" wrapText="1" readingOrder="1"/>
    </xf>
    <xf numFmtId="1" fontId="37" fillId="9" borderId="22" xfId="0" applyNumberFormat="1" applyFont="1" applyFill="1" applyBorder="1" applyAlignment="1">
      <alignment horizontal="center" vertical="center" wrapText="1" readingOrder="1"/>
    </xf>
    <xf numFmtId="2" fontId="38" fillId="0" borderId="20" xfId="0" applyNumberFormat="1" applyFont="1" applyBorder="1" applyAlignment="1">
      <alignment horizontal="right" vertical="center" wrapText="1" readingOrder="1"/>
    </xf>
    <xf numFmtId="0" fontId="37" fillId="12" borderId="20" xfId="0" applyFont="1" applyFill="1" applyBorder="1" applyAlignment="1">
      <alignment horizontal="left" wrapText="1" readingOrder="1"/>
    </xf>
    <xf numFmtId="2" fontId="35" fillId="9" borderId="20" xfId="0" applyNumberFormat="1" applyFont="1" applyFill="1" applyBorder="1" applyAlignment="1">
      <alignment horizontal="right" wrapText="1" readingOrder="1"/>
    </xf>
    <xf numFmtId="0" fontId="38" fillId="0" borderId="0" xfId="0" applyFont="1" applyBorder="1" applyAlignment="1">
      <alignment horizontal="right" vertical="center" wrapText="1" readingOrder="1"/>
    </xf>
    <xf numFmtId="0" fontId="37" fillId="11" borderId="22" xfId="0" applyFont="1" applyFill="1" applyBorder="1" applyAlignment="1">
      <alignment horizontal="center" vertical="center" wrapText="1" readingOrder="1"/>
    </xf>
    <xf numFmtId="0" fontId="37" fillId="11" borderId="20" xfId="0" applyFont="1" applyFill="1" applyBorder="1" applyAlignment="1">
      <alignment horizontal="center" vertical="center" wrapText="1"/>
    </xf>
    <xf numFmtId="0" fontId="37" fillId="11" borderId="20" xfId="0" applyFont="1" applyFill="1" applyBorder="1" applyAlignment="1">
      <alignment horizontal="center" vertical="center" wrapText="1" readingOrder="1"/>
    </xf>
    <xf numFmtId="0" fontId="37" fillId="11" borderId="20" xfId="0" applyFont="1" applyFill="1" applyBorder="1" applyAlignment="1">
      <alignment horizontal="center" wrapText="1" readingOrder="1"/>
    </xf>
    <xf numFmtId="0" fontId="38" fillId="11" borderId="20" xfId="0" applyFont="1" applyFill="1" applyBorder="1" applyAlignment="1">
      <alignment horizontal="right" vertical="center" wrapText="1" readingOrder="1"/>
    </xf>
    <xf numFmtId="0" fontId="0" fillId="12" borderId="0" xfId="0" applyFill="1"/>
    <xf numFmtId="2" fontId="38" fillId="11" borderId="20" xfId="0" applyNumberFormat="1" applyFont="1" applyFill="1" applyBorder="1" applyAlignment="1">
      <alignment horizontal="right" vertical="center" wrapText="1" readingOrder="1"/>
    </xf>
    <xf numFmtId="0" fontId="0" fillId="5" borderId="0" xfId="0" applyFill="1"/>
    <xf numFmtId="0" fontId="40" fillId="0" borderId="20" xfId="0" applyFont="1" applyBorder="1" applyAlignment="1">
      <alignment horizontal="right" vertical="center" wrapText="1" readingOrder="1"/>
    </xf>
    <xf numFmtId="165" fontId="0" fillId="0" borderId="1" xfId="0" applyNumberFormat="1" applyBorder="1" applyAlignment="1">
      <alignment horizontal="right" vertical="top"/>
    </xf>
    <xf numFmtId="0" fontId="0" fillId="0" borderId="0" xfId="0"/>
    <xf numFmtId="0" fontId="39" fillId="0" borderId="1" xfId="0" applyFont="1" applyBorder="1" applyAlignment="1">
      <alignment horizontal="center" vertical="top"/>
    </xf>
    <xf numFmtId="0" fontId="15" fillId="0" borderId="6" xfId="0" applyFont="1" applyFill="1" applyBorder="1"/>
    <xf numFmtId="0" fontId="39" fillId="0" borderId="1" xfId="0" applyFont="1" applyBorder="1" applyAlignment="1">
      <alignment horizontal="center" vertical="top"/>
    </xf>
    <xf numFmtId="0" fontId="0" fillId="0" borderId="0" xfId="0"/>
    <xf numFmtId="0" fontId="0" fillId="0" borderId="25" xfId="0" applyNumberFormat="1" applyFill="1" applyBorder="1" applyAlignment="1">
      <alignment horizontal="right" vertical="top" wrapText="1"/>
    </xf>
    <xf numFmtId="0" fontId="39"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0" fontId="5" fillId="3" borderId="3" xfId="0" applyFont="1" applyFill="1" applyBorder="1" applyAlignment="1">
      <alignment horizontal="center" vertical="top" wrapText="1"/>
    </xf>
    <xf numFmtId="1" fontId="6" fillId="3" borderId="4" xfId="0" applyNumberFormat="1" applyFont="1" applyFill="1" applyBorder="1" applyAlignment="1">
      <alignment horizontal="center" vertical="top" wrapText="1"/>
    </xf>
    <xf numFmtId="0" fontId="6"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6" fillId="3" borderId="3" xfId="0" applyFont="1" applyFill="1" applyBorder="1" applyAlignment="1">
      <alignment horizontal="center" vertical="top" wrapText="1"/>
    </xf>
    <xf numFmtId="1" fontId="5" fillId="3" borderId="3" xfId="0" applyNumberFormat="1" applyFont="1" applyFill="1" applyBorder="1" applyAlignment="1">
      <alignment horizontal="center" vertical="top"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vertical="top" wrapText="1"/>
    </xf>
    <xf numFmtId="0" fontId="6" fillId="3" borderId="3" xfId="0" applyFont="1" applyFill="1" applyBorder="1" applyAlignment="1">
      <alignment horizontal="center"/>
    </xf>
    <xf numFmtId="1" fontId="6" fillId="3" borderId="5" xfId="0" applyNumberFormat="1" applyFont="1" applyFill="1" applyBorder="1" applyAlignment="1">
      <alignment horizontal="center" vertical="top"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1" fontId="6" fillId="3" borderId="4" xfId="0" applyNumberFormat="1" applyFont="1" applyFill="1" applyBorder="1" applyAlignment="1">
      <alignment horizontal="center" wrapText="1"/>
    </xf>
    <xf numFmtId="0" fontId="6" fillId="3" borderId="5" xfId="0" applyFont="1" applyFill="1" applyBorder="1" applyAlignment="1">
      <alignment horizontal="center" wrapText="1"/>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1" fontId="5" fillId="3" borderId="4" xfId="0" applyNumberFormat="1"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6" fillId="2" borderId="4" xfId="0" applyNumberFormat="1" applyFont="1" applyFill="1" applyBorder="1" applyAlignment="1">
      <alignment horizontal="center" vertical="top" wrapText="1"/>
    </xf>
    <xf numFmtId="0" fontId="6" fillId="2" borderId="5" xfId="0" applyFont="1" applyFill="1" applyBorder="1" applyAlignment="1">
      <alignment horizontal="center" vertical="top" wrapText="1"/>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1" fontId="5" fillId="2" borderId="4" xfId="0" applyNumberFormat="1" applyFont="1" applyFill="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vertical="center"/>
    </xf>
    <xf numFmtId="0" fontId="6" fillId="0" borderId="5" xfId="0" applyFont="1" applyBorder="1" applyAlignment="1">
      <alignment horizontal="center" vertic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24" fillId="3" borderId="3" xfId="0" applyFont="1" applyFill="1" applyBorder="1" applyAlignment="1">
      <alignment horizontal="center" wrapText="1"/>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0" fontId="24" fillId="3" borderId="3"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4"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xf numFmtId="0" fontId="37" fillId="9" borderId="21" xfId="0" applyFont="1" applyFill="1" applyBorder="1" applyAlignment="1">
      <alignment horizontal="center" wrapText="1" readingOrder="1"/>
    </xf>
    <xf numFmtId="0" fontId="37" fillId="9" borderId="19" xfId="0" applyFont="1" applyFill="1" applyBorder="1" applyAlignment="1">
      <alignment horizontal="center" wrapText="1" readingOrder="1"/>
    </xf>
    <xf numFmtId="0" fontId="33" fillId="3" borderId="0" xfId="0" applyFont="1" applyFill="1" applyAlignment="1">
      <alignment horizontal="center" vertical="center" readingOrder="1"/>
    </xf>
    <xf numFmtId="0" fontId="33" fillId="3" borderId="0" xfId="0" applyFont="1" applyFill="1" applyAlignment="1">
      <alignment horizontal="center" readingOrder="1"/>
    </xf>
    <xf numFmtId="0" fontId="34" fillId="8" borderId="23" xfId="0" applyFont="1" applyFill="1" applyBorder="1" applyAlignment="1">
      <alignment horizontal="center" vertical="center" wrapText="1" readingOrder="1"/>
    </xf>
    <xf numFmtId="0" fontId="34" fillId="8" borderId="24" xfId="0" applyFont="1" applyFill="1" applyBorder="1" applyAlignment="1">
      <alignment horizontal="center" vertical="center" wrapText="1" readingOrder="1"/>
    </xf>
    <xf numFmtId="0" fontId="34" fillId="8" borderId="17" xfId="0" applyFont="1" applyFill="1" applyBorder="1" applyAlignment="1">
      <alignment horizontal="center" vertical="center" wrapText="1" readingOrder="1"/>
    </xf>
    <xf numFmtId="0" fontId="0" fillId="0" borderId="18" xfId="0" applyBorder="1"/>
    <xf numFmtId="0" fontId="0" fillId="0" borderId="19" xfId="0" applyBorder="1"/>
    <xf numFmtId="0" fontId="34" fillId="8" borderId="21" xfId="0" applyFont="1" applyFill="1" applyBorder="1" applyAlignment="1">
      <alignment horizontal="center" vertical="center" wrapText="1" readingOrder="1"/>
    </xf>
    <xf numFmtId="0" fontId="34" fillId="8" borderId="19" xfId="0" applyFont="1" applyFill="1" applyBorder="1" applyAlignment="1">
      <alignment horizontal="center" vertical="center" wrapText="1" readingOrder="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438" t="s">
        <v>220</v>
      </c>
      <c r="B1" s="366"/>
      <c r="C1" s="366"/>
      <c r="D1" s="366"/>
      <c r="E1" s="366"/>
      <c r="F1" s="366"/>
      <c r="G1" s="366"/>
      <c r="H1" s="366"/>
      <c r="I1" s="366"/>
      <c r="J1" s="366"/>
      <c r="K1" s="366"/>
      <c r="L1" s="366"/>
      <c r="M1" s="366"/>
      <c r="N1" s="366"/>
      <c r="O1" s="366"/>
      <c r="P1" s="366"/>
    </row>
    <row r="3" spans="1:27">
      <c r="A3" s="438" t="s">
        <v>221</v>
      </c>
      <c r="B3" s="366"/>
      <c r="C3" s="366"/>
      <c r="D3" s="366"/>
      <c r="E3" s="366"/>
      <c r="F3" s="366"/>
      <c r="G3" s="366"/>
      <c r="H3" s="366"/>
      <c r="I3" s="366"/>
      <c r="J3" s="366"/>
      <c r="K3" s="366"/>
      <c r="L3" s="366"/>
      <c r="M3" s="366"/>
      <c r="N3" s="366"/>
      <c r="O3" s="366"/>
      <c r="P3" s="366"/>
    </row>
    <row r="5" spans="1:27" ht="76.5">
      <c r="A5" s="139" t="s">
        <v>222</v>
      </c>
      <c r="B5" s="139" t="s">
        <v>223</v>
      </c>
      <c r="C5" s="139" t="s">
        <v>224</v>
      </c>
      <c r="D5" s="139" t="s">
        <v>225</v>
      </c>
      <c r="E5" s="139" t="s">
        <v>226</v>
      </c>
      <c r="F5" s="139" t="s">
        <v>227</v>
      </c>
      <c r="G5" s="139" t="s">
        <v>228</v>
      </c>
      <c r="H5" s="143" t="s">
        <v>229</v>
      </c>
      <c r="I5" s="139" t="s">
        <v>230</v>
      </c>
      <c r="J5" s="139" t="s">
        <v>231</v>
      </c>
      <c r="K5" s="139" t="s">
        <v>232</v>
      </c>
      <c r="L5" s="139" t="s">
        <v>233</v>
      </c>
      <c r="M5" s="139" t="s">
        <v>234</v>
      </c>
      <c r="N5" s="139" t="s">
        <v>235</v>
      </c>
      <c r="O5" s="139" t="s">
        <v>236</v>
      </c>
      <c r="P5" s="167" t="s">
        <v>237</v>
      </c>
      <c r="Q5" s="168" t="s">
        <v>70</v>
      </c>
      <c r="R5" s="168" t="s">
        <v>287</v>
      </c>
      <c r="S5" s="140"/>
      <c r="T5" s="140"/>
      <c r="U5" s="140"/>
      <c r="V5" s="140"/>
      <c r="X5" s="140"/>
      <c r="Y5" s="140"/>
      <c r="Z5" s="140"/>
      <c r="AA5" s="140"/>
    </row>
    <row r="6" spans="1:27">
      <c r="A6" s="141" t="s">
        <v>238</v>
      </c>
      <c r="B6" s="141" t="s">
        <v>239</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238</v>
      </c>
      <c r="B7" s="141" t="s">
        <v>240</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238</v>
      </c>
      <c r="B8" s="141" t="s">
        <v>241</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238</v>
      </c>
      <c r="B9" s="141" t="s">
        <v>242</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238</v>
      </c>
      <c r="B10" s="141" t="s">
        <v>243</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238</v>
      </c>
      <c r="B11" s="141" t="s">
        <v>244</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238</v>
      </c>
      <c r="B12" s="141" t="s">
        <v>245</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238</v>
      </c>
      <c r="B13" s="141" t="s">
        <v>246</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238</v>
      </c>
      <c r="B14" s="141" t="s">
        <v>247</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238</v>
      </c>
      <c r="B15" s="141" t="s">
        <v>248</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238</v>
      </c>
      <c r="B16" s="141" t="s">
        <v>249</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238</v>
      </c>
      <c r="B17" s="141" t="s">
        <v>250</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238</v>
      </c>
      <c r="B18" s="141" t="s">
        <v>128</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277</v>
      </c>
      <c r="B1" s="36"/>
    </row>
    <row r="2" spans="1:19">
      <c r="M2" s="36" t="s">
        <v>148</v>
      </c>
      <c r="P2" s="172" t="s">
        <v>289</v>
      </c>
    </row>
    <row r="3" spans="1:19" s="36" customFormat="1" ht="15" customHeight="1">
      <c r="A3" s="408" t="s">
        <v>149</v>
      </c>
      <c r="B3" s="414" t="s">
        <v>293</v>
      </c>
      <c r="C3" s="416" t="str">
        <f>'PU Wise OWE'!$B$7</f>
        <v>Actual up to April-23</v>
      </c>
      <c r="D3" s="414" t="s">
        <v>171</v>
      </c>
      <c r="E3" s="414"/>
      <c r="F3" s="416" t="str">
        <f>'PU Wise OWE'!$B$5</f>
        <v>Vote On Acc 2024-25</v>
      </c>
      <c r="G3" s="414" t="s">
        <v>299</v>
      </c>
      <c r="H3" s="414" t="s">
        <v>307</v>
      </c>
      <c r="I3" s="416" t="str">
        <f>'PU Wise OWE'!B8</f>
        <v>Actual up to April-24</v>
      </c>
      <c r="J3" s="414" t="s">
        <v>203</v>
      </c>
      <c r="K3" s="418" t="s">
        <v>204</v>
      </c>
      <c r="L3" s="418"/>
      <c r="M3" s="418" t="s">
        <v>145</v>
      </c>
      <c r="N3" s="418"/>
      <c r="O3" s="385" t="s">
        <v>305</v>
      </c>
      <c r="P3" s="173" t="s">
        <v>290</v>
      </c>
      <c r="Q3" s="153"/>
    </row>
    <row r="4" spans="1:19" ht="15.6" customHeight="1">
      <c r="A4" s="409"/>
      <c r="B4" s="415"/>
      <c r="C4" s="415"/>
      <c r="D4" s="415"/>
      <c r="E4" s="415"/>
      <c r="F4" s="415"/>
      <c r="G4" s="415"/>
      <c r="H4" s="415"/>
      <c r="I4" s="415"/>
      <c r="J4" s="415"/>
      <c r="K4" s="19" t="s">
        <v>143</v>
      </c>
      <c r="L4" s="18" t="s">
        <v>144</v>
      </c>
      <c r="M4" s="19" t="s">
        <v>143</v>
      </c>
      <c r="N4" s="18" t="s">
        <v>144</v>
      </c>
      <c r="O4" s="385"/>
      <c r="P4" s="172" t="s">
        <v>291</v>
      </c>
      <c r="R4" s="69" t="s">
        <v>278</v>
      </c>
    </row>
    <row r="5" spans="1:19" ht="15.75">
      <c r="A5" s="61" t="s">
        <v>146</v>
      </c>
      <c r="B5" s="103">
        <v>4575.6000000000004</v>
      </c>
      <c r="C5" s="70">
        <f>ROUND('PU Wise OWE'!$AD$128/10000,2)</f>
        <v>604.54</v>
      </c>
      <c r="D5" s="66">
        <f>C5/C7</f>
        <v>0.48921690013190577</v>
      </c>
      <c r="E5" s="66"/>
      <c r="F5" s="22">
        <f>ROUND('PU Wise OWE'!$AD$126/10000,2)</f>
        <v>3258.73</v>
      </c>
      <c r="G5" s="66">
        <f>F5/F7</f>
        <v>0.63151968745034048</v>
      </c>
      <c r="H5" s="23">
        <f>ROUND('PU Wise OWE'!$AD$127/10000,2)</f>
        <v>629.70000000000005</v>
      </c>
      <c r="I5" s="23">
        <f>ROUND('PU Wise OWE'!$AD$129/10000,2)</f>
        <v>635.62</v>
      </c>
      <c r="J5" s="24">
        <f>I5/$I$7</f>
        <v>1.4233697599426729</v>
      </c>
      <c r="K5" s="22">
        <f>H5-I5</f>
        <v>-5.9199999999999591</v>
      </c>
      <c r="L5" s="24">
        <f>K5/I5</f>
        <v>-9.3137409143827423E-3</v>
      </c>
      <c r="M5" s="22">
        <f>I5-C5</f>
        <v>31.080000000000041</v>
      </c>
      <c r="N5" s="52">
        <f>M5/C5</f>
        <v>5.1410990174347505E-2</v>
      </c>
      <c r="O5" s="52">
        <f>I5/F5</f>
        <v>0.19505144642237926</v>
      </c>
      <c r="P5" s="146">
        <f>10.57+1.36+2.68+11.45+3.4+9.35</f>
        <v>38.809999999999995</v>
      </c>
      <c r="Q5" s="162">
        <f>Q28+I5-I28</f>
        <v>847.19999999999993</v>
      </c>
      <c r="R5" s="68">
        <f>Q5-F5</f>
        <v>-2411.5300000000002</v>
      </c>
      <c r="S5" s="68"/>
    </row>
    <row r="6" spans="1:19" ht="15.75">
      <c r="A6" s="78" t="s">
        <v>142</v>
      </c>
      <c r="B6" s="103">
        <v>3242.41</v>
      </c>
      <c r="C6" s="70">
        <f>C7-C5</f>
        <v>631.19000000000005</v>
      </c>
      <c r="D6" s="66">
        <f>C6/C7</f>
        <v>0.51078309986809423</v>
      </c>
      <c r="E6" s="66"/>
      <c r="F6" s="21">
        <f t="shared" ref="F6:I6" si="0">F7-F5</f>
        <v>1901.4100000000003</v>
      </c>
      <c r="G6" s="66">
        <f>F6/F7</f>
        <v>0.36848031254965952</v>
      </c>
      <c r="H6" s="21">
        <f t="shared" si="0"/>
        <v>632.83999999999992</v>
      </c>
      <c r="I6" s="21">
        <f t="shared" si="0"/>
        <v>-189.06</v>
      </c>
      <c r="J6" s="24">
        <f t="shared" ref="J6:J7" si="1">I6/$I$7</f>
        <v>-0.4233697599426729</v>
      </c>
      <c r="K6" s="22">
        <f t="shared" ref="K6:K7" si="2">H6-I6</f>
        <v>821.89999999999986</v>
      </c>
      <c r="L6" s="24">
        <f t="shared" ref="L6:L7" si="3">K6/I6</f>
        <v>-4.3472971543425363</v>
      </c>
      <c r="M6" s="22">
        <f>I6-C6</f>
        <v>-820.25</v>
      </c>
      <c r="N6" s="52">
        <f>M6/C6</f>
        <v>-1.2995294602259224</v>
      </c>
      <c r="O6" s="52">
        <f>I6/F6</f>
        <v>-9.943147453731703E-2</v>
      </c>
      <c r="P6" s="146">
        <f>26.18+9.93</f>
        <v>36.11</v>
      </c>
      <c r="Q6" s="162">
        <f>Q85+I6-I85</f>
        <v>369.26799999999992</v>
      </c>
      <c r="R6" s="68">
        <f>Q6-F6</f>
        <v>-1532.1420000000003</v>
      </c>
      <c r="S6" s="68"/>
    </row>
    <row r="7" spans="1:19">
      <c r="A7" s="27" t="s">
        <v>169</v>
      </c>
      <c r="B7" s="104">
        <f>SUM(B5:B6)</f>
        <v>7818.01</v>
      </c>
      <c r="C7" s="71">
        <f>ROUND('PU Wise OWE'!BK128/10000,2)</f>
        <v>1235.73</v>
      </c>
      <c r="D7" s="67">
        <f>SUM(D5:D6)</f>
        <v>1</v>
      </c>
      <c r="E7" s="67"/>
      <c r="F7" s="26">
        <f>ROUND('PU Wise OWE'!BK126/10000,2)</f>
        <v>5160.1400000000003</v>
      </c>
      <c r="G7" s="67">
        <f>SUM(G5:G6)</f>
        <v>1</v>
      </c>
      <c r="H7" s="25">
        <f>ROUND('PU Wise OWE'!BK127/10000,2)</f>
        <v>1262.54</v>
      </c>
      <c r="I7" s="25">
        <f>ROUND('PU Wise OWE'!BK129/10000,2)</f>
        <v>446.56</v>
      </c>
      <c r="J7" s="54">
        <f t="shared" si="1"/>
        <v>1</v>
      </c>
      <c r="K7" s="26">
        <f t="shared" si="2"/>
        <v>815.98</v>
      </c>
      <c r="L7" s="54">
        <f t="shared" si="3"/>
        <v>1.8272572554639914</v>
      </c>
      <c r="M7" s="26">
        <f>I7-C7</f>
        <v>-789.17000000000007</v>
      </c>
      <c r="N7" s="55">
        <f>M7/C7</f>
        <v>-0.63862656081830182</v>
      </c>
      <c r="O7" s="52">
        <f>I7/F7</f>
        <v>8.6540287666613688E-2</v>
      </c>
      <c r="Q7" s="68">
        <f>SUM(Q5:Q6)</f>
        <v>1216.4679999999998</v>
      </c>
      <c r="R7" s="68">
        <f>Q7-F7</f>
        <v>-3943.6720000000005</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170</v>
      </c>
      <c r="B10" s="62"/>
      <c r="C10" s="73"/>
      <c r="D10" s="63"/>
      <c r="E10" s="63"/>
      <c r="F10" s="63"/>
      <c r="G10" s="63"/>
      <c r="H10" s="63"/>
      <c r="I10" s="63"/>
      <c r="J10" s="63"/>
      <c r="K10" s="63"/>
      <c r="L10" s="63"/>
      <c r="M10" s="36" t="s">
        <v>148</v>
      </c>
    </row>
    <row r="11" spans="1:19" ht="15" customHeight="1">
      <c r="A11" s="406"/>
      <c r="B11" s="406" t="s">
        <v>293</v>
      </c>
      <c r="C11" s="417" t="str">
        <f>'PU Wise OWE'!$B$7</f>
        <v>Actual up to April-23</v>
      </c>
      <c r="D11" s="406" t="s">
        <v>171</v>
      </c>
      <c r="E11" s="406"/>
      <c r="F11" s="435" t="str">
        <f>'PU Wise OWE'!$B$5</f>
        <v>Vote On Acc 2024-25</v>
      </c>
      <c r="G11" s="406" t="s">
        <v>300</v>
      </c>
      <c r="H11" s="406" t="s">
        <v>307</v>
      </c>
      <c r="I11" s="417" t="str">
        <f>'PU Wise OWE'!B8</f>
        <v>Actual up to April-24</v>
      </c>
      <c r="J11" s="406" t="s">
        <v>203</v>
      </c>
      <c r="K11" s="403" t="s">
        <v>204</v>
      </c>
      <c r="L11" s="403"/>
      <c r="M11" s="403" t="s">
        <v>145</v>
      </c>
      <c r="N11" s="403"/>
      <c r="O11" s="386" t="s">
        <v>305</v>
      </c>
      <c r="P11" s="440" t="s">
        <v>265</v>
      </c>
      <c r="Q11" s="161"/>
    </row>
    <row r="12" spans="1:19" ht="17.25" customHeight="1">
      <c r="A12" s="407"/>
      <c r="B12" s="407"/>
      <c r="C12" s="407"/>
      <c r="D12" s="407"/>
      <c r="E12" s="407"/>
      <c r="F12" s="436"/>
      <c r="G12" s="407"/>
      <c r="H12" s="407"/>
      <c r="I12" s="407"/>
      <c r="J12" s="407"/>
      <c r="K12" s="64" t="s">
        <v>143</v>
      </c>
      <c r="L12" s="65" t="s">
        <v>144</v>
      </c>
      <c r="M12" s="64" t="s">
        <v>143</v>
      </c>
      <c r="N12" s="65" t="s">
        <v>144</v>
      </c>
      <c r="O12" s="386"/>
      <c r="P12" s="440"/>
      <c r="Q12" s="161"/>
    </row>
    <row r="13" spans="1:19" ht="15.75">
      <c r="A13" s="20" t="s">
        <v>150</v>
      </c>
      <c r="B13" s="105">
        <v>2522.8000000000002</v>
      </c>
      <c r="C13" s="70">
        <f>ROUND('PU Wise OWE'!$C$128/10000,2)</f>
        <v>234</v>
      </c>
      <c r="D13" s="66">
        <f>C13/$C$7</f>
        <v>0.18936175378116579</v>
      </c>
      <c r="E13" s="21"/>
      <c r="F13" s="22">
        <f>ROUND('PU Wise OWE'!$C$126/10000,2)</f>
        <v>1262.4100000000001</v>
      </c>
      <c r="G13" s="24">
        <f>F13/$F$7</f>
        <v>0.24464646308045906</v>
      </c>
      <c r="H13" s="23">
        <f>ROUND('PU Wise OWE'!$C$127/10000,2)</f>
        <v>239.86</v>
      </c>
      <c r="I13" s="23">
        <f>ROUND('PU Wise OWE'!$C$129/10000,2)</f>
        <v>249.65</v>
      </c>
      <c r="J13" s="24">
        <f>I13/$I$7</f>
        <v>0.55905141526334645</v>
      </c>
      <c r="K13" s="22">
        <f>H13-I13</f>
        <v>-9.789999999999992</v>
      </c>
      <c r="L13" s="24">
        <f>K13/I13</f>
        <v>-3.9214900861205652E-2</v>
      </c>
      <c r="M13" s="22">
        <f t="shared" ref="M13:M28" si="4">I13-C13</f>
        <v>15.650000000000006</v>
      </c>
      <c r="N13" s="52">
        <f t="shared" ref="N13:N28" si="5">M13/C13</f>
        <v>6.6880341880341906E-2</v>
      </c>
      <c r="O13" s="52">
        <f>I13/F13</f>
        <v>0.19775667176273951</v>
      </c>
      <c r="P13" s="154"/>
      <c r="Q13" s="162">
        <f>(I13/10)*12</f>
        <v>299.58</v>
      </c>
      <c r="R13" s="166">
        <f t="shared" ref="R13:R27" si="6">Q13-F13</f>
        <v>-962.83000000000015</v>
      </c>
    </row>
    <row r="14" spans="1:19" ht="15.75">
      <c r="A14" s="20" t="s">
        <v>151</v>
      </c>
      <c r="B14" s="105">
        <v>441.91</v>
      </c>
      <c r="C14" s="70">
        <f>ROUND('PU Wise OWE'!$D$128/10000,2)</f>
        <v>126.32</v>
      </c>
      <c r="D14" s="66">
        <f t="shared" ref="D14:D27" si="7">C14/$C$7</f>
        <v>0.10222297751126863</v>
      </c>
      <c r="E14" s="21"/>
      <c r="F14" s="22">
        <f>ROUND('PU Wise OWE'!$D$126/10000,2)</f>
        <v>790.99</v>
      </c>
      <c r="G14" s="24">
        <f t="shared" ref="G14:G27" si="8">F14/$F$7</f>
        <v>0.15328847666923764</v>
      </c>
      <c r="H14" s="23">
        <f>ROUND('PU Wise OWE'!$D$127/10000,2)</f>
        <v>150.29</v>
      </c>
      <c r="I14" s="23">
        <f>ROUND('PU Wise OWE'!$D$129/10000,2)</f>
        <v>153.30000000000001</v>
      </c>
      <c r="J14" s="24">
        <f t="shared" ref="J14:J28" si="9">I14/$I$7</f>
        <v>0.34329093514869224</v>
      </c>
      <c r="K14" s="22">
        <f t="shared" ref="K14:K28" si="10">H14-I14</f>
        <v>-3.0100000000000193</v>
      </c>
      <c r="L14" s="24">
        <f t="shared" ref="L14:L28" si="11">K14/I14</f>
        <v>-1.9634703196347157E-2</v>
      </c>
      <c r="M14" s="22">
        <f t="shared" si="4"/>
        <v>26.980000000000018</v>
      </c>
      <c r="N14" s="52">
        <f t="shared" si="5"/>
        <v>0.21358454718176076</v>
      </c>
      <c r="O14" s="52">
        <f t="shared" ref="O14:O27" si="12">I14/F14</f>
        <v>0.19380775989582677</v>
      </c>
      <c r="P14" s="154"/>
      <c r="Q14" s="162">
        <f>(I14/10)*12</f>
        <v>183.96000000000004</v>
      </c>
      <c r="R14" s="68">
        <f t="shared" si="6"/>
        <v>-607.03</v>
      </c>
    </row>
    <row r="15" spans="1:19" ht="15.75">
      <c r="A15" s="23" t="s">
        <v>172</v>
      </c>
      <c r="B15" s="22">
        <v>98.2</v>
      </c>
      <c r="C15" s="70">
        <f>ROUND('PU Wise OWE'!$E$128/10000,2)</f>
        <v>0.1</v>
      </c>
      <c r="D15" s="66">
        <f t="shared" si="7"/>
        <v>8.0923826402207609E-5</v>
      </c>
      <c r="E15" s="21"/>
      <c r="F15" s="22">
        <f>ROUND('PU Wise OWE'!$E$126/10000,2)</f>
        <v>0</v>
      </c>
      <c r="G15" s="24">
        <f t="shared" si="8"/>
        <v>0</v>
      </c>
      <c r="H15" s="23">
        <f>ROUND('PU Wise OWE'!$E$127/10000,2)</f>
        <v>0</v>
      </c>
      <c r="I15" s="23">
        <f>ROUND('PU Wise OWE'!$E$129/10000,2)</f>
        <v>0.06</v>
      </c>
      <c r="J15" s="24">
        <f t="shared" si="9"/>
        <v>1.3436044428520244E-4</v>
      </c>
      <c r="K15" s="22">
        <f t="shared" si="10"/>
        <v>-0.06</v>
      </c>
      <c r="L15" s="24">
        <f t="shared" si="11"/>
        <v>-1</v>
      </c>
      <c r="M15" s="22">
        <f t="shared" si="4"/>
        <v>-4.0000000000000008E-2</v>
      </c>
      <c r="N15" s="52">
        <f t="shared" si="5"/>
        <v>-0.40000000000000008</v>
      </c>
      <c r="O15" s="52" t="e">
        <f t="shared" si="12"/>
        <v>#DIV/0!</v>
      </c>
      <c r="P15" s="154" t="s">
        <v>266</v>
      </c>
      <c r="Q15" s="162">
        <f>F15</f>
        <v>0</v>
      </c>
      <c r="R15" s="68">
        <f t="shared" si="6"/>
        <v>0</v>
      </c>
    </row>
    <row r="16" spans="1:19" ht="15.75">
      <c r="A16" s="23" t="s">
        <v>173</v>
      </c>
      <c r="B16" s="22">
        <v>264.85000000000002</v>
      </c>
      <c r="C16" s="70">
        <f>ROUND('PU Wise OWE'!$F$128/10000,2)</f>
        <v>28.36</v>
      </c>
      <c r="D16" s="66">
        <f t="shared" si="7"/>
        <v>2.2949997167666075E-2</v>
      </c>
      <c r="E16" s="21"/>
      <c r="F16" s="22">
        <f>ROUND('PU Wise OWE'!$F$126/10000,2)</f>
        <v>184.56</v>
      </c>
      <c r="G16" s="24">
        <f t="shared" si="8"/>
        <v>3.5766471452324936E-2</v>
      </c>
      <c r="H16" s="23">
        <f>ROUND('PU Wise OWE'!$F$127/10000,2)</f>
        <v>35.07</v>
      </c>
      <c r="I16" s="23">
        <f>ROUND('PU Wise OWE'!$F$129/10000,2)</f>
        <v>30.65</v>
      </c>
      <c r="J16" s="24">
        <f t="shared" si="9"/>
        <v>6.8635793622357569E-2</v>
      </c>
      <c r="K16" s="22">
        <f t="shared" si="10"/>
        <v>4.4200000000000017</v>
      </c>
      <c r="L16" s="24">
        <f t="shared" si="11"/>
        <v>0.14420880913539974</v>
      </c>
      <c r="M16" s="22">
        <f t="shared" si="4"/>
        <v>2.2899999999999991</v>
      </c>
      <c r="N16" s="52">
        <f t="shared" si="5"/>
        <v>8.0747531734837771E-2</v>
      </c>
      <c r="O16" s="52">
        <f t="shared" si="12"/>
        <v>0.16607065452969222</v>
      </c>
      <c r="P16" s="154"/>
      <c r="Q16" s="162">
        <f>(I16/10)*12</f>
        <v>36.78</v>
      </c>
      <c r="R16" s="68">
        <f t="shared" si="6"/>
        <v>-147.78</v>
      </c>
    </row>
    <row r="17" spans="1:18" ht="15.75">
      <c r="A17" s="23" t="s">
        <v>174</v>
      </c>
      <c r="B17" s="22">
        <v>134.78</v>
      </c>
      <c r="C17" s="70">
        <f>ROUND('PU Wise OWE'!$G$128/10000,2)</f>
        <v>16.350000000000001</v>
      </c>
      <c r="D17" s="66">
        <f t="shared" si="7"/>
        <v>1.3231045616760945E-2</v>
      </c>
      <c r="E17" s="21"/>
      <c r="F17" s="22">
        <f>ROUND('PU Wise OWE'!$G$126/10000,2)</f>
        <v>92.82</v>
      </c>
      <c r="G17" s="24">
        <f t="shared" si="8"/>
        <v>1.7987884049657565E-2</v>
      </c>
      <c r="H17" s="23">
        <f>ROUND('PU Wise OWE'!$G$127/10000,2)</f>
        <v>17.64</v>
      </c>
      <c r="I17" s="23">
        <f>ROUND('PU Wise OWE'!$G$129/10000,2)</f>
        <v>18.5</v>
      </c>
      <c r="J17" s="24">
        <f t="shared" si="9"/>
        <v>4.1427803654604085E-2</v>
      </c>
      <c r="K17" s="22">
        <f t="shared" si="10"/>
        <v>-0.85999999999999943</v>
      </c>
      <c r="L17" s="24">
        <f t="shared" si="11"/>
        <v>-4.6486486486486456E-2</v>
      </c>
      <c r="M17" s="22">
        <f t="shared" si="4"/>
        <v>2.1499999999999986</v>
      </c>
      <c r="N17" s="52">
        <f t="shared" si="5"/>
        <v>0.13149847094801215</v>
      </c>
      <c r="O17" s="52">
        <f t="shared" si="12"/>
        <v>0.1993104934281405</v>
      </c>
      <c r="P17" s="154"/>
      <c r="Q17" s="162">
        <f>(I17/10)*12</f>
        <v>22.200000000000003</v>
      </c>
      <c r="R17" s="68">
        <f t="shared" si="6"/>
        <v>-70.61999999999999</v>
      </c>
    </row>
    <row r="18" spans="1:18" ht="15.75">
      <c r="A18" s="20" t="s">
        <v>152</v>
      </c>
      <c r="B18" s="105">
        <v>247.05</v>
      </c>
      <c r="C18" s="70">
        <f>ROUND('PU Wise OWE'!$H$128/10000,2)</f>
        <v>35.26</v>
      </c>
      <c r="D18" s="66">
        <f t="shared" si="7"/>
        <v>2.8533741189418399E-2</v>
      </c>
      <c r="E18" s="21"/>
      <c r="F18" s="22">
        <f>ROUND('PU Wise OWE'!$H$126/10000,2)</f>
        <v>276.83</v>
      </c>
      <c r="G18" s="24">
        <f t="shared" si="8"/>
        <v>5.3647769246570824E-2</v>
      </c>
      <c r="H18" s="23">
        <f>ROUND('PU Wise OWE'!$H$127/10000,2)</f>
        <v>32.450000000000003</v>
      </c>
      <c r="I18" s="23">
        <f>ROUND('PU Wise OWE'!$H$129/10000,2)</f>
        <v>40.99</v>
      </c>
      <c r="J18" s="24">
        <f t="shared" si="9"/>
        <v>9.1790576854174133E-2</v>
      </c>
      <c r="K18" s="22">
        <f t="shared" si="10"/>
        <v>-8.5399999999999991</v>
      </c>
      <c r="L18" s="24">
        <f t="shared" si="11"/>
        <v>-0.20834349841424735</v>
      </c>
      <c r="M18" s="22">
        <f t="shared" si="4"/>
        <v>5.730000000000004</v>
      </c>
      <c r="N18" s="52">
        <f t="shared" si="5"/>
        <v>0.16250709018718107</v>
      </c>
      <c r="O18" s="52">
        <f t="shared" si="12"/>
        <v>0.14806921215186217</v>
      </c>
      <c r="P18" s="154"/>
      <c r="Q18" s="162">
        <f>(I18/10)*12</f>
        <v>49.188000000000002</v>
      </c>
      <c r="R18" s="68">
        <f t="shared" si="6"/>
        <v>-227.642</v>
      </c>
    </row>
    <row r="19" spans="1:18" ht="72" customHeight="1">
      <c r="A19" s="56" t="s">
        <v>153</v>
      </c>
      <c r="B19" s="106">
        <v>188.24</v>
      </c>
      <c r="C19" s="70">
        <f>ROUND('PU Wise OWE'!$J$128/10000,2)</f>
        <v>40.380000000000003</v>
      </c>
      <c r="D19" s="66">
        <f t="shared" si="7"/>
        <v>3.2677041101211432E-2</v>
      </c>
      <c r="E19" s="21"/>
      <c r="F19" s="22">
        <f>ROUND('PU Wise OWE'!$J$126/10000,2)</f>
        <v>144.32</v>
      </c>
      <c r="G19" s="24">
        <f t="shared" si="8"/>
        <v>2.7968233420023483E-2</v>
      </c>
      <c r="H19" s="23">
        <f>ROUND('PU Wise OWE'!$J$127/10000,2)</f>
        <v>27.42</v>
      </c>
      <c r="I19" s="23">
        <f>ROUND('PU Wise OWE'!$J$129/10000,2)</f>
        <v>26.27</v>
      </c>
      <c r="J19" s="24">
        <f t="shared" si="9"/>
        <v>5.8827481189537796E-2</v>
      </c>
      <c r="K19" s="22">
        <f t="shared" si="10"/>
        <v>1.1500000000000021</v>
      </c>
      <c r="L19" s="24">
        <f t="shared" si="11"/>
        <v>4.3776170536734001E-2</v>
      </c>
      <c r="M19" s="22">
        <f t="shared" si="4"/>
        <v>-14.110000000000003</v>
      </c>
      <c r="N19" s="52">
        <f t="shared" si="5"/>
        <v>-0.34943041109460132</v>
      </c>
      <c r="O19" s="52">
        <f t="shared" si="12"/>
        <v>0.18202605321507762</v>
      </c>
      <c r="P19" s="155" t="s">
        <v>280</v>
      </c>
      <c r="Q19" s="162">
        <f>(I19-10.57)/10*2+I19</f>
        <v>29.41</v>
      </c>
      <c r="R19" s="166">
        <f t="shared" si="6"/>
        <v>-114.91</v>
      </c>
    </row>
    <row r="20" spans="1:18" ht="48" customHeight="1">
      <c r="A20" s="20" t="s">
        <v>154</v>
      </c>
      <c r="B20" s="105">
        <v>12.03</v>
      </c>
      <c r="C20" s="70">
        <f>ROUND('PU Wise OWE'!$K$128/10000,2)</f>
        <v>3.1</v>
      </c>
      <c r="D20" s="66">
        <f t="shared" si="7"/>
        <v>2.5086386184684359E-3</v>
      </c>
      <c r="E20" s="21"/>
      <c r="F20" s="22">
        <f>ROUND('PU Wise OWE'!$K$126/10000,2)</f>
        <v>9.0299999999999994</v>
      </c>
      <c r="G20" s="24">
        <f t="shared" si="8"/>
        <v>1.7499525206680436E-3</v>
      </c>
      <c r="H20" s="23">
        <f>ROUND('PU Wise OWE'!$K$127/10000,2)</f>
        <v>1.72</v>
      </c>
      <c r="I20" s="23">
        <f>ROUND('PU Wise OWE'!$K$129/10000,2)</f>
        <v>1.1399999999999999</v>
      </c>
      <c r="J20" s="24">
        <f t="shared" si="9"/>
        <v>2.5528484414188463E-3</v>
      </c>
      <c r="K20" s="22">
        <f t="shared" si="10"/>
        <v>0.58000000000000007</v>
      </c>
      <c r="L20" s="24">
        <f t="shared" si="11"/>
        <v>0.50877192982456154</v>
      </c>
      <c r="M20" s="22">
        <f t="shared" si="4"/>
        <v>-1.9600000000000002</v>
      </c>
      <c r="N20" s="52">
        <f t="shared" si="5"/>
        <v>-0.63225806451612909</v>
      </c>
      <c r="O20" s="52">
        <f t="shared" si="12"/>
        <v>0.12624584717607973</v>
      </c>
      <c r="P20" s="155" t="s">
        <v>279</v>
      </c>
      <c r="Q20" s="162">
        <f>(I20-1.36)/10*2+I20</f>
        <v>1.0959999999999999</v>
      </c>
      <c r="R20" s="68">
        <f t="shared" si="6"/>
        <v>-7.9339999999999993</v>
      </c>
    </row>
    <row r="21" spans="1:18" ht="60">
      <c r="A21" s="20" t="s">
        <v>155</v>
      </c>
      <c r="B21" s="105">
        <v>48.93</v>
      </c>
      <c r="C21" s="70">
        <f>ROUND('PU Wise OWE'!$L$128/10000,2)</f>
        <v>15.11</v>
      </c>
      <c r="D21" s="66">
        <f t="shared" si="7"/>
        <v>1.2227590169373567E-2</v>
      </c>
      <c r="E21" s="21"/>
      <c r="F21" s="22">
        <f>ROUND('PU Wise OWE'!$L$126/10000,2)</f>
        <v>39.19</v>
      </c>
      <c r="G21" s="24">
        <f t="shared" si="8"/>
        <v>7.5947551810609778E-3</v>
      </c>
      <c r="H21" s="23">
        <f>ROUND('PU Wise OWE'!$L$127/10000,2)</f>
        <v>7.45</v>
      </c>
      <c r="I21" s="23">
        <f>ROUND('PU Wise OWE'!$L$129/10000,2)</f>
        <v>9.67</v>
      </c>
      <c r="J21" s="24">
        <f t="shared" si="9"/>
        <v>2.165442493729846E-2</v>
      </c>
      <c r="K21" s="22">
        <f t="shared" si="10"/>
        <v>-2.2199999999999998</v>
      </c>
      <c r="L21" s="24">
        <f t="shared" si="11"/>
        <v>-0.22957600827300928</v>
      </c>
      <c r="M21" s="22">
        <f t="shared" si="4"/>
        <v>-5.4399999999999995</v>
      </c>
      <c r="N21" s="52">
        <f t="shared" si="5"/>
        <v>-0.36002647253474518</v>
      </c>
      <c r="O21" s="52">
        <f t="shared" si="12"/>
        <v>0.24674661903546824</v>
      </c>
      <c r="P21" s="155" t="s">
        <v>281</v>
      </c>
      <c r="Q21" s="162">
        <f>(I21-2.68)/10*2+I21</f>
        <v>11.068</v>
      </c>
      <c r="R21" s="68">
        <f t="shared" si="6"/>
        <v>-28.122</v>
      </c>
    </row>
    <row r="22" spans="1:18" ht="45">
      <c r="A22" s="20" t="s">
        <v>177</v>
      </c>
      <c r="B22" s="105">
        <v>120.4</v>
      </c>
      <c r="C22" s="70">
        <f>ROUND('PU Wise OWE'!$M$128/10000,2)</f>
        <v>13.04</v>
      </c>
      <c r="D22" s="66">
        <f t="shared" si="7"/>
        <v>1.0552466962847871E-2</v>
      </c>
      <c r="E22" s="21"/>
      <c r="F22" s="22">
        <f>ROUND('PU Wise OWE'!$M$126/10000,2)</f>
        <v>69.760000000000005</v>
      </c>
      <c r="G22" s="24">
        <f t="shared" si="8"/>
        <v>1.3519013050033526E-2</v>
      </c>
      <c r="H22" s="23">
        <f>ROUND('PU Wise OWE'!$M$127/10000,2)</f>
        <v>13.25</v>
      </c>
      <c r="I22" s="23">
        <f>ROUND('PU Wise OWE'!$M$129/10000,2)</f>
        <v>12.13</v>
      </c>
      <c r="J22" s="24">
        <f t="shared" si="9"/>
        <v>2.7163203152991762E-2</v>
      </c>
      <c r="K22" s="22">
        <f t="shared" si="10"/>
        <v>1.1199999999999992</v>
      </c>
      <c r="L22" s="24">
        <f t="shared" si="11"/>
        <v>9.2333058532563822E-2</v>
      </c>
      <c r="M22" s="22">
        <f t="shared" si="4"/>
        <v>-0.90999999999999837</v>
      </c>
      <c r="N22" s="52">
        <f t="shared" si="5"/>
        <v>-6.9785276073619507E-2</v>
      </c>
      <c r="O22" s="52">
        <f t="shared" si="12"/>
        <v>0.17388188073394495</v>
      </c>
      <c r="P22" s="155" t="s">
        <v>267</v>
      </c>
      <c r="Q22" s="162">
        <f>(I22/10)*12</f>
        <v>14.556000000000001</v>
      </c>
      <c r="R22" s="68">
        <f t="shared" si="6"/>
        <v>-55.204000000000008</v>
      </c>
    </row>
    <row r="23" spans="1:18" ht="60">
      <c r="A23" s="56" t="s">
        <v>156</v>
      </c>
      <c r="B23" s="106">
        <v>88.73</v>
      </c>
      <c r="C23" s="70">
        <f>ROUND('PU Wise OWE'!$P$128/10000,2)</f>
        <v>21.44</v>
      </c>
      <c r="D23" s="66">
        <f t="shared" si="7"/>
        <v>1.7350068380633309E-2</v>
      </c>
      <c r="E23" s="21"/>
      <c r="F23" s="22">
        <f>ROUND('PU Wise OWE'!$P$126/10000,2)</f>
        <v>60.4</v>
      </c>
      <c r="G23" s="24">
        <f t="shared" si="8"/>
        <v>1.1705108776118476E-2</v>
      </c>
      <c r="H23" s="23">
        <f>ROUND('PU Wise OWE'!$P$127/10000,2)</f>
        <v>11.48</v>
      </c>
      <c r="I23" s="23">
        <f>ROUND('PU Wise OWE'!$P$129/10000,2)</f>
        <v>15.45</v>
      </c>
      <c r="J23" s="24">
        <f t="shared" si="9"/>
        <v>3.4597814403439626E-2</v>
      </c>
      <c r="K23" s="22">
        <f t="shared" si="10"/>
        <v>-3.9699999999999989</v>
      </c>
      <c r="L23" s="24">
        <f t="shared" si="11"/>
        <v>-0.25695792880258894</v>
      </c>
      <c r="M23" s="22">
        <f t="shared" si="4"/>
        <v>-5.990000000000002</v>
      </c>
      <c r="N23" s="52">
        <f t="shared" si="5"/>
        <v>-0.27938432835820903</v>
      </c>
      <c r="O23" s="52">
        <f t="shared" si="12"/>
        <v>0.25579470198675497</v>
      </c>
      <c r="P23" s="155" t="s">
        <v>288</v>
      </c>
      <c r="Q23" s="162">
        <f>(I23-11.45)/10*2+I23</f>
        <v>16.25</v>
      </c>
      <c r="R23" s="166">
        <f t="shared" si="6"/>
        <v>-44.15</v>
      </c>
    </row>
    <row r="24" spans="1:18" ht="34.15" customHeight="1">
      <c r="A24" s="56" t="s">
        <v>157</v>
      </c>
      <c r="B24" s="106">
        <v>81.78</v>
      </c>
      <c r="C24" s="70">
        <f>ROUND('PU Wise OWE'!$S$128/10000,2)</f>
        <v>23.33</v>
      </c>
      <c r="D24" s="66">
        <f t="shared" si="7"/>
        <v>1.8879528699635034E-2</v>
      </c>
      <c r="E24" s="21"/>
      <c r="F24" s="22">
        <f>ROUND('PU Wise OWE'!$S$126/10000,2)</f>
        <v>98.99</v>
      </c>
      <c r="G24" s="24">
        <f t="shared" si="8"/>
        <v>1.9183588042184899E-2</v>
      </c>
      <c r="H24" s="23">
        <f>ROUND('PU Wise OWE'!$S$127/10000,2)</f>
        <v>49.5</v>
      </c>
      <c r="I24" s="23">
        <f>ROUND('PU Wise OWE'!$S$129/10000,2)</f>
        <v>4.3600000000000003</v>
      </c>
      <c r="J24" s="24">
        <f t="shared" si="9"/>
        <v>9.7635256180580443E-3</v>
      </c>
      <c r="K24" s="22">
        <f t="shared" si="10"/>
        <v>45.14</v>
      </c>
      <c r="L24" s="24">
        <f t="shared" si="11"/>
        <v>10.353211009174311</v>
      </c>
      <c r="M24" s="22">
        <f t="shared" si="4"/>
        <v>-18.97</v>
      </c>
      <c r="N24" s="52">
        <f t="shared" si="5"/>
        <v>-0.81311615945135018</v>
      </c>
      <c r="O24" s="52">
        <f t="shared" si="12"/>
        <v>4.404485301545611E-2</v>
      </c>
      <c r="P24" s="155" t="s">
        <v>268</v>
      </c>
      <c r="Q24" s="162">
        <f>F24</f>
        <v>98.99</v>
      </c>
      <c r="R24" s="68">
        <f t="shared" si="6"/>
        <v>0</v>
      </c>
    </row>
    <row r="25" spans="1:18" ht="28.9" customHeight="1">
      <c r="A25" s="56" t="s">
        <v>158</v>
      </c>
      <c r="B25" s="106">
        <v>90.5</v>
      </c>
      <c r="C25" s="70">
        <f>ROUND('PU Wise OWE'!$T$128/10000,2)</f>
        <v>29.85</v>
      </c>
      <c r="D25" s="66">
        <f t="shared" si="7"/>
        <v>2.4155762181058971E-2</v>
      </c>
      <c r="E25" s="21"/>
      <c r="F25" s="22">
        <f>ROUND('PU Wise OWE'!$T$126/10000,2)</f>
        <v>83.93</v>
      </c>
      <c r="G25" s="24">
        <f t="shared" si="8"/>
        <v>1.6265062575821585E-2</v>
      </c>
      <c r="H25" s="22">
        <f>ROUND('PU Wise OWE'!$T$127/10000,2)</f>
        <v>15.95</v>
      </c>
      <c r="I25" s="23">
        <f>ROUND('PU Wise OWE'!$T$129/10000,2)</f>
        <v>53.04</v>
      </c>
      <c r="J25" s="24">
        <f t="shared" si="9"/>
        <v>0.11877463274811895</v>
      </c>
      <c r="K25" s="22">
        <f t="shared" si="10"/>
        <v>-37.090000000000003</v>
      </c>
      <c r="L25" s="24">
        <f t="shared" si="11"/>
        <v>-0.69928355957767729</v>
      </c>
      <c r="M25" s="22">
        <f t="shared" si="4"/>
        <v>23.189999999999998</v>
      </c>
      <c r="N25" s="52">
        <f t="shared" si="5"/>
        <v>0.77688442211055264</v>
      </c>
      <c r="O25" s="52">
        <f t="shared" si="12"/>
        <v>0.63195520076254019</v>
      </c>
      <c r="P25" s="155" t="s">
        <v>282</v>
      </c>
      <c r="Q25" s="162">
        <f>(I25-4)/10*2+I25</f>
        <v>62.847999999999999</v>
      </c>
      <c r="R25" s="68">
        <f t="shared" si="6"/>
        <v>-21.082000000000008</v>
      </c>
    </row>
    <row r="26" spans="1:18" ht="42.6" customHeight="1">
      <c r="A26" s="56" t="s">
        <v>176</v>
      </c>
      <c r="B26" s="106">
        <v>41.07</v>
      </c>
      <c r="C26" s="70">
        <f>ROUND('PU Wise OWE'!$V$128/10000,2)</f>
        <v>1.05</v>
      </c>
      <c r="D26" s="66">
        <f t="shared" si="7"/>
        <v>8.4970017722317982E-4</v>
      </c>
      <c r="E26" s="22"/>
      <c r="F26" s="22">
        <f>ROUND('PU Wise OWE'!$V$126/10000,2)</f>
        <v>36.56</v>
      </c>
      <c r="G26" s="24">
        <f t="shared" si="8"/>
        <v>7.0850790870015156E-3</v>
      </c>
      <c r="H26" s="22">
        <f>ROUND('PU Wise OWE'!$V$127/10000,2)</f>
        <v>6.95</v>
      </c>
      <c r="I26" s="23">
        <f>ROUND('PU Wise OWE'!$V$129/10000,2)</f>
        <v>2.2000000000000002</v>
      </c>
      <c r="J26" s="24">
        <f t="shared" si="9"/>
        <v>4.9265496237907566E-3</v>
      </c>
      <c r="K26" s="22">
        <f t="shared" si="10"/>
        <v>4.75</v>
      </c>
      <c r="L26" s="24">
        <f t="shared" si="11"/>
        <v>2.1590909090909087</v>
      </c>
      <c r="M26" s="22">
        <f t="shared" si="4"/>
        <v>1.1500000000000001</v>
      </c>
      <c r="N26" s="52">
        <f t="shared" si="5"/>
        <v>1.0952380952380953</v>
      </c>
      <c r="O26" s="52">
        <f t="shared" si="12"/>
        <v>6.0175054704595186E-2</v>
      </c>
      <c r="P26" s="155" t="s">
        <v>285</v>
      </c>
      <c r="Q26" s="162">
        <f>(I26-3.4)/10*2+I26</f>
        <v>1.9600000000000002</v>
      </c>
      <c r="R26" s="68">
        <f t="shared" si="6"/>
        <v>-34.6</v>
      </c>
    </row>
    <row r="27" spans="1:18" ht="60" customHeight="1">
      <c r="A27" s="56" t="s">
        <v>175</v>
      </c>
      <c r="B27" s="106">
        <v>169.78</v>
      </c>
      <c r="C27" s="70">
        <f>ROUND('PU Wise OWE'!$AC$128/10000,2)</f>
        <v>12.74</v>
      </c>
      <c r="D27" s="66">
        <f t="shared" si="7"/>
        <v>1.0309695483641249E-2</v>
      </c>
      <c r="E27" s="22"/>
      <c r="F27" s="22">
        <f>ROUND('PU Wise OWE'!$AC$126/10000,2)</f>
        <v>91.08</v>
      </c>
      <c r="G27" s="24">
        <f t="shared" si="8"/>
        <v>1.7650683896173358E-2</v>
      </c>
      <c r="H27" s="23">
        <f>ROUND('PU Wise OWE'!$AC$127/10000,2)</f>
        <v>17.309999999999999</v>
      </c>
      <c r="I27" s="23">
        <f>ROUND('PU Wise OWE'!$AC$129/10000,2)</f>
        <v>14.87</v>
      </c>
      <c r="J27" s="24">
        <f t="shared" si="9"/>
        <v>3.3298996775349338E-2</v>
      </c>
      <c r="K27" s="22">
        <f t="shared" si="10"/>
        <v>2.4399999999999995</v>
      </c>
      <c r="L27" s="24">
        <f t="shared" si="11"/>
        <v>0.16408876933422997</v>
      </c>
      <c r="M27" s="22">
        <f t="shared" si="4"/>
        <v>2.129999999999999</v>
      </c>
      <c r="N27" s="52">
        <f t="shared" si="5"/>
        <v>0.16718995290423855</v>
      </c>
      <c r="O27" s="52">
        <f t="shared" si="12"/>
        <v>0.16326306543697847</v>
      </c>
      <c r="P27" s="155" t="s">
        <v>284</v>
      </c>
      <c r="Q27" s="162">
        <f>(I27-9.35)/10*2+I27</f>
        <v>15.973999999999998</v>
      </c>
      <c r="R27" s="68">
        <f t="shared" si="6"/>
        <v>-75.105999999999995</v>
      </c>
    </row>
    <row r="28" spans="1:18">
      <c r="A28" s="25" t="s">
        <v>147</v>
      </c>
      <c r="B28" s="26">
        <f>SUM(B13:B27)</f>
        <v>4551.0499999999993</v>
      </c>
      <c r="C28" s="74">
        <f>SUM(C13:C27)</f>
        <v>600.43000000000018</v>
      </c>
      <c r="D28" s="54">
        <f>SUM(D13:D27)</f>
        <v>0.48589093086677526</v>
      </c>
      <c r="E28" s="26"/>
      <c r="F28" s="26">
        <f>F5</f>
        <v>3258.73</v>
      </c>
      <c r="G28" s="54">
        <f t="shared" ref="G28:I28" si="13">SUM(G13:G27)</f>
        <v>0.62805854104733605</v>
      </c>
      <c r="H28" s="26">
        <f>SUM(H13:H27)</f>
        <v>626.34</v>
      </c>
      <c r="I28" s="26">
        <f t="shared" si="13"/>
        <v>632.28000000000009</v>
      </c>
      <c r="J28" s="54">
        <f t="shared" si="9"/>
        <v>1.4158903618774634</v>
      </c>
      <c r="K28" s="26">
        <f t="shared" si="10"/>
        <v>-5.9400000000000546</v>
      </c>
      <c r="L28" s="54">
        <f t="shared" si="11"/>
        <v>-9.3945720250522766E-3</v>
      </c>
      <c r="M28" s="26">
        <f t="shared" si="4"/>
        <v>31.849999999999909</v>
      </c>
      <c r="N28" s="55">
        <f t="shared" si="5"/>
        <v>5.3045317522442084E-2</v>
      </c>
      <c r="Q28" s="74">
        <f>SUM(Q13:Q27)</f>
        <v>843.86000000000013</v>
      </c>
      <c r="R28" s="74">
        <f>SUM(R13:R27)</f>
        <v>-2397.0100000000002</v>
      </c>
    </row>
    <row r="29" spans="1:18">
      <c r="I29" s="68"/>
      <c r="J29" s="68"/>
      <c r="K29" s="68"/>
      <c r="L29" s="68"/>
      <c r="Q29" s="163"/>
    </row>
    <row r="30" spans="1:18">
      <c r="Q30" s="163"/>
    </row>
    <row r="31" spans="1:18">
      <c r="A31" s="75" t="s">
        <v>178</v>
      </c>
      <c r="B31" s="75"/>
      <c r="C31" s="76"/>
      <c r="D31" s="77"/>
      <c r="M31" s="152" t="s">
        <v>148</v>
      </c>
      <c r="Q31" s="163"/>
    </row>
    <row r="32" spans="1:18" ht="15" customHeight="1">
      <c r="A32" s="370"/>
      <c r="B32" s="397" t="s">
        <v>293</v>
      </c>
      <c r="C32" s="402" t="str">
        <f>'PU Wise OWE'!$B$7</f>
        <v>Actual up to April-23</v>
      </c>
      <c r="D32" s="397" t="s">
        <v>171</v>
      </c>
      <c r="E32" s="397"/>
      <c r="F32" s="431" t="str">
        <f>'PU Wise OWE'!$B$5</f>
        <v>Vote On Acc 2024-25</v>
      </c>
      <c r="G32" s="397" t="s">
        <v>300</v>
      </c>
      <c r="H32" s="397" t="s">
        <v>307</v>
      </c>
      <c r="I32" s="402" t="str">
        <f>'PU Wise OWE'!B8</f>
        <v>Actual up to April-24</v>
      </c>
      <c r="J32" s="397" t="s">
        <v>203</v>
      </c>
      <c r="K32" s="369" t="s">
        <v>204</v>
      </c>
      <c r="L32" s="369"/>
      <c r="M32" s="369" t="s">
        <v>145</v>
      </c>
      <c r="N32" s="369"/>
      <c r="O32" s="370" t="s">
        <v>305</v>
      </c>
      <c r="P32" s="440" t="s">
        <v>265</v>
      </c>
      <c r="Q32" s="164"/>
    </row>
    <row r="33" spans="1:18" ht="17.25" customHeight="1">
      <c r="A33" s="370"/>
      <c r="B33" s="398"/>
      <c r="C33" s="398"/>
      <c r="D33" s="398"/>
      <c r="E33" s="398"/>
      <c r="F33" s="432"/>
      <c r="G33" s="398"/>
      <c r="H33" s="398"/>
      <c r="I33" s="398"/>
      <c r="J33" s="398"/>
      <c r="K33" s="79" t="s">
        <v>143</v>
      </c>
      <c r="L33" s="80" t="s">
        <v>144</v>
      </c>
      <c r="M33" s="79" t="s">
        <v>143</v>
      </c>
      <c r="N33" s="80" t="s">
        <v>144</v>
      </c>
      <c r="O33" s="370"/>
      <c r="P33" s="440"/>
      <c r="Q33" s="164"/>
    </row>
    <row r="34" spans="1:18" ht="15" customHeight="1">
      <c r="A34" s="84" t="s">
        <v>179</v>
      </c>
      <c r="B34" s="107">
        <v>10.44</v>
      </c>
      <c r="C34" s="70">
        <f>ROUND(('PU Wise OWE'!$AE$128+'PU Wise OWE'!$AF$128)/10000,2)</f>
        <v>0.88</v>
      </c>
      <c r="D34" s="85">
        <f>C34/$C$7</f>
        <v>7.121296723394269E-4</v>
      </c>
      <c r="E34" s="21"/>
      <c r="F34" s="22">
        <f>ROUND(('PU Wise OWE'!$AE$126+'PU Wise OWE'!$AF$126)/10000,2)</f>
        <v>3.72</v>
      </c>
      <c r="G34" s="24">
        <f t="shared" ref="G34:G37" si="14">F34/$F$7</f>
        <v>7.2091067296623738E-4</v>
      </c>
      <c r="H34" s="23">
        <f>ROUND(('PU Wise OWE'!$AE$127+'PU Wise OWE'!$AF$127)/10000,2)</f>
        <v>0.89</v>
      </c>
      <c r="I34" s="23">
        <f>ROUND(('PU Wise OWE'!$AE$129+'PU Wise OWE'!$AF$129)/10000,2)</f>
        <v>0.97</v>
      </c>
      <c r="J34" s="24">
        <f t="shared" ref="J34:J37" si="15">I34/$I$7</f>
        <v>2.1721605159441058E-3</v>
      </c>
      <c r="K34" s="22">
        <f t="shared" ref="K34" si="16">H34-I34</f>
        <v>-7.999999999999996E-2</v>
      </c>
      <c r="L34" s="24">
        <f t="shared" ref="L34" si="17">K34/I34</f>
        <v>-8.2474226804123668E-2</v>
      </c>
      <c r="M34" s="22">
        <f>I34-C34</f>
        <v>8.9999999999999969E-2</v>
      </c>
      <c r="N34" s="52">
        <f>M34/C34</f>
        <v>0.10227272727272724</v>
      </c>
      <c r="O34" s="52">
        <f t="shared" ref="O34:O37" si="18">I34/F34</f>
        <v>0.260752688172043</v>
      </c>
      <c r="P34" s="443" t="s">
        <v>276</v>
      </c>
      <c r="Q34" s="162">
        <f>(I34/10)*12</f>
        <v>1.1640000000000001</v>
      </c>
      <c r="R34" s="68">
        <f>Q34-F34</f>
        <v>-2.556</v>
      </c>
    </row>
    <row r="35" spans="1:18" ht="16.5" customHeight="1">
      <c r="A35" s="84" t="s">
        <v>180</v>
      </c>
      <c r="B35" s="107">
        <v>21.76</v>
      </c>
      <c r="C35" s="70">
        <f>ROUND('PU Wise OWE'!$AG$128/10000,2)</f>
        <v>2.17</v>
      </c>
      <c r="D35" s="85">
        <f t="shared" ref="D35:D37" si="19">C35/$C$7</f>
        <v>1.7560470329279049E-3</v>
      </c>
      <c r="E35" s="21"/>
      <c r="F35" s="22">
        <f>ROUND('PU Wise OWE'!$AG$126/10000,2)</f>
        <v>8.61</v>
      </c>
      <c r="G35" s="24">
        <f t="shared" si="14"/>
        <v>1.6685593801718556E-3</v>
      </c>
      <c r="H35" s="23">
        <f>ROUND('PU Wise OWE'!$AG$127/10000,2)</f>
        <v>2.0699999999999998</v>
      </c>
      <c r="I35" s="23">
        <f>ROUND('PU Wise OWE'!$AG$129/10000,2)</f>
        <v>5.53</v>
      </c>
      <c r="J35" s="24">
        <f t="shared" si="15"/>
        <v>1.2383554281619491E-2</v>
      </c>
      <c r="K35" s="22">
        <f t="shared" ref="K35:K37" si="20">H35-I35</f>
        <v>-3.4600000000000004</v>
      </c>
      <c r="L35" s="24">
        <f t="shared" ref="L35:L37" si="21">K35/I35</f>
        <v>-0.62567811934900552</v>
      </c>
      <c r="M35" s="22">
        <f>I35-C35</f>
        <v>3.3600000000000003</v>
      </c>
      <c r="N35" s="52">
        <f>M35/C35</f>
        <v>1.5483870967741937</v>
      </c>
      <c r="O35" s="52">
        <f t="shared" si="18"/>
        <v>0.64227642276422769</v>
      </c>
      <c r="P35" s="444"/>
      <c r="Q35" s="162">
        <f>(I35/10)*12+6</f>
        <v>12.636000000000001</v>
      </c>
      <c r="R35" s="166">
        <f>Q35-F35</f>
        <v>4.0260000000000016</v>
      </c>
    </row>
    <row r="36" spans="1:18" ht="15.75" customHeight="1">
      <c r="A36" s="84" t="s">
        <v>181</v>
      </c>
      <c r="B36" s="107">
        <v>2.4700000000000002</v>
      </c>
      <c r="C36" s="70">
        <f>ROUND('PU Wise OWE'!$AJ$128/10000,2)</f>
        <v>0.2</v>
      </c>
      <c r="D36" s="85">
        <f t="shared" si="19"/>
        <v>1.6184765280441522E-4</v>
      </c>
      <c r="E36" s="21"/>
      <c r="F36" s="22">
        <f>ROUND('PU Wise OWE'!$AJ$126/10000,2)</f>
        <v>1.98</v>
      </c>
      <c r="G36" s="24">
        <f t="shared" si="14"/>
        <v>3.8371051948202955E-4</v>
      </c>
      <c r="H36" s="23">
        <f>ROUND('PU Wise OWE'!$AJ$127/10000,2)</f>
        <v>0.48</v>
      </c>
      <c r="I36" s="23">
        <f>ROUND('PU Wise OWE'!$AJ$129/10000,2)</f>
        <v>0.3</v>
      </c>
      <c r="J36" s="24">
        <f t="shared" si="15"/>
        <v>6.7180222142601217E-4</v>
      </c>
      <c r="K36" s="22">
        <f t="shared" si="20"/>
        <v>0.18</v>
      </c>
      <c r="L36" s="24">
        <f t="shared" si="21"/>
        <v>0.6</v>
      </c>
      <c r="M36" s="22">
        <f>I36-C36</f>
        <v>9.9999999999999978E-2</v>
      </c>
      <c r="N36" s="52">
        <f>M36/C36</f>
        <v>0.49999999999999989</v>
      </c>
      <c r="O36" s="52">
        <f t="shared" si="18"/>
        <v>0.15151515151515152</v>
      </c>
      <c r="P36" s="444"/>
      <c r="Q36" s="162">
        <f>(I36/10)*12</f>
        <v>0.36</v>
      </c>
      <c r="R36" s="68">
        <f>Q36-F36</f>
        <v>-1.62</v>
      </c>
    </row>
    <row r="37" spans="1:18">
      <c r="A37" s="25" t="s">
        <v>147</v>
      </c>
      <c r="B37" s="26">
        <v>34.619999999999997</v>
      </c>
      <c r="C37" s="74">
        <f>SUM(C34:C36)</f>
        <v>3.25</v>
      </c>
      <c r="D37" s="86">
        <f t="shared" si="19"/>
        <v>2.6300243580717471E-3</v>
      </c>
      <c r="E37" s="26"/>
      <c r="F37" s="74">
        <f t="shared" ref="F37:I37" si="22">SUM(F34:F36)</f>
        <v>14.31</v>
      </c>
      <c r="G37" s="54">
        <f t="shared" si="14"/>
        <v>2.7731805726201224E-3</v>
      </c>
      <c r="H37" s="74">
        <f t="shared" si="22"/>
        <v>3.44</v>
      </c>
      <c r="I37" s="74">
        <f t="shared" si="22"/>
        <v>6.8</v>
      </c>
      <c r="J37" s="54">
        <f t="shared" si="15"/>
        <v>1.522751701898961E-2</v>
      </c>
      <c r="K37" s="26">
        <f t="shared" si="20"/>
        <v>-3.36</v>
      </c>
      <c r="L37" s="54">
        <f t="shared" si="21"/>
        <v>-0.49411764705882355</v>
      </c>
      <c r="M37" s="26">
        <f>I37-C37</f>
        <v>3.55</v>
      </c>
      <c r="N37" s="55">
        <f>M37/C37</f>
        <v>1.0923076923076922</v>
      </c>
      <c r="O37" s="52">
        <f t="shared" si="18"/>
        <v>0.47519217330538083</v>
      </c>
      <c r="P37" s="445"/>
      <c r="Q37" s="74">
        <f>SUM(Q34:Q36)</f>
        <v>14.16</v>
      </c>
      <c r="R37" s="74">
        <f>SUM(R34:R36)</f>
        <v>-0.14999999999999858</v>
      </c>
    </row>
    <row r="38" spans="1:18">
      <c r="Q38" s="163"/>
    </row>
    <row r="39" spans="1:18" ht="15.75" thickBot="1">
      <c r="A39" s="82"/>
      <c r="B39" s="82"/>
      <c r="C39" s="83"/>
      <c r="D39" s="82"/>
      <c r="M39" s="152" t="s">
        <v>148</v>
      </c>
      <c r="Q39" s="163"/>
    </row>
    <row r="40" spans="1:18" ht="15" customHeight="1">
      <c r="A40" s="370" t="s">
        <v>162</v>
      </c>
      <c r="B40" s="397" t="s">
        <v>293</v>
      </c>
      <c r="C40" s="402" t="str">
        <f>'PU Wise OWE'!$B$7</f>
        <v>Actual up to April-23</v>
      </c>
      <c r="D40" s="397" t="s">
        <v>171</v>
      </c>
      <c r="E40" s="397"/>
      <c r="F40" s="431" t="str">
        <f>'PU Wise OWE'!$B$5</f>
        <v>Vote On Acc 2024-25</v>
      </c>
      <c r="G40" s="397" t="s">
        <v>300</v>
      </c>
      <c r="H40" s="397" t="s">
        <v>307</v>
      </c>
      <c r="I40" s="402" t="str">
        <f>'PU Wise OWE'!B8</f>
        <v>Actual up to April-24</v>
      </c>
      <c r="J40" s="397" t="s">
        <v>203</v>
      </c>
      <c r="K40" s="369" t="s">
        <v>204</v>
      </c>
      <c r="L40" s="369"/>
      <c r="M40" s="369" t="s">
        <v>145</v>
      </c>
      <c r="N40" s="369"/>
      <c r="O40" s="370" t="s">
        <v>305</v>
      </c>
      <c r="P40" s="441" t="s">
        <v>265</v>
      </c>
      <c r="Q40" s="164"/>
    </row>
    <row r="41" spans="1:18" ht="30">
      <c r="A41" s="370"/>
      <c r="B41" s="398"/>
      <c r="C41" s="398"/>
      <c r="D41" s="398"/>
      <c r="E41" s="398"/>
      <c r="F41" s="432"/>
      <c r="G41" s="398"/>
      <c r="H41" s="398"/>
      <c r="I41" s="398"/>
      <c r="J41" s="398"/>
      <c r="K41" s="79" t="s">
        <v>143</v>
      </c>
      <c r="L41" s="80" t="s">
        <v>144</v>
      </c>
      <c r="M41" s="79" t="s">
        <v>143</v>
      </c>
      <c r="N41" s="80" t="s">
        <v>144</v>
      </c>
      <c r="O41" s="370"/>
      <c r="P41" s="442"/>
      <c r="Q41" s="164"/>
    </row>
    <row r="42" spans="1:18" ht="15.75">
      <c r="A42" s="27" t="s">
        <v>163</v>
      </c>
      <c r="B42" s="104">
        <v>273.47000000000003</v>
      </c>
      <c r="C42" s="70">
        <f>SUM(C43:C47)</f>
        <v>21.64</v>
      </c>
      <c r="D42" s="85">
        <f t="shared" ref="D42:D49" si="23">C42/$C$7</f>
        <v>1.7511916033437724E-2</v>
      </c>
      <c r="E42" s="97"/>
      <c r="F42" s="21">
        <f>SUM(F43:F47)</f>
        <v>61.44</v>
      </c>
      <c r="G42" s="24">
        <f t="shared" ref="G42:G49" si="24">F42/$F$7</f>
        <v>1.190665369544237E-2</v>
      </c>
      <c r="H42" s="21">
        <f>SUM(H43:H47)</f>
        <v>14.74</v>
      </c>
      <c r="I42" s="21">
        <f>SUM(I43:I47)</f>
        <v>9.5399999999999991</v>
      </c>
      <c r="J42" s="24">
        <f t="shared" ref="J42:J49" si="25">I42/$I$7</f>
        <v>2.1363310641347187E-2</v>
      </c>
      <c r="K42" s="22">
        <f>H42-I42</f>
        <v>5.2000000000000011</v>
      </c>
      <c r="L42" s="24">
        <f>K42/I42</f>
        <v>0.54507337526205468</v>
      </c>
      <c r="M42" s="22">
        <f t="shared" ref="M42:M49" si="26">I42-C42</f>
        <v>-12.100000000000001</v>
      </c>
      <c r="N42" s="52">
        <f t="shared" ref="N42:N49" si="27">M42/C42</f>
        <v>-0.55914972273567476</v>
      </c>
      <c r="O42" s="52">
        <f t="shared" ref="O42:O49" si="28">I42/F42</f>
        <v>0.1552734375</v>
      </c>
      <c r="P42" s="156"/>
      <c r="Q42" s="162">
        <v>266.16000000000003</v>
      </c>
      <c r="R42" s="68">
        <f t="shared" ref="R42:R48" si="29">Q42-F42</f>
        <v>204.72000000000003</v>
      </c>
    </row>
    <row r="43" spans="1:18" ht="15.75">
      <c r="A43" s="57" t="s">
        <v>159</v>
      </c>
      <c r="B43" s="21">
        <v>19.690000000000001</v>
      </c>
      <c r="C43" s="70">
        <f>ROUND('PU Wise OWE'!$AK$84/10000,2)</f>
        <v>3.21</v>
      </c>
      <c r="D43" s="85">
        <f t="shared" si="23"/>
        <v>2.5976548275108641E-3</v>
      </c>
      <c r="E43" s="97"/>
      <c r="F43" s="21">
        <f>ROUND('PU Wise OWE'!$AK$82/10000,2)</f>
        <v>6.75</v>
      </c>
      <c r="G43" s="24">
        <f t="shared" si="24"/>
        <v>1.3081040436887371E-3</v>
      </c>
      <c r="H43" s="21">
        <f>ROUND('PU Wise OWE'!$AK$83/10000,2)</f>
        <v>1.62</v>
      </c>
      <c r="I43" s="21">
        <f>ROUND('PU Wise OWE'!$AK$85/10000,2)</f>
        <v>2.0299999999999998</v>
      </c>
      <c r="J43" s="24">
        <f t="shared" si="25"/>
        <v>4.5458616983160153E-3</v>
      </c>
      <c r="K43" s="22">
        <f t="shared" ref="K43:K49" si="30">H43-I43</f>
        <v>-0.4099999999999997</v>
      </c>
      <c r="L43" s="24">
        <f t="shared" ref="L43:L49" si="31">K43/I43</f>
        <v>-0.20197044334975356</v>
      </c>
      <c r="M43" s="22">
        <f t="shared" si="26"/>
        <v>-1.1800000000000002</v>
      </c>
      <c r="N43" s="52">
        <f t="shared" si="27"/>
        <v>-0.36760124610591904</v>
      </c>
      <c r="O43" s="52">
        <f t="shared" si="28"/>
        <v>0.3007407407407407</v>
      </c>
      <c r="P43" s="156"/>
      <c r="Q43" s="162">
        <f>(I43/10)*12</f>
        <v>2.4359999999999999</v>
      </c>
      <c r="R43" s="68">
        <f t="shared" si="29"/>
        <v>-4.3140000000000001</v>
      </c>
    </row>
    <row r="44" spans="1:18" ht="15.75">
      <c r="A44" s="58" t="s">
        <v>166</v>
      </c>
      <c r="B44" s="108">
        <v>114.4</v>
      </c>
      <c r="C44" s="70">
        <f>ROUND('PU Wise OWE'!$AR$84/10000,2)</f>
        <v>1.9</v>
      </c>
      <c r="D44" s="85">
        <f t="shared" si="23"/>
        <v>1.5375527016419444E-3</v>
      </c>
      <c r="E44" s="97"/>
      <c r="F44" s="21">
        <f>ROUND('PU Wise OWE'!$AR$82/10000,2)</f>
        <v>5.31</v>
      </c>
      <c r="G44" s="24">
        <f t="shared" si="24"/>
        <v>1.0290418477018064E-3</v>
      </c>
      <c r="H44" s="21">
        <f>ROUND('PU Wise OWE'!$AR$83/10000,2)</f>
        <v>1.27</v>
      </c>
      <c r="I44" s="21">
        <f>ROUND('PU Wise OWE'!$AR$85/10000,2)</f>
        <v>0.43</v>
      </c>
      <c r="J44" s="24">
        <f t="shared" si="25"/>
        <v>9.629165173772841E-4</v>
      </c>
      <c r="K44" s="22">
        <f t="shared" si="30"/>
        <v>0.84000000000000008</v>
      </c>
      <c r="L44" s="24">
        <f t="shared" si="31"/>
        <v>1.9534883720930234</v>
      </c>
      <c r="M44" s="22">
        <f t="shared" si="26"/>
        <v>-1.47</v>
      </c>
      <c r="N44" s="52">
        <f t="shared" si="27"/>
        <v>-0.77368421052631586</v>
      </c>
      <c r="O44" s="52">
        <f t="shared" si="28"/>
        <v>8.0979284369114876E-2</v>
      </c>
      <c r="P44" s="156"/>
      <c r="Q44" s="162">
        <f>(I44/10)*12</f>
        <v>0.51600000000000001</v>
      </c>
      <c r="R44" s="68">
        <f t="shared" si="29"/>
        <v>-4.7939999999999996</v>
      </c>
    </row>
    <row r="45" spans="1:18" ht="15.75">
      <c r="A45" s="58" t="s">
        <v>167</v>
      </c>
      <c r="B45" s="108">
        <v>46.69</v>
      </c>
      <c r="C45" s="70">
        <f>ROUND('PU Wise OWE'!$AU$84/10000,2)</f>
        <v>1.59</v>
      </c>
      <c r="D45" s="85">
        <f t="shared" si="23"/>
        <v>1.2866888397951009E-3</v>
      </c>
      <c r="E45" s="97"/>
      <c r="F45" s="21">
        <f>ROUND('PU Wise OWE'!$AU$82/10000,2)</f>
        <v>3.63</v>
      </c>
      <c r="G45" s="24">
        <f t="shared" si="24"/>
        <v>7.0346928571705415E-4</v>
      </c>
      <c r="H45" s="21">
        <f>ROUND('PU Wise OWE'!$AU$83/10000,2)</f>
        <v>0.87</v>
      </c>
      <c r="I45" s="21">
        <f>ROUND('PU Wise OWE'!$AU$85/10000,2)</f>
        <v>0.32</v>
      </c>
      <c r="J45" s="24">
        <f t="shared" si="25"/>
        <v>7.1658903618774638E-4</v>
      </c>
      <c r="K45" s="22">
        <f t="shared" si="30"/>
        <v>0.55000000000000004</v>
      </c>
      <c r="L45" s="24">
        <f t="shared" si="31"/>
        <v>1.71875</v>
      </c>
      <c r="M45" s="22">
        <f t="shared" si="26"/>
        <v>-1.27</v>
      </c>
      <c r="N45" s="52">
        <f t="shared" si="27"/>
        <v>-0.79874213836477981</v>
      </c>
      <c r="O45" s="52">
        <f t="shared" si="28"/>
        <v>8.8154269972451793E-2</v>
      </c>
      <c r="P45" s="156"/>
      <c r="Q45" s="162">
        <f>(I45/10)*12</f>
        <v>0.38400000000000001</v>
      </c>
      <c r="R45" s="68">
        <f t="shared" si="29"/>
        <v>-3.246</v>
      </c>
    </row>
    <row r="46" spans="1:18" ht="15.75">
      <c r="A46" s="57" t="s">
        <v>164</v>
      </c>
      <c r="B46" s="21">
        <v>54.55</v>
      </c>
      <c r="C46" s="70">
        <f>ROUND('PU Wise OWE'!$AZ$84/10000,2)</f>
        <v>0.1</v>
      </c>
      <c r="D46" s="85">
        <f t="shared" si="23"/>
        <v>8.0923826402207609E-5</v>
      </c>
      <c r="E46" s="97"/>
      <c r="F46" s="21">
        <f>ROUND('PU Wise OWE'!$AZ$82/10000,2)</f>
        <v>7.63</v>
      </c>
      <c r="G46" s="24">
        <f t="shared" si="24"/>
        <v>1.4786420523474168E-3</v>
      </c>
      <c r="H46" s="21">
        <f>ROUND('PU Wise OWE'!$AZ$83/10000,2)</f>
        <v>1.83</v>
      </c>
      <c r="I46" s="21">
        <f>ROUND('PU Wise OWE'!$AZ$85/10000,2)</f>
        <v>0.51</v>
      </c>
      <c r="J46" s="24">
        <f t="shared" si="25"/>
        <v>1.1420637764242207E-3</v>
      </c>
      <c r="K46" s="22">
        <f t="shared" si="30"/>
        <v>1.32</v>
      </c>
      <c r="L46" s="24">
        <f t="shared" si="31"/>
        <v>2.5882352941176472</v>
      </c>
      <c r="M46" s="22">
        <f t="shared" si="26"/>
        <v>0.41000000000000003</v>
      </c>
      <c r="N46" s="52">
        <f t="shared" si="27"/>
        <v>4.0999999999999996</v>
      </c>
      <c r="O46" s="52">
        <f t="shared" si="28"/>
        <v>6.6841415465268672E-2</v>
      </c>
      <c r="P46" s="156"/>
      <c r="Q46" s="162">
        <f>(I46/10)*12</f>
        <v>0.6120000000000001</v>
      </c>
      <c r="R46" s="166">
        <f t="shared" si="29"/>
        <v>-7.0179999999999998</v>
      </c>
    </row>
    <row r="47" spans="1:18" ht="15.75">
      <c r="A47" s="58" t="s">
        <v>165</v>
      </c>
      <c r="B47" s="108">
        <v>38.14</v>
      </c>
      <c r="C47" s="70">
        <f>ROUND('PU Wise OWE'!$BA$84/10000,2)</f>
        <v>14.84</v>
      </c>
      <c r="D47" s="85">
        <f t="shared" si="23"/>
        <v>1.2009095838087607E-2</v>
      </c>
      <c r="E47" s="97"/>
      <c r="F47" s="21">
        <f>ROUND('PU Wise OWE'!$BA$82/10000,2)</f>
        <v>38.119999999999997</v>
      </c>
      <c r="G47" s="24">
        <f t="shared" si="24"/>
        <v>7.3873964659873555E-3</v>
      </c>
      <c r="H47" s="21">
        <f>ROUND('PU Wise OWE'!$BA$83/10000,2)</f>
        <v>9.15</v>
      </c>
      <c r="I47" s="21">
        <f>ROUND('PU Wise OWE'!$BA$85/10000,2)</f>
        <v>6.25</v>
      </c>
      <c r="J47" s="24">
        <f t="shared" si="25"/>
        <v>1.399587961304192E-2</v>
      </c>
      <c r="K47" s="22">
        <f t="shared" si="30"/>
        <v>2.9000000000000004</v>
      </c>
      <c r="L47" s="24">
        <f t="shared" si="31"/>
        <v>0.46400000000000008</v>
      </c>
      <c r="M47" s="22">
        <f t="shared" si="26"/>
        <v>-8.59</v>
      </c>
      <c r="N47" s="52">
        <f t="shared" si="27"/>
        <v>-0.57884097035040427</v>
      </c>
      <c r="O47" s="52">
        <f t="shared" si="28"/>
        <v>0.16395592864637987</v>
      </c>
      <c r="P47" s="156"/>
      <c r="Q47" s="162">
        <f>(I47/10)*12</f>
        <v>7.5</v>
      </c>
      <c r="R47" s="68">
        <f t="shared" si="29"/>
        <v>-30.619999999999997</v>
      </c>
    </row>
    <row r="48" spans="1:18" ht="15.75">
      <c r="A48" s="59" t="s">
        <v>168</v>
      </c>
      <c r="B48" s="103">
        <v>663.48</v>
      </c>
      <c r="C48" s="70">
        <f>ROUND('PU Wise OWE'!$AM$84/10000,2)-ROUND('PU Wise OWE'!$BJ$84/10000,2)</f>
        <v>91.17</v>
      </c>
      <c r="D48" s="85">
        <f t="shared" si="23"/>
        <v>7.3778252530892666E-2</v>
      </c>
      <c r="E48" s="97"/>
      <c r="F48" s="21">
        <f>ROUND('PU Wise OWE'!$AM$82/10000,2)-ROUND('PU Wise OWE'!$BJ$82/10000,2)</f>
        <v>805.56000000000006</v>
      </c>
      <c r="G48" s="24">
        <f t="shared" si="24"/>
        <v>0.15611204347168875</v>
      </c>
      <c r="H48" s="21">
        <f>ROUND('PU Wise OWE'!$AM$83/10000,2)-ROUND('PU Wise OWE'!$BJ$83/10000,2)</f>
        <v>193.32999999999998</v>
      </c>
      <c r="I48" s="21">
        <f>ROUND('PU Wise OWE'!$AM$85/10000,2)-ROUND('PU Wise OWE'!$BJ$85/10000,2)</f>
        <v>142.22999999999999</v>
      </c>
      <c r="J48" s="24">
        <f t="shared" si="25"/>
        <v>0.31850143317807234</v>
      </c>
      <c r="K48" s="22">
        <f t="shared" si="30"/>
        <v>51.099999999999994</v>
      </c>
      <c r="L48" s="24">
        <f t="shared" si="31"/>
        <v>0.35927722702664694</v>
      </c>
      <c r="M48" s="22">
        <f t="shared" si="26"/>
        <v>51.059999999999988</v>
      </c>
      <c r="N48" s="52">
        <f t="shared" si="27"/>
        <v>0.5600526488976636</v>
      </c>
      <c r="O48" s="52">
        <f t="shared" si="28"/>
        <v>0.17656040518397137</v>
      </c>
      <c r="P48" s="156"/>
      <c r="Q48" s="162">
        <v>670.28</v>
      </c>
      <c r="R48" s="68">
        <f t="shared" si="29"/>
        <v>-135.28000000000009</v>
      </c>
    </row>
    <row r="49" spans="1:18" s="36" customFormat="1" ht="15.75" thickBot="1">
      <c r="A49" s="60" t="s">
        <v>128</v>
      </c>
      <c r="B49" s="74">
        <f>B42+B48</f>
        <v>936.95</v>
      </c>
      <c r="C49" s="74">
        <f>C42+C48</f>
        <v>112.81</v>
      </c>
      <c r="D49" s="86">
        <f t="shared" si="23"/>
        <v>9.1290168564330393E-2</v>
      </c>
      <c r="E49" s="98"/>
      <c r="F49" s="26">
        <f>F42+F48</f>
        <v>867</v>
      </c>
      <c r="G49" s="54">
        <f t="shared" si="24"/>
        <v>0.16801869716713111</v>
      </c>
      <c r="H49" s="26">
        <f>H42+H48</f>
        <v>208.07</v>
      </c>
      <c r="I49" s="26">
        <f>I42+I48</f>
        <v>151.76999999999998</v>
      </c>
      <c r="J49" s="54">
        <f t="shared" si="25"/>
        <v>0.3398647438194195</v>
      </c>
      <c r="K49" s="26">
        <f t="shared" si="30"/>
        <v>56.300000000000011</v>
      </c>
      <c r="L49" s="54">
        <f t="shared" si="31"/>
        <v>0.37095605192066955</v>
      </c>
      <c r="M49" s="26">
        <f t="shared" si="26"/>
        <v>38.95999999999998</v>
      </c>
      <c r="N49" s="55">
        <f t="shared" si="27"/>
        <v>0.34535945394911782</v>
      </c>
      <c r="O49" s="52">
        <f t="shared" si="28"/>
        <v>0.17505190311418684</v>
      </c>
      <c r="P49" s="157"/>
      <c r="Q49" s="74">
        <f>Q42+Q48</f>
        <v>936.44</v>
      </c>
      <c r="R49" s="74">
        <f>R42+R48</f>
        <v>69.439999999999941</v>
      </c>
    </row>
    <row r="50" spans="1:18">
      <c r="Q50" s="163"/>
    </row>
    <row r="51" spans="1:18">
      <c r="A51" s="75" t="s">
        <v>182</v>
      </c>
      <c r="B51" s="75"/>
      <c r="Q51" s="163"/>
    </row>
    <row r="52" spans="1:18" ht="30" customHeight="1">
      <c r="A52" s="81" t="s">
        <v>183</v>
      </c>
      <c r="B52" s="109">
        <v>188.88</v>
      </c>
      <c r="C52" s="70">
        <f>ROUND('PU Wise OWE'!$AK$128/10000,2)-C43</f>
        <v>14.48</v>
      </c>
      <c r="D52" s="85">
        <f t="shared" ref="D52:D56" si="32">C52/$C$7</f>
        <v>1.1717770063039661E-2</v>
      </c>
      <c r="E52" s="390"/>
      <c r="F52" s="22">
        <f>ROUND('PU Wise OWE'!$AK$126/10000,2)-F43</f>
        <v>85.66</v>
      </c>
      <c r="G52" s="24">
        <f t="shared" ref="G52:G54" si="33">F52/$F$7</f>
        <v>1.6600324797389217E-2</v>
      </c>
      <c r="H52" s="22">
        <f>ROUND('PU Wise OWE'!$AK$127/10000,2)-H43</f>
        <v>20.56</v>
      </c>
      <c r="I52" s="22">
        <f>ROUND('PU Wise OWE'!$AK$129/10000,2)-I43</f>
        <v>20.54</v>
      </c>
      <c r="J52" s="24">
        <f t="shared" ref="J52:J56" si="34">I52/$I$7</f>
        <v>4.5996058760300967E-2</v>
      </c>
      <c r="K52" s="22">
        <f>H52-I52</f>
        <v>1.9999999999999574E-2</v>
      </c>
      <c r="L52" s="24">
        <f>K52/I52</f>
        <v>9.7370983446930747E-4</v>
      </c>
      <c r="M52" s="22">
        <f>I52-C52</f>
        <v>6.0599999999999987</v>
      </c>
      <c r="N52" s="52">
        <f>M52/C52</f>
        <v>0.41850828729281758</v>
      </c>
      <c r="O52" s="52">
        <f t="shared" ref="O52:O54" si="35">I52/F52</f>
        <v>0.23978519729161801</v>
      </c>
      <c r="P52" s="155" t="s">
        <v>269</v>
      </c>
      <c r="Q52" s="162">
        <f>(I52/10)*12</f>
        <v>24.647999999999996</v>
      </c>
      <c r="R52" s="166">
        <f>Q52-F52</f>
        <v>-61.012</v>
      </c>
    </row>
    <row r="53" spans="1:18" ht="15.75">
      <c r="A53" s="20" t="s">
        <v>160</v>
      </c>
      <c r="B53" s="105">
        <v>121.46</v>
      </c>
      <c r="C53" s="70">
        <f>ROUND('PU Wise OWE'!$AL$128/10000,2)</f>
        <v>22</v>
      </c>
      <c r="D53" s="85">
        <f t="shared" si="32"/>
        <v>1.7803241808485672E-2</v>
      </c>
      <c r="E53" s="391"/>
      <c r="F53" s="22">
        <f>ROUND('PU Wise OWE'!$AL$126/10000,2)</f>
        <v>60.32</v>
      </c>
      <c r="G53" s="24">
        <f t="shared" si="33"/>
        <v>1.1689605320785869E-2</v>
      </c>
      <c r="H53" s="23">
        <f>ROUND('PU Wise OWE'!$AL$127/10000,2)</f>
        <v>14.48</v>
      </c>
      <c r="I53" s="23">
        <f>ROUND('PU Wise OWE'!$AL$129/10000,2)</f>
        <v>17.96</v>
      </c>
      <c r="J53" s="24">
        <f t="shared" si="34"/>
        <v>4.0218559656037267E-2</v>
      </c>
      <c r="K53" s="22">
        <f t="shared" ref="K53:K54" si="36">H53-I53</f>
        <v>-3.4800000000000004</v>
      </c>
      <c r="L53" s="24">
        <f t="shared" ref="L53:L54" si="37">K53/I53</f>
        <v>-0.19376391982182631</v>
      </c>
      <c r="M53" s="22">
        <f>I53-C53</f>
        <v>-4.0399999999999991</v>
      </c>
      <c r="N53" s="52">
        <f>M53/C53</f>
        <v>-0.1836363636363636</v>
      </c>
      <c r="O53" s="52">
        <f t="shared" si="35"/>
        <v>0.29774535809018571</v>
      </c>
      <c r="P53" s="154" t="s">
        <v>270</v>
      </c>
      <c r="Q53" s="162">
        <f>(I53/10)*12</f>
        <v>21.552</v>
      </c>
      <c r="R53" s="68">
        <f>Q53-F53</f>
        <v>-38.768000000000001</v>
      </c>
    </row>
    <row r="54" spans="1:18" s="36" customFormat="1">
      <c r="A54" s="25" t="s">
        <v>128</v>
      </c>
      <c r="B54" s="26">
        <f>SUM(B52:B53)</f>
        <v>310.33999999999997</v>
      </c>
      <c r="C54" s="74">
        <f>SUM(C52:C53)</f>
        <v>36.480000000000004</v>
      </c>
      <c r="D54" s="86">
        <f t="shared" si="32"/>
        <v>2.9521011871525334E-2</v>
      </c>
      <c r="E54" s="392"/>
      <c r="F54" s="74">
        <f t="shared" ref="F54:I54" si="38">SUM(F52:F53)</f>
        <v>145.97999999999999</v>
      </c>
      <c r="G54" s="54">
        <f t="shared" si="33"/>
        <v>2.8289930118175086E-2</v>
      </c>
      <c r="H54" s="74">
        <f t="shared" si="38"/>
        <v>35.04</v>
      </c>
      <c r="I54" s="74">
        <f t="shared" si="38"/>
        <v>38.5</v>
      </c>
      <c r="J54" s="54">
        <f t="shared" si="34"/>
        <v>8.6214618416338235E-2</v>
      </c>
      <c r="K54" s="26">
        <f t="shared" si="36"/>
        <v>-3.4600000000000009</v>
      </c>
      <c r="L54" s="54">
        <f t="shared" si="37"/>
        <v>-8.9870129870129892E-2</v>
      </c>
      <c r="M54" s="26">
        <f>I54-C54</f>
        <v>2.019999999999996</v>
      </c>
      <c r="N54" s="102">
        <f>M54/C54</f>
        <v>5.5372807017543747E-2</v>
      </c>
      <c r="O54" s="52">
        <f t="shared" si="35"/>
        <v>0.26373475818605291</v>
      </c>
      <c r="P54" s="153"/>
      <c r="Q54" s="74">
        <f>SUM(Q52:Q53)</f>
        <v>46.199999999999996</v>
      </c>
      <c r="R54" s="74">
        <f>SUM(R52:R53)</f>
        <v>-99.78</v>
      </c>
    </row>
    <row r="55" spans="1:18">
      <c r="Q55" s="163"/>
    </row>
    <row r="56" spans="1:18" s="36" customFormat="1" ht="38.450000000000003" customHeight="1">
      <c r="A56" s="78" t="s">
        <v>161</v>
      </c>
      <c r="B56" s="110">
        <v>348.19</v>
      </c>
      <c r="C56" s="71">
        <f>ROUND('PU Wise OWE'!$AO$128/10000,2)</f>
        <v>44.6</v>
      </c>
      <c r="D56" s="86">
        <f t="shared" si="32"/>
        <v>3.6092026575384593E-2</v>
      </c>
      <c r="E56" s="53"/>
      <c r="F56" s="26">
        <f>ROUND('PU Wise OWE'!$AO$126/10000,2)</f>
        <v>203.9</v>
      </c>
      <c r="G56" s="54">
        <f t="shared" ref="G56" si="39">F56/$F$7</f>
        <v>3.9514431778982742E-2</v>
      </c>
      <c r="H56" s="25">
        <f>ROUND('PU Wise OWE'!$AO$127/10000,2)</f>
        <v>48.94</v>
      </c>
      <c r="I56" s="25">
        <f>ROUND('PU Wise OWE'!$AO$129/10000,2)</f>
        <v>68.28</v>
      </c>
      <c r="J56" s="54">
        <f t="shared" si="34"/>
        <v>0.15290218559656038</v>
      </c>
      <c r="K56" s="26">
        <f>H56-I56</f>
        <v>-19.340000000000003</v>
      </c>
      <c r="L56" s="54">
        <f>K56/I56</f>
        <v>-0.28324545987111899</v>
      </c>
      <c r="M56" s="26">
        <f>I56-C56</f>
        <v>23.68</v>
      </c>
      <c r="N56" s="55">
        <f>M56/C56</f>
        <v>0.53094170403587437</v>
      </c>
      <c r="O56" s="52">
        <f t="shared" ref="O56" si="40">I56/F56</f>
        <v>0.33487003433055418</v>
      </c>
      <c r="P56" s="155" t="s">
        <v>283</v>
      </c>
      <c r="Q56" s="162">
        <f>(I56-26.18)/10*2+I56</f>
        <v>76.7</v>
      </c>
      <c r="R56" s="166">
        <f>Q56-F56</f>
        <v>-127.2</v>
      </c>
    </row>
    <row r="57" spans="1:18" s="36" customFormat="1">
      <c r="A57" s="116"/>
      <c r="B57" s="117"/>
      <c r="C57" s="113"/>
      <c r="D57" s="114"/>
      <c r="E57" s="115"/>
      <c r="F57" s="91"/>
      <c r="G57" s="90"/>
      <c r="H57" s="90"/>
      <c r="I57" s="88"/>
      <c r="J57" s="90"/>
      <c r="K57" s="90"/>
      <c r="L57" s="90"/>
      <c r="M57" s="26"/>
      <c r="N57" s="55"/>
      <c r="O57" s="100"/>
      <c r="P57" s="158"/>
      <c r="Q57" s="165"/>
    </row>
    <row r="58" spans="1:18">
      <c r="B58" s="397" t="s">
        <v>293</v>
      </c>
      <c r="C58" s="402" t="str">
        <f>'PU Wise OWE'!$B$7</f>
        <v>Actual up to April-23</v>
      </c>
      <c r="D58" s="397" t="s">
        <v>171</v>
      </c>
      <c r="E58" s="397"/>
      <c r="F58" s="431" t="str">
        <f>'PU Wise OWE'!$B$5</f>
        <v>Vote On Acc 2024-25</v>
      </c>
      <c r="G58" s="397" t="s">
        <v>300</v>
      </c>
      <c r="H58" s="397" t="s">
        <v>307</v>
      </c>
      <c r="I58" s="402" t="str">
        <f>'PU Wise OWE'!B8</f>
        <v>Actual up to April-24</v>
      </c>
      <c r="J58" s="397" t="s">
        <v>203</v>
      </c>
      <c r="K58" s="369" t="s">
        <v>204</v>
      </c>
      <c r="L58" s="369"/>
      <c r="M58" s="369" t="s">
        <v>145</v>
      </c>
      <c r="N58" s="369"/>
      <c r="O58" s="370" t="s">
        <v>305</v>
      </c>
      <c r="P58" s="440" t="s">
        <v>265</v>
      </c>
      <c r="Q58" s="164"/>
    </row>
    <row r="59" spans="1:18" ht="30">
      <c r="A59" s="75" t="s">
        <v>184</v>
      </c>
      <c r="B59" s="398"/>
      <c r="C59" s="398"/>
      <c r="D59" s="398"/>
      <c r="E59" s="398"/>
      <c r="F59" s="432"/>
      <c r="G59" s="398"/>
      <c r="H59" s="398"/>
      <c r="I59" s="398"/>
      <c r="J59" s="398"/>
      <c r="K59" s="79" t="s">
        <v>143</v>
      </c>
      <c r="L59" s="80" t="s">
        <v>144</v>
      </c>
      <c r="M59" s="79" t="s">
        <v>143</v>
      </c>
      <c r="N59" s="80" t="s">
        <v>144</v>
      </c>
      <c r="O59" s="370"/>
      <c r="P59" s="440"/>
      <c r="Q59" s="164"/>
    </row>
    <row r="60" spans="1:18" ht="15.75">
      <c r="A60" s="23" t="s">
        <v>185</v>
      </c>
      <c r="B60" s="22">
        <v>80.099999999999994</v>
      </c>
      <c r="C60" s="70">
        <f>ROUND('PU Wise OWE'!$AM$62/10000,2)</f>
        <v>3.91</v>
      </c>
      <c r="D60" s="85">
        <f t="shared" ref="D60:D64" si="41">C60/$C$7</f>
        <v>3.1641216123263175E-3</v>
      </c>
      <c r="E60" s="387"/>
      <c r="F60" s="22">
        <f>ROUND('PU Wise OWE'!$AM$60/10000,2)</f>
        <v>43.97</v>
      </c>
      <c r="G60" s="24">
        <f t="shared" ref="G60:G64" si="42">F60/$F$7</f>
        <v>8.5210866371842608E-3</v>
      </c>
      <c r="H60" s="23">
        <f>ROUND('PU Wise OWE'!$AM$61/10000,2)</f>
        <v>10.55</v>
      </c>
      <c r="I60" s="23">
        <f>ROUND('PU Wise OWE'!$AM$63/10000,2)</f>
        <v>4.91</v>
      </c>
      <c r="J60" s="94">
        <f t="shared" ref="J60:J64" si="43">I60/$I$7</f>
        <v>1.0995163024005734E-2</v>
      </c>
      <c r="K60" s="22">
        <f>H60-I60</f>
        <v>5.6400000000000006</v>
      </c>
      <c r="L60" s="24">
        <f>K60/I60</f>
        <v>1.1486761710794298</v>
      </c>
      <c r="M60" s="22">
        <f>I60-C60</f>
        <v>1</v>
      </c>
      <c r="N60" s="52">
        <f>M60/C60</f>
        <v>0.25575447570332482</v>
      </c>
      <c r="O60" s="52">
        <f t="shared" ref="O60:O64" si="44">I60/F60</f>
        <v>0.11166704571298613</v>
      </c>
      <c r="P60" s="155"/>
      <c r="Q60" s="162">
        <f>(I60/10)*12</f>
        <v>5.8919999999999995</v>
      </c>
      <c r="R60" s="68">
        <f>Q60-F60</f>
        <v>-38.078000000000003</v>
      </c>
    </row>
    <row r="61" spans="1:18" ht="46.15" customHeight="1">
      <c r="A61" s="23" t="s">
        <v>186</v>
      </c>
      <c r="B61" s="22">
        <v>21.26</v>
      </c>
      <c r="C61" s="70">
        <f>ROUND('PU Wise OWE'!$AM$95/10000,2)</f>
        <v>-0.87</v>
      </c>
      <c r="D61" s="85">
        <f t="shared" si="41"/>
        <v>-7.0403728969920616E-4</v>
      </c>
      <c r="E61" s="388"/>
      <c r="F61" s="22">
        <f>ROUND('PU Wise OWE'!$AM$93/10000,2)</f>
        <v>4.05</v>
      </c>
      <c r="G61" s="24">
        <f t="shared" si="42"/>
        <v>7.8486242621324221E-4</v>
      </c>
      <c r="H61" s="23">
        <f>ROUND('PU Wise OWE'!$AM$94/10000,2)</f>
        <v>0.97</v>
      </c>
      <c r="I61" s="23">
        <f>ROUND('PU Wise OWE'!$AM$96/10000,2)</f>
        <v>-7.0000000000000007E-2</v>
      </c>
      <c r="J61" s="94">
        <f t="shared" si="43"/>
        <v>-1.5675385166606952E-4</v>
      </c>
      <c r="K61" s="22">
        <f t="shared" ref="K61:K64" si="45">H61-I61</f>
        <v>1.04</v>
      </c>
      <c r="L61" s="24">
        <f t="shared" ref="L61:L64" si="46">K61/I61</f>
        <v>-14.857142857142856</v>
      </c>
      <c r="M61" s="22">
        <f>I61-C61</f>
        <v>0.8</v>
      </c>
      <c r="N61" s="52">
        <f>M61/C61</f>
        <v>-0.91954022988505757</v>
      </c>
      <c r="O61" s="52">
        <f t="shared" si="44"/>
        <v>-1.7283950617283952E-2</v>
      </c>
      <c r="P61" s="155" t="s">
        <v>274</v>
      </c>
      <c r="Q61" s="162">
        <f>(I61/10)*12</f>
        <v>-8.4000000000000019E-2</v>
      </c>
      <c r="R61" s="68">
        <f>Q61-F61</f>
        <v>-4.1339999999999995</v>
      </c>
    </row>
    <row r="62" spans="1:18" ht="43.15" customHeight="1">
      <c r="A62" s="23" t="s">
        <v>187</v>
      </c>
      <c r="B62" s="22">
        <v>9.89</v>
      </c>
      <c r="C62" s="70">
        <f>ROUND('PU Wise OWE'!$AN$18/10000,2)</f>
        <v>1.44</v>
      </c>
      <c r="D62" s="85">
        <f t="shared" si="41"/>
        <v>1.1653031001917895E-3</v>
      </c>
      <c r="E62" s="388"/>
      <c r="F62" s="22">
        <f>ROUND('PU Wise OWE'!$AN$16/10000,2)</f>
        <v>10.16</v>
      </c>
      <c r="G62" s="24">
        <f>F62/$F$7</f>
        <v>1.9689388272411215E-3</v>
      </c>
      <c r="H62" s="23">
        <f>ROUND('PU Wise OWE'!$AN$17/10000,2)</f>
        <v>2.44</v>
      </c>
      <c r="I62" s="23">
        <f>ROUND('PU Wise OWE'!$AN$19/10000,2)</f>
        <v>1.79</v>
      </c>
      <c r="J62" s="94">
        <f t="shared" si="43"/>
        <v>4.0084199211752065E-3</v>
      </c>
      <c r="K62" s="22">
        <f t="shared" si="45"/>
        <v>0.64999999999999991</v>
      </c>
      <c r="L62" s="24">
        <f t="shared" si="46"/>
        <v>0.36312849162011168</v>
      </c>
      <c r="M62" s="22">
        <f>I62-C62</f>
        <v>0.35000000000000009</v>
      </c>
      <c r="N62" s="52">
        <f>M62/C62</f>
        <v>0.24305555555555564</v>
      </c>
      <c r="O62" s="52">
        <f t="shared" si="44"/>
        <v>0.17618110236220472</v>
      </c>
      <c r="P62" s="155" t="s">
        <v>271</v>
      </c>
      <c r="Q62" s="162">
        <f>(I62/10)*12</f>
        <v>2.1479999999999997</v>
      </c>
      <c r="R62" s="68">
        <f>Q62-F62</f>
        <v>-8.0120000000000005</v>
      </c>
    </row>
    <row r="63" spans="1:18" ht="15.75">
      <c r="A63" s="23" t="s">
        <v>188</v>
      </c>
      <c r="B63" s="22">
        <v>1.64</v>
      </c>
      <c r="C63" s="70">
        <f>ROUND('PU Wise OWE'!$AN$62/10000,2)</f>
        <v>1.24</v>
      </c>
      <c r="D63" s="85">
        <f t="shared" si="41"/>
        <v>1.0034554473873742E-3</v>
      </c>
      <c r="E63" s="388"/>
      <c r="F63" s="22">
        <f>ROUND('PU Wise OWE'!$AN$60/10000,2)</f>
        <v>10.56</v>
      </c>
      <c r="G63" s="24">
        <f>F63/$F$7</f>
        <v>2.0464561039041577E-3</v>
      </c>
      <c r="H63" s="23">
        <f>ROUND('PU Wise OWE'!$AN$61/10000,2)</f>
        <v>2.5299999999999998</v>
      </c>
      <c r="I63" s="23">
        <f>ROUND('PU Wise OWE'!$AN$63/10000,2)</f>
        <v>0.88</v>
      </c>
      <c r="J63" s="94">
        <f t="shared" si="43"/>
        <v>1.9706198495163022E-3</v>
      </c>
      <c r="K63" s="22">
        <f t="shared" si="45"/>
        <v>1.65</v>
      </c>
      <c r="L63" s="24">
        <f t="shared" si="46"/>
        <v>1.875</v>
      </c>
      <c r="M63" s="22">
        <f>I63-C63</f>
        <v>-0.36</v>
      </c>
      <c r="N63" s="52">
        <f>M63/C63</f>
        <v>-0.29032258064516125</v>
      </c>
      <c r="O63" s="52">
        <f t="shared" si="44"/>
        <v>8.3333333333333329E-2</v>
      </c>
      <c r="P63" s="154"/>
      <c r="Q63" s="162">
        <f>(I63/10)*12</f>
        <v>1.056</v>
      </c>
      <c r="R63" s="68">
        <f>Q63-F63</f>
        <v>-9.5040000000000013</v>
      </c>
    </row>
    <row r="64" spans="1:18" s="36" customFormat="1">
      <c r="A64" s="25" t="s">
        <v>128</v>
      </c>
      <c r="B64" s="26">
        <f>SUM(B60:B63)</f>
        <v>112.89</v>
      </c>
      <c r="C64" s="74">
        <f>SUM(C60:C63)</f>
        <v>5.7200000000000006</v>
      </c>
      <c r="D64" s="86">
        <f t="shared" si="41"/>
        <v>4.6288428702062753E-3</v>
      </c>
      <c r="E64" s="389"/>
      <c r="F64" s="26">
        <f>SUM(F60:F63)</f>
        <v>68.739999999999995</v>
      </c>
      <c r="G64" s="54">
        <f t="shared" si="42"/>
        <v>1.3321343994542783E-2</v>
      </c>
      <c r="H64" s="26">
        <f>SUM(H60:H63)</f>
        <v>16.490000000000002</v>
      </c>
      <c r="I64" s="26">
        <f>SUM(I60:I63)</f>
        <v>7.51</v>
      </c>
      <c r="J64" s="54">
        <f t="shared" si="43"/>
        <v>1.6817448943031173E-2</v>
      </c>
      <c r="K64" s="26">
        <f t="shared" si="45"/>
        <v>8.9800000000000022</v>
      </c>
      <c r="L64" s="54">
        <f t="shared" si="46"/>
        <v>1.1957390146471374</v>
      </c>
      <c r="M64" s="26">
        <f>I64-C64</f>
        <v>1.7899999999999991</v>
      </c>
      <c r="N64" s="55">
        <f>M64/C64</f>
        <v>0.31293706293706275</v>
      </c>
      <c r="O64" s="52">
        <f t="shared" si="44"/>
        <v>0.10925225487343614</v>
      </c>
      <c r="P64" s="153"/>
      <c r="Q64" s="74">
        <f>SUM(Q60:Q63)</f>
        <v>9.0120000000000005</v>
      </c>
      <c r="R64" s="74">
        <f>SUM(R60:R63)</f>
        <v>-59.728000000000009</v>
      </c>
    </row>
    <row r="65" spans="1:18">
      <c r="Q65" s="163"/>
    </row>
    <row r="66" spans="1:18">
      <c r="A66" s="75" t="s">
        <v>189</v>
      </c>
      <c r="B66" s="75"/>
      <c r="Q66" s="163"/>
    </row>
    <row r="67" spans="1:18" ht="27.6" customHeight="1">
      <c r="A67" s="23" t="s">
        <v>190</v>
      </c>
      <c r="B67" s="22">
        <v>1117.51</v>
      </c>
      <c r="C67" s="70">
        <f>ROUND('PU Wise OWE'!$AP$73/10000,2)</f>
        <v>361.93</v>
      </c>
      <c r="D67" s="85">
        <f t="shared" ref="D67:D69" si="47">C67/$C$7</f>
        <v>0.29288760489750998</v>
      </c>
      <c r="E67" s="23"/>
      <c r="F67" s="22">
        <f>ROUND('PU Wise OWE'!$AP$71/10000,2)</f>
        <v>410.27</v>
      </c>
      <c r="G67" s="24">
        <f t="shared" ref="G67:G69" si="48">F67/$F$7</f>
        <v>7.9507532741359715E-2</v>
      </c>
      <c r="H67" s="23">
        <f>ROUND('PU Wise OWE'!$AP$72/10000,2)</f>
        <v>249.81</v>
      </c>
      <c r="I67" s="23">
        <f>ROUND('PU Wise OWE'!$AP$74/10000,2)</f>
        <v>-511.82</v>
      </c>
      <c r="J67" s="94">
        <f t="shared" ref="J67:J69" si="49">I67/$I$7</f>
        <v>-1.1461393765675385</v>
      </c>
      <c r="K67" s="22">
        <f>H67-I67</f>
        <v>761.63</v>
      </c>
      <c r="L67" s="24">
        <f>K67/I67</f>
        <v>-1.4880817474893517</v>
      </c>
      <c r="M67" s="22">
        <f>I67-C67</f>
        <v>-873.75</v>
      </c>
      <c r="N67" s="52">
        <f>M67/C67</f>
        <v>-2.4141408559666235</v>
      </c>
      <c r="O67" s="52">
        <f t="shared" ref="O67:O68" si="50">I67/F67</f>
        <v>-1.2475199259024545</v>
      </c>
      <c r="P67" s="155" t="s">
        <v>275</v>
      </c>
      <c r="Q67" s="162">
        <f>(I67-256.76-544.78)/10*2+I67</f>
        <v>-774.49199999999996</v>
      </c>
      <c r="R67" s="68">
        <f>Q67-F67</f>
        <v>-1184.7619999999999</v>
      </c>
    </row>
    <row r="68" spans="1:18" ht="15.75">
      <c r="A68" s="87" t="s">
        <v>191</v>
      </c>
      <c r="B68" s="111">
        <v>38.520000000000003</v>
      </c>
      <c r="C68" s="70">
        <f>ROUND('PU Wise OWE'!$AP$128/10000,2)-C67</f>
        <v>5.9599999999999795</v>
      </c>
      <c r="D68" s="85">
        <f t="shared" si="47"/>
        <v>4.8230600535715566E-3</v>
      </c>
      <c r="E68" s="23"/>
      <c r="F68" s="22">
        <f>ROUND('PU Wise OWE'!$AP$126/10000,2)-F67</f>
        <v>20.54000000000002</v>
      </c>
      <c r="G68" s="24">
        <f t="shared" si="48"/>
        <v>3.9805121566469162E-3</v>
      </c>
      <c r="H68" s="23">
        <f>ROUND('PU Wise OWE'!$AP$127/10000,2)-H67</f>
        <v>4.9300000000000068</v>
      </c>
      <c r="I68" s="23">
        <f>ROUND('PU Wise OWE'!$AP$129/10000,2)-I67</f>
        <v>-4.410000000000025</v>
      </c>
      <c r="J68" s="94">
        <f t="shared" si="49"/>
        <v>-9.8754926549624346E-3</v>
      </c>
      <c r="K68" s="22">
        <f t="shared" ref="K68:K69" si="51">H68-I68</f>
        <v>9.3400000000000318</v>
      </c>
      <c r="L68" s="24">
        <f t="shared" ref="L68:L69" si="52">K68/I68</f>
        <v>-2.1179138321995419</v>
      </c>
      <c r="M68" s="22">
        <f>I68-C68</f>
        <v>-10.370000000000005</v>
      </c>
      <c r="N68" s="52">
        <f>M68/C68</f>
        <v>-1.739932885906047</v>
      </c>
      <c r="O68" s="52">
        <f t="shared" si="50"/>
        <v>-0.21470301850048787</v>
      </c>
      <c r="P68" s="154"/>
      <c r="Q68" s="162">
        <f>(I68/10)*12</f>
        <v>-5.29200000000003</v>
      </c>
      <c r="R68" s="68">
        <f>Q68-F68</f>
        <v>-25.83200000000005</v>
      </c>
    </row>
    <row r="69" spans="1:18" s="36" customFormat="1">
      <c r="A69" s="25" t="s">
        <v>128</v>
      </c>
      <c r="B69" s="26">
        <f>SUM(B67:B68)</f>
        <v>1156.03</v>
      </c>
      <c r="C69" s="74">
        <f>SUM(C67:C68)</f>
        <v>367.89</v>
      </c>
      <c r="D69" s="86">
        <f t="shared" si="47"/>
        <v>0.29771066495108151</v>
      </c>
      <c r="E69" s="88"/>
      <c r="F69" s="89">
        <f>SUM(F67:F68)</f>
        <v>430.81</v>
      </c>
      <c r="G69" s="90">
        <f t="shared" si="48"/>
        <v>8.3488044898006639E-2</v>
      </c>
      <c r="H69" s="89">
        <f>SUM(H67:H68)</f>
        <v>254.74</v>
      </c>
      <c r="I69" s="89">
        <f>SUM(I67:I68)</f>
        <v>-516.23</v>
      </c>
      <c r="J69" s="54">
        <f t="shared" si="49"/>
        <v>-1.156014869222501</v>
      </c>
      <c r="K69" s="22">
        <f t="shared" si="51"/>
        <v>770.97</v>
      </c>
      <c r="L69" s="24">
        <f t="shared" si="52"/>
        <v>-1.4934622164539062</v>
      </c>
      <c r="M69" s="91">
        <f>I69-C69</f>
        <v>-884.12</v>
      </c>
      <c r="N69" s="101">
        <f>M69/C69</f>
        <v>-2.4032183533121314</v>
      </c>
      <c r="P69" s="159"/>
      <c r="Q69" s="74">
        <f>SUM(Q67:Q68)</f>
        <v>-779.78399999999999</v>
      </c>
      <c r="R69" s="74">
        <f>SUM(R67:R68)</f>
        <v>-1210.5940000000001</v>
      </c>
    </row>
    <row r="70" spans="1:18">
      <c r="E70" s="31"/>
      <c r="F70" s="34"/>
      <c r="G70" s="34"/>
      <c r="H70" s="34"/>
      <c r="I70" s="31"/>
      <c r="J70" s="31"/>
      <c r="K70" s="31"/>
      <c r="L70" s="31"/>
      <c r="M70" s="34"/>
      <c r="N70" s="92"/>
      <c r="Q70" s="163"/>
    </row>
    <row r="71" spans="1:18">
      <c r="A71" s="75" t="s">
        <v>193</v>
      </c>
      <c r="B71" s="75"/>
      <c r="E71" s="31"/>
      <c r="F71" s="34"/>
      <c r="G71" s="34"/>
      <c r="H71" s="34"/>
      <c r="I71" s="31"/>
      <c r="J71" s="31"/>
      <c r="K71" s="31"/>
      <c r="L71" s="31"/>
      <c r="M71" s="34"/>
      <c r="N71" s="92"/>
      <c r="Q71" s="163"/>
    </row>
    <row r="72" spans="1:18" ht="38.450000000000003" customHeight="1">
      <c r="A72" s="23" t="s">
        <v>192</v>
      </c>
      <c r="B72" s="22">
        <v>12.31</v>
      </c>
      <c r="C72" s="70">
        <f>ROUND('PU Wise OWE'!$AQ$29/10000,2)+ROUND('PU Wise OWE'!$BB$29/10000,2)</f>
        <v>1.1000000000000001</v>
      </c>
      <c r="D72" s="85">
        <f t="shared" ref="D72:D74" si="53">C72/$C$7</f>
        <v>8.9016209042428363E-4</v>
      </c>
      <c r="E72" s="23"/>
      <c r="F72" s="70">
        <f>ROUND('PU Wise OWE'!$AQ$27/10000,2)+ROUND('PU Wise OWE'!$BB$27/10000,2)</f>
        <v>6.7</v>
      </c>
      <c r="G72" s="24">
        <f t="shared" ref="G72:G74" si="54">F72/$F$7</f>
        <v>1.2984143841058575E-3</v>
      </c>
      <c r="H72" s="70">
        <f>ROUND('PU Wise OWE'!$AQ$28/10000,2)+ROUND('PU Wise OWE'!$BB$28/10000,2)</f>
        <v>1.61</v>
      </c>
      <c r="I72" s="70">
        <f>ROUND('PU Wise OWE'!$AQ$30/10000,2)+ROUND('PU Wise OWE'!$BB$30/10000,2)</f>
        <v>2.02</v>
      </c>
      <c r="J72" s="94">
        <f t="shared" ref="J72:J74" si="55">I72/$I$7</f>
        <v>4.5234682909351485E-3</v>
      </c>
      <c r="K72" s="22">
        <f>H72-I72</f>
        <v>-0.40999999999999992</v>
      </c>
      <c r="L72" s="24">
        <f>K72/I72</f>
        <v>-0.20297029702970293</v>
      </c>
      <c r="M72" s="22">
        <f>I72-C72</f>
        <v>0.91999999999999993</v>
      </c>
      <c r="N72" s="52">
        <f>M72/C72</f>
        <v>0.8363636363636362</v>
      </c>
      <c r="O72" s="52">
        <f t="shared" ref="O72:O73" si="56">I72/F72</f>
        <v>0.30149253731343284</v>
      </c>
      <c r="P72" s="155" t="s">
        <v>286</v>
      </c>
      <c r="Q72" s="162">
        <f>(I72/10)*12</f>
        <v>2.4240000000000004</v>
      </c>
      <c r="R72" s="68">
        <f>Q72-F72</f>
        <v>-4.2759999999999998</v>
      </c>
    </row>
    <row r="73" spans="1:18" ht="52.9" customHeight="1">
      <c r="A73" s="23" t="s">
        <v>194</v>
      </c>
      <c r="B73" s="22">
        <v>114.52</v>
      </c>
      <c r="C73" s="70">
        <f>ROUND('PU Wise OWE'!$AQ$40/10000,2)+ROUND('PU Wise OWE'!$BB$40/10000,2)</f>
        <v>17.66</v>
      </c>
      <c r="D73" s="85">
        <f t="shared" si="53"/>
        <v>1.4291147742629863E-2</v>
      </c>
      <c r="E73" s="23"/>
      <c r="F73" s="70">
        <f>ROUND('PU Wise OWE'!$AQ$38/10000,2)+ROUND('PU Wise OWE'!$BB$38/10000,2)</f>
        <v>115.63</v>
      </c>
      <c r="G73" s="24">
        <f t="shared" si="54"/>
        <v>2.2408306751367207E-2</v>
      </c>
      <c r="H73" s="70">
        <f>ROUND('PU Wise OWE'!$AQ$39/10000,2)+ROUND('PU Wise OWE'!$BB$39/10000,2)</f>
        <v>27.75</v>
      </c>
      <c r="I73" s="70">
        <f>ROUND('PU Wise OWE'!$AQ$41/10000,2)+ROUND('PU Wise OWE'!$BB$41/10000,2)</f>
        <v>18.649999999999999</v>
      </c>
      <c r="J73" s="94">
        <f t="shared" si="55"/>
        <v>4.1763704765317086E-2</v>
      </c>
      <c r="K73" s="22">
        <f t="shared" ref="K73:K74" si="57">H73-I73</f>
        <v>9.1000000000000014</v>
      </c>
      <c r="L73" s="24">
        <f t="shared" ref="L73:L74" si="58">K73/I73</f>
        <v>0.48793565683646123</v>
      </c>
      <c r="M73" s="22">
        <f>I73-C73</f>
        <v>0.98999999999999844</v>
      </c>
      <c r="N73" s="52">
        <f>M73/C73</f>
        <v>5.6058890147225281E-2</v>
      </c>
      <c r="O73" s="52">
        <f t="shared" si="56"/>
        <v>0.16129032258064516</v>
      </c>
      <c r="P73" s="155" t="s">
        <v>272</v>
      </c>
      <c r="Q73" s="162">
        <f>(I73/10)*12</f>
        <v>22.379999999999995</v>
      </c>
      <c r="R73" s="68">
        <f>Q73-F73</f>
        <v>-93.25</v>
      </c>
    </row>
    <row r="74" spans="1:18" s="36" customFormat="1">
      <c r="A74" s="25" t="s">
        <v>128</v>
      </c>
      <c r="B74" s="26">
        <v>126.83</v>
      </c>
      <c r="C74" s="74">
        <f>SUM(C72:C73)</f>
        <v>18.760000000000002</v>
      </c>
      <c r="D74" s="86">
        <f t="shared" si="53"/>
        <v>1.5181309833054147E-2</v>
      </c>
      <c r="E74" s="25"/>
      <c r="F74" s="74">
        <f>SUM(F72:F73)</f>
        <v>122.33</v>
      </c>
      <c r="G74" s="54">
        <f t="shared" si="54"/>
        <v>2.3706721135473067E-2</v>
      </c>
      <c r="H74" s="74">
        <f t="shared" ref="H74:I74" si="59">SUM(H72:H73)</f>
        <v>29.36</v>
      </c>
      <c r="I74" s="74">
        <f t="shared" si="59"/>
        <v>20.669999999999998</v>
      </c>
      <c r="J74" s="54">
        <f t="shared" si="55"/>
        <v>4.6287173056252233E-2</v>
      </c>
      <c r="K74" s="26">
        <f t="shared" si="57"/>
        <v>8.6900000000000013</v>
      </c>
      <c r="L74" s="54">
        <f t="shared" si="58"/>
        <v>0.42041606192549597</v>
      </c>
      <c r="M74" s="26">
        <f>I74-C74</f>
        <v>1.9099999999999966</v>
      </c>
      <c r="N74" s="55">
        <f>M74/C74</f>
        <v>0.10181236673773968</v>
      </c>
      <c r="P74" s="159"/>
      <c r="Q74" s="74">
        <f>SUM(Q72:Q73)</f>
        <v>24.803999999999995</v>
      </c>
      <c r="R74" s="74">
        <f>SUM(R72:R73)</f>
        <v>-97.525999999999996</v>
      </c>
    </row>
    <row r="75" spans="1:18">
      <c r="D75" s="31"/>
      <c r="E75" s="31"/>
      <c r="F75" s="34"/>
      <c r="G75" s="34"/>
      <c r="H75" s="34"/>
      <c r="I75" s="31"/>
      <c r="J75" s="31"/>
      <c r="K75" s="31"/>
      <c r="L75" s="31"/>
      <c r="M75" s="34"/>
      <c r="N75" s="92"/>
      <c r="Q75" s="163"/>
    </row>
    <row r="76" spans="1:18">
      <c r="A76" s="75" t="s">
        <v>195</v>
      </c>
      <c r="B76" s="75"/>
      <c r="D76" s="31"/>
      <c r="E76" s="31"/>
      <c r="F76" s="34"/>
      <c r="G76" s="34"/>
      <c r="H76" s="34"/>
      <c r="I76" s="31"/>
      <c r="J76" s="31"/>
      <c r="K76" s="31"/>
      <c r="L76" s="31"/>
      <c r="M76" s="34"/>
      <c r="N76" s="92"/>
      <c r="Q76" s="163"/>
    </row>
    <row r="77" spans="1:18" ht="15.75">
      <c r="A77" s="23" t="s">
        <v>197</v>
      </c>
      <c r="B77" s="22">
        <v>2</v>
      </c>
      <c r="C77" s="70">
        <f>ROUND('PU Wise OWE'!$AW$128/10000,2)</f>
        <v>0.3</v>
      </c>
      <c r="D77" s="85">
        <f t="shared" ref="D77:D83" si="60">C77/$C$7</f>
        <v>2.4277147920662279E-4</v>
      </c>
      <c r="E77" s="23"/>
      <c r="F77" s="22">
        <f>ROUND('PU Wise OWE'!$AW$126/10000,2)</f>
        <v>0.94</v>
      </c>
      <c r="G77" s="24">
        <f t="shared" ref="G77:G83" si="61">F77/$F$7</f>
        <v>1.8216560015813521E-4</v>
      </c>
      <c r="H77" s="23">
        <f>ROUND('PU Wise OWE'!$AW$127/10000,2)</f>
        <v>0</v>
      </c>
      <c r="I77" s="23">
        <f>ROUND('PU Wise OWE'!$AW$129/10000,2)</f>
        <v>0</v>
      </c>
      <c r="J77" s="94">
        <f t="shared" ref="J77:J85" si="62">I77/$I$7</f>
        <v>0</v>
      </c>
      <c r="K77" s="22">
        <f>H77-I77</f>
        <v>0</v>
      </c>
      <c r="L77" s="24" t="e">
        <f>K77/I77</f>
        <v>#DIV/0!</v>
      </c>
      <c r="M77" s="22">
        <f t="shared" ref="M77:M83" si="63">I77-C77</f>
        <v>-0.3</v>
      </c>
      <c r="N77" s="52">
        <f t="shared" ref="N77:N83" si="64">M77/C77</f>
        <v>-1</v>
      </c>
      <c r="O77" s="52">
        <f t="shared" ref="O77:O82" si="65">I77/F77</f>
        <v>0</v>
      </c>
      <c r="P77" s="154"/>
      <c r="Q77" s="162">
        <f t="shared" ref="Q77:Q82" si="66">(I77/10)*12</f>
        <v>0</v>
      </c>
      <c r="R77" s="68">
        <f t="shared" ref="R77:R82" si="67">Q77-F77</f>
        <v>-0.94</v>
      </c>
    </row>
    <row r="78" spans="1:18" ht="15.75">
      <c r="A78" s="23" t="s">
        <v>196</v>
      </c>
      <c r="B78" s="22">
        <v>1.66</v>
      </c>
      <c r="C78" s="70">
        <f>ROUND('PU Wise OWE'!$AX$128/10000,2)</f>
        <v>0.24</v>
      </c>
      <c r="D78" s="85">
        <f t="shared" si="60"/>
        <v>1.9421718336529823E-4</v>
      </c>
      <c r="E78" s="23"/>
      <c r="F78" s="22">
        <f>ROUND('PU Wise OWE'!$AW$126/10000,2)</f>
        <v>0.94</v>
      </c>
      <c r="G78" s="24">
        <f t="shared" si="61"/>
        <v>1.8216560015813521E-4</v>
      </c>
      <c r="H78" s="23">
        <f>ROUND('PU Wise OWE'!$AX$127/10000,2)</f>
        <v>0.36</v>
      </c>
      <c r="I78" s="23">
        <f>ROUND('PU Wise OWE'!$AX$129/10000,2)</f>
        <v>0.2</v>
      </c>
      <c r="J78" s="94">
        <f t="shared" si="62"/>
        <v>4.478681476173415E-4</v>
      </c>
      <c r="K78" s="22">
        <f t="shared" ref="K78:K83" si="68">H78-I78</f>
        <v>0.15999999999999998</v>
      </c>
      <c r="L78" s="24">
        <f t="shared" ref="L78:L83" si="69">K78/I78</f>
        <v>0.79999999999999982</v>
      </c>
      <c r="M78" s="22">
        <f t="shared" si="63"/>
        <v>-3.999999999999998E-2</v>
      </c>
      <c r="N78" s="52">
        <f t="shared" si="64"/>
        <v>-0.1666666666666666</v>
      </c>
      <c r="O78" s="52">
        <f t="shared" si="65"/>
        <v>0.21276595744680854</v>
      </c>
      <c r="P78" s="154"/>
      <c r="Q78" s="162">
        <f t="shared" si="66"/>
        <v>0.24</v>
      </c>
      <c r="R78" s="68">
        <f t="shared" si="67"/>
        <v>-0.7</v>
      </c>
    </row>
    <row r="79" spans="1:18" ht="34.15" customHeight="1">
      <c r="A79" s="23" t="s">
        <v>198</v>
      </c>
      <c r="B79" s="22">
        <v>16.940000000000001</v>
      </c>
      <c r="C79" s="70">
        <f>ROUND('PU Wise OWE'!$BC$128/10000,2)</f>
        <v>2.79</v>
      </c>
      <c r="D79" s="85">
        <f t="shared" si="60"/>
        <v>2.2577747566215919E-3</v>
      </c>
      <c r="E79" s="23"/>
      <c r="F79" s="22">
        <f>ROUND('PU Wise OWE'!$BC$126/10000,2)</f>
        <v>10.27</v>
      </c>
      <c r="G79" s="24">
        <f t="shared" si="61"/>
        <v>1.9902560783234559E-3</v>
      </c>
      <c r="H79" s="23">
        <f>ROUND('PU Wise OWE'!$BC$127/10000,2)</f>
        <v>2.4700000000000002</v>
      </c>
      <c r="I79" s="23">
        <f>ROUND('PU Wise OWE'!$BC$129/10000,2)</f>
        <v>3.42</v>
      </c>
      <c r="J79" s="94">
        <f t="shared" si="62"/>
        <v>7.6585453242565384E-3</v>
      </c>
      <c r="K79" s="22">
        <f t="shared" si="68"/>
        <v>-0.94999999999999973</v>
      </c>
      <c r="L79" s="24">
        <f t="shared" si="69"/>
        <v>-0.27777777777777768</v>
      </c>
      <c r="M79" s="22">
        <f t="shared" si="63"/>
        <v>0.62999999999999989</v>
      </c>
      <c r="N79" s="52">
        <f t="shared" si="64"/>
        <v>0.22580645161290319</v>
      </c>
      <c r="O79" s="52">
        <f t="shared" si="65"/>
        <v>0.33300876338851021</v>
      </c>
      <c r="P79" s="155" t="s">
        <v>273</v>
      </c>
      <c r="Q79" s="162">
        <f t="shared" si="66"/>
        <v>4.1039999999999992</v>
      </c>
      <c r="R79" s="68">
        <f t="shared" si="67"/>
        <v>-6.1660000000000004</v>
      </c>
    </row>
    <row r="80" spans="1:18" ht="52.9" customHeight="1">
      <c r="A80" s="23" t="s">
        <v>199</v>
      </c>
      <c r="B80" s="22">
        <v>16.95</v>
      </c>
      <c r="C80" s="70">
        <f>ROUND('PU Wise OWE'!$BD$128/10000,2)</f>
        <v>2.79</v>
      </c>
      <c r="D80" s="85">
        <f t="shared" si="60"/>
        <v>2.2577747566215919E-3</v>
      </c>
      <c r="E80" s="23"/>
      <c r="F80" s="22">
        <f>ROUND('PU Wise OWE'!$BD$126/10000,2)</f>
        <v>10.41</v>
      </c>
      <c r="G80" s="24">
        <f t="shared" si="61"/>
        <v>2.017387125155519E-3</v>
      </c>
      <c r="H80" s="23">
        <f>ROUND('PU Wise OWE'!$BD$127/10000,2)</f>
        <v>2.5</v>
      </c>
      <c r="I80" s="23">
        <f>ROUND('PU Wise OWE'!$BD$129/10000,2)</f>
        <v>3.42</v>
      </c>
      <c r="J80" s="94">
        <f t="shared" si="62"/>
        <v>7.6585453242565384E-3</v>
      </c>
      <c r="K80" s="22">
        <f t="shared" si="68"/>
        <v>-0.91999999999999993</v>
      </c>
      <c r="L80" s="24">
        <f t="shared" si="69"/>
        <v>-0.26900584795321636</v>
      </c>
      <c r="M80" s="22">
        <f t="shared" si="63"/>
        <v>0.62999999999999989</v>
      </c>
      <c r="N80" s="52">
        <f t="shared" si="64"/>
        <v>0.22580645161290319</v>
      </c>
      <c r="O80" s="52">
        <f t="shared" si="65"/>
        <v>0.32853025936599423</v>
      </c>
      <c r="P80" s="155" t="s">
        <v>273</v>
      </c>
      <c r="Q80" s="162">
        <f t="shared" si="66"/>
        <v>4.1039999999999992</v>
      </c>
      <c r="R80" s="68">
        <f t="shared" si="67"/>
        <v>-6.3060000000000009</v>
      </c>
    </row>
    <row r="81" spans="1:18" ht="43.9" customHeight="1">
      <c r="A81" s="23" t="s">
        <v>200</v>
      </c>
      <c r="B81" s="22">
        <v>17.329999999999998</v>
      </c>
      <c r="C81" s="70">
        <f>ROUND('PU Wise OWE'!$BF$128/10000,2)</f>
        <v>2.4500000000000002</v>
      </c>
      <c r="D81" s="85">
        <f t="shared" si="60"/>
        <v>1.9826337468540865E-3</v>
      </c>
      <c r="E81" s="23"/>
      <c r="F81" s="22">
        <f>ROUND('PU Wise OWE'!$BF$126/10000,2)</f>
        <v>13.6</v>
      </c>
      <c r="G81" s="24">
        <f t="shared" si="61"/>
        <v>2.6355874065432331E-3</v>
      </c>
      <c r="H81" s="23">
        <f>ROUND('PU Wise OWE'!$BF$127/10000,2)</f>
        <v>3.26</v>
      </c>
      <c r="I81" s="23">
        <f>ROUND('PU Wise OWE'!$BF$129/10000,2)</f>
        <v>4.6100000000000003</v>
      </c>
      <c r="J81" s="94">
        <f t="shared" si="62"/>
        <v>1.0323360802579722E-2</v>
      </c>
      <c r="K81" s="22">
        <f t="shared" si="68"/>
        <v>-1.3500000000000005</v>
      </c>
      <c r="L81" s="24">
        <f t="shared" si="69"/>
        <v>-0.29284164859002176</v>
      </c>
      <c r="M81" s="22">
        <f t="shared" si="63"/>
        <v>2.16</v>
      </c>
      <c r="N81" s="52">
        <f t="shared" si="64"/>
        <v>0.88163265306122451</v>
      </c>
      <c r="O81" s="52">
        <f t="shared" si="65"/>
        <v>0.33897058823529413</v>
      </c>
      <c r="P81" s="155" t="s">
        <v>273</v>
      </c>
      <c r="Q81" s="162">
        <f t="shared" si="66"/>
        <v>5.532</v>
      </c>
      <c r="R81" s="68">
        <f t="shared" si="67"/>
        <v>-8.0679999999999996</v>
      </c>
    </row>
    <row r="82" spans="1:18" ht="15.75">
      <c r="A82" s="23" t="s">
        <v>201</v>
      </c>
      <c r="B82" s="22">
        <v>166.71</v>
      </c>
      <c r="C82" s="70">
        <f>ROUND('PU Wise OWE'!$BG$128/10000,2)-ROUND('PU Wise OWE'!$BG$117/10000,2)</f>
        <v>34.32000000000005</v>
      </c>
      <c r="D82" s="85">
        <f t="shared" si="60"/>
        <v>2.7773057221237688E-2</v>
      </c>
      <c r="E82" s="23"/>
      <c r="F82" s="22">
        <f>ROUND('PU Wise OWE'!$BG$126/10000,2)-ROUND('PU Wise OWE'!$BG$115/10000,2)</f>
        <v>132.51999999999998</v>
      </c>
      <c r="G82" s="24">
        <f t="shared" si="61"/>
        <v>2.5681473758463913E-2</v>
      </c>
      <c r="H82" s="23">
        <f>ROUND('PU Wise OWE'!$BG$127/10000,2)-ROUND('PU Wise OWE'!$BG$116/10000,2)</f>
        <v>31.810000000000002</v>
      </c>
      <c r="I82" s="23">
        <f>ROUND('PU Wise OWE'!$BG$129/10000,2)-ROUND('PU Wise OWE'!$BG$118/10000,2)</f>
        <v>28.829999999999927</v>
      </c>
      <c r="J82" s="94">
        <f t="shared" si="62"/>
        <v>6.4560193479039601E-2</v>
      </c>
      <c r="K82" s="22">
        <f t="shared" si="68"/>
        <v>2.980000000000075</v>
      </c>
      <c r="L82" s="24">
        <f t="shared" si="69"/>
        <v>0.10336455081512599</v>
      </c>
      <c r="M82" s="22">
        <f t="shared" si="63"/>
        <v>-5.4900000000001228</v>
      </c>
      <c r="N82" s="52">
        <f t="shared" si="64"/>
        <v>-0.15996503496503831</v>
      </c>
      <c r="O82" s="52">
        <f t="shared" si="65"/>
        <v>0.21755206761243534</v>
      </c>
      <c r="P82" s="155"/>
      <c r="Q82" s="162">
        <f t="shared" si="66"/>
        <v>34.595999999999918</v>
      </c>
      <c r="R82" s="166">
        <f t="shared" si="67"/>
        <v>-97.924000000000063</v>
      </c>
    </row>
    <row r="83" spans="1:18" s="36" customFormat="1">
      <c r="A83" s="25" t="s">
        <v>128</v>
      </c>
      <c r="B83" s="26">
        <f>SUM(B77:B82)</f>
        <v>221.59</v>
      </c>
      <c r="C83" s="74">
        <f>SUM(C77:C82)</f>
        <v>42.89000000000005</v>
      </c>
      <c r="D83" s="86">
        <f t="shared" si="60"/>
        <v>3.470822914390688E-2</v>
      </c>
      <c r="E83" s="25"/>
      <c r="F83" s="74">
        <f>SUM(F77:F82)</f>
        <v>168.67999999999998</v>
      </c>
      <c r="G83" s="54">
        <f t="shared" si="61"/>
        <v>3.2689035568802392E-2</v>
      </c>
      <c r="H83" s="74">
        <f>SUM(H77:H82)</f>
        <v>40.400000000000006</v>
      </c>
      <c r="I83" s="74">
        <f>SUM(I77:I82)</f>
        <v>40.479999999999926</v>
      </c>
      <c r="J83" s="54">
        <f t="shared" si="62"/>
        <v>9.0648513077749737E-2</v>
      </c>
      <c r="K83" s="26">
        <f t="shared" si="68"/>
        <v>-7.9999999999920135E-2</v>
      </c>
      <c r="L83" s="54">
        <f t="shared" si="69"/>
        <v>-1.9762845849782677E-3</v>
      </c>
      <c r="M83" s="26">
        <f t="shared" si="63"/>
        <v>-2.4100000000001245</v>
      </c>
      <c r="N83" s="55">
        <f t="shared" si="64"/>
        <v>-5.6190254138496661E-2</v>
      </c>
      <c r="O83" s="25"/>
      <c r="P83" s="153"/>
      <c r="Q83" s="74">
        <f>SUM(Q77:Q82)</f>
        <v>48.575999999999915</v>
      </c>
      <c r="R83" s="74">
        <f>SUM(R77:R82)</f>
        <v>-120.10400000000007</v>
      </c>
    </row>
    <row r="84" spans="1:18">
      <c r="Q84" s="163"/>
    </row>
    <row r="85" spans="1:18" s="36" customFormat="1" ht="30">
      <c r="A85" s="93" t="s">
        <v>202</v>
      </c>
      <c r="B85" s="112">
        <v>5247.44</v>
      </c>
      <c r="C85" s="74">
        <f>C37+C49+C54+C56+C64+C69+C74+C83</f>
        <v>632.40000000000009</v>
      </c>
      <c r="D85" s="86">
        <f t="shared" ref="D85" si="70">C85/$C$7</f>
        <v>0.51176227816756092</v>
      </c>
      <c r="E85" s="25"/>
      <c r="F85" s="74">
        <f>F37+F49+F54+F56+F64+F69+F74+F83</f>
        <v>2021.75</v>
      </c>
      <c r="G85" s="54">
        <f t="shared" ref="G85" si="71">F85/$F$7</f>
        <v>0.39180138523373392</v>
      </c>
      <c r="H85" s="74">
        <f>H37+H49+H54+H56+H64+H69+H74+H83</f>
        <v>636.48</v>
      </c>
      <c r="I85" s="74">
        <f>I37+I49+I54+I56+I64+I69+I74+I83</f>
        <v>-182.22000000000008</v>
      </c>
      <c r="J85" s="54">
        <f t="shared" si="62"/>
        <v>-0.40805266929416001</v>
      </c>
      <c r="K85" s="26">
        <f t="shared" ref="K85" si="72">H85-I85</f>
        <v>818.7</v>
      </c>
      <c r="L85" s="54">
        <f t="shared" ref="L85" si="73">K85/I85</f>
        <v>-4.4929206453737223</v>
      </c>
      <c r="M85" s="26">
        <f>I85-C85</f>
        <v>-814.62000000000012</v>
      </c>
      <c r="N85" s="55">
        <f>M85/C85</f>
        <v>-1.2881404174573055</v>
      </c>
      <c r="O85" s="52">
        <f t="shared" ref="O85" si="74">I85/F85</f>
        <v>-9.0129838011623636E-2</v>
      </c>
      <c r="P85" s="153"/>
      <c r="Q85" s="74">
        <f>Q37+Q49+Q54+Q56+Q64+Q69+Q74+Q83</f>
        <v>376.10799999999983</v>
      </c>
      <c r="R85" s="166">
        <f>Q85-F85</f>
        <v>-1645.6420000000003</v>
      </c>
    </row>
    <row r="86" spans="1:18">
      <c r="Q86" s="163"/>
    </row>
    <row r="87" spans="1:18" s="146" customFormat="1">
      <c r="A87" s="77"/>
      <c r="B87" s="397" t="s">
        <v>293</v>
      </c>
      <c r="C87" s="402" t="s">
        <v>302</v>
      </c>
      <c r="D87" s="397" t="s">
        <v>171</v>
      </c>
      <c r="E87" s="397"/>
      <c r="F87" s="431" t="s">
        <v>304</v>
      </c>
      <c r="G87" s="397" t="s">
        <v>306</v>
      </c>
      <c r="H87" s="150"/>
      <c r="I87" s="402" t="s">
        <v>303</v>
      </c>
      <c r="J87" s="397" t="s">
        <v>203</v>
      </c>
      <c r="K87" s="150"/>
      <c r="L87" s="150"/>
      <c r="M87" s="369" t="s">
        <v>145</v>
      </c>
      <c r="N87" s="369"/>
      <c r="O87" s="370" t="s">
        <v>305</v>
      </c>
      <c r="Q87" s="163"/>
    </row>
    <row r="88" spans="1:18" s="146" customFormat="1">
      <c r="A88" s="133" t="s">
        <v>251</v>
      </c>
      <c r="B88" s="398"/>
      <c r="C88" s="398"/>
      <c r="D88" s="398"/>
      <c r="E88" s="398"/>
      <c r="F88" s="432"/>
      <c r="G88" s="398"/>
      <c r="H88" s="151"/>
      <c r="I88" s="439"/>
      <c r="J88" s="398"/>
      <c r="K88" s="151"/>
      <c r="L88" s="151"/>
      <c r="M88" s="79" t="s">
        <v>143</v>
      </c>
      <c r="N88" s="80" t="s">
        <v>144</v>
      </c>
      <c r="O88" s="370"/>
      <c r="Q88" s="163"/>
    </row>
    <row r="89" spans="1:18" s="146" customFormat="1" ht="15.75">
      <c r="A89" s="23" t="s">
        <v>252</v>
      </c>
      <c r="B89" s="23">
        <v>0</v>
      </c>
      <c r="C89" s="147">
        <v>0</v>
      </c>
      <c r="D89" s="85">
        <f t="shared" ref="D89:D102" si="75">C89/$C$7</f>
        <v>0</v>
      </c>
      <c r="E89" s="23"/>
      <c r="F89" s="22">
        <v>0.69</v>
      </c>
      <c r="G89" s="24">
        <f t="shared" ref="G89:G102" si="76">F89/$F$7</f>
        <v>1.3371730224373755E-4</v>
      </c>
      <c r="H89" s="24"/>
      <c r="I89" s="23">
        <v>0</v>
      </c>
      <c r="J89" s="94">
        <f t="shared" ref="J89:J102" si="77">I89/$I$7</f>
        <v>0</v>
      </c>
      <c r="K89" s="94"/>
      <c r="L89" s="94"/>
      <c r="M89" s="22">
        <f>I89-C89</f>
        <v>0</v>
      </c>
      <c r="N89" s="52">
        <v>0</v>
      </c>
      <c r="O89" s="52">
        <f t="shared" ref="O89:O102" si="78">I89/F89</f>
        <v>0</v>
      </c>
      <c r="Q89" s="162"/>
    </row>
    <row r="90" spans="1:18" s="146" customFormat="1" ht="15.75">
      <c r="A90" s="23" t="s">
        <v>253</v>
      </c>
      <c r="B90" s="23">
        <v>33.630000000000003</v>
      </c>
      <c r="C90" s="148">
        <v>1.86</v>
      </c>
      <c r="D90" s="85">
        <f t="shared" si="75"/>
        <v>1.5051831710810614E-3</v>
      </c>
      <c r="E90" s="23"/>
      <c r="F90" s="22">
        <v>33.28</v>
      </c>
      <c r="G90" s="24">
        <f t="shared" si="76"/>
        <v>6.4494374183646178E-3</v>
      </c>
      <c r="H90" s="24"/>
      <c r="I90" s="22">
        <v>2.77</v>
      </c>
      <c r="J90" s="94">
        <f t="shared" si="77"/>
        <v>6.2029738445001795E-3</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263</v>
      </c>
      <c r="B91" s="23">
        <v>7.44</v>
      </c>
      <c r="C91" s="148">
        <v>0.04</v>
      </c>
      <c r="D91" s="85">
        <f t="shared" si="75"/>
        <v>3.2369530560883043E-5</v>
      </c>
      <c r="E91" s="23"/>
      <c r="F91" s="22">
        <v>0.53</v>
      </c>
      <c r="G91" s="24">
        <f t="shared" si="76"/>
        <v>1.0271039157852306E-4</v>
      </c>
      <c r="H91" s="24"/>
      <c r="I91" s="22">
        <v>0</v>
      </c>
      <c r="J91" s="94">
        <f t="shared" si="77"/>
        <v>0</v>
      </c>
      <c r="K91" s="94"/>
      <c r="L91" s="94"/>
      <c r="M91" s="22">
        <f t="shared" si="79"/>
        <v>-0.04</v>
      </c>
      <c r="N91" s="52">
        <f t="shared" si="80"/>
        <v>-1</v>
      </c>
      <c r="O91" s="52">
        <f t="shared" si="78"/>
        <v>0</v>
      </c>
      <c r="Q91" s="162"/>
    </row>
    <row r="92" spans="1:18" s="146" customFormat="1" ht="15.75">
      <c r="A92" s="149" t="s">
        <v>254</v>
      </c>
      <c r="B92" s="25">
        <f>SUM(B89:B91)</f>
        <v>41.07</v>
      </c>
      <c r="C92" s="25">
        <f>SUM(C89:C91)</f>
        <v>1.9000000000000001</v>
      </c>
      <c r="D92" s="86">
        <f t="shared" si="75"/>
        <v>1.5375527016419446E-3</v>
      </c>
      <c r="E92" s="25">
        <f t="shared" ref="E92:F92" si="81">SUM(E89:E90)</f>
        <v>0</v>
      </c>
      <c r="F92" s="26">
        <f t="shared" si="81"/>
        <v>33.97</v>
      </c>
      <c r="G92" s="54">
        <f t="shared" si="76"/>
        <v>6.583154720608355E-3</v>
      </c>
      <c r="H92" s="54"/>
      <c r="I92" s="26">
        <f>SUM(I89:I91)</f>
        <v>2.77</v>
      </c>
      <c r="J92" s="54">
        <f t="shared" si="77"/>
        <v>6.2029738445001795E-3</v>
      </c>
      <c r="K92" s="54"/>
      <c r="L92" s="54"/>
      <c r="M92" s="26">
        <f t="shared" si="79"/>
        <v>0.86999999999999988</v>
      </c>
      <c r="N92" s="55">
        <f t="shared" si="80"/>
        <v>0.45789473684210519</v>
      </c>
      <c r="O92" s="55">
        <f t="shared" si="78"/>
        <v>8.1542537533117465E-2</v>
      </c>
      <c r="Q92" s="162"/>
    </row>
    <row r="93" spans="1:18" s="146" customFormat="1" ht="15.75">
      <c r="A93" s="23" t="s">
        <v>255</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256</v>
      </c>
      <c r="B94" s="25">
        <v>13.17</v>
      </c>
      <c r="C94" s="148">
        <v>0.17</v>
      </c>
      <c r="D94" s="85">
        <f t="shared" si="75"/>
        <v>1.3757050488375294E-4</v>
      </c>
      <c r="E94" s="23"/>
      <c r="F94" s="22">
        <v>14.55</v>
      </c>
      <c r="G94" s="24">
        <f t="shared" si="76"/>
        <v>2.8196909386179443E-3</v>
      </c>
      <c r="H94" s="24"/>
      <c r="I94" s="22">
        <v>3.38</v>
      </c>
      <c r="J94" s="94">
        <f t="shared" si="77"/>
        <v>7.5689716947330704E-3</v>
      </c>
      <c r="K94" s="94"/>
      <c r="L94" s="94"/>
      <c r="M94" s="22">
        <f t="shared" si="79"/>
        <v>3.21</v>
      </c>
      <c r="N94" s="52">
        <f t="shared" si="80"/>
        <v>18.882352941176467</v>
      </c>
      <c r="O94" s="52">
        <f t="shared" si="78"/>
        <v>0.23230240549828177</v>
      </c>
      <c r="Q94" s="162"/>
    </row>
    <row r="95" spans="1:18" s="146" customFormat="1" ht="15.75">
      <c r="A95" s="23" t="s">
        <v>264</v>
      </c>
      <c r="B95" s="25">
        <v>-0.3</v>
      </c>
      <c r="C95" s="148">
        <v>0</v>
      </c>
      <c r="D95" s="85">
        <f t="shared" si="75"/>
        <v>0</v>
      </c>
      <c r="E95" s="23"/>
      <c r="F95" s="22">
        <v>0.05</v>
      </c>
      <c r="G95" s="24">
        <f t="shared" si="76"/>
        <v>9.6896595828795335E-6</v>
      </c>
      <c r="H95" s="24"/>
      <c r="I95" s="22">
        <v>0</v>
      </c>
      <c r="J95" s="94">
        <f t="shared" si="77"/>
        <v>0</v>
      </c>
      <c r="K95" s="94"/>
      <c r="L95" s="94"/>
      <c r="M95" s="22">
        <f t="shared" si="79"/>
        <v>0</v>
      </c>
      <c r="N95" s="52">
        <v>0</v>
      </c>
      <c r="O95" s="52">
        <f t="shared" si="78"/>
        <v>0</v>
      </c>
      <c r="Q95" s="162"/>
    </row>
    <row r="96" spans="1:18" s="146" customFormat="1" ht="15.75">
      <c r="A96" s="149" t="s">
        <v>257</v>
      </c>
      <c r="B96" s="25">
        <f>SUM(B93:B95)</f>
        <v>12.87</v>
      </c>
      <c r="C96" s="25">
        <f>SUM(C93:C95)</f>
        <v>0.17</v>
      </c>
      <c r="D96" s="86">
        <f t="shared" si="75"/>
        <v>1.3757050488375294E-4</v>
      </c>
      <c r="E96" s="25">
        <f t="shared" ref="E96" si="82">SUM(E93:E94)</f>
        <v>0</v>
      </c>
      <c r="F96" s="26">
        <f>SUM(F93:F95)</f>
        <v>14.600000000000001</v>
      </c>
      <c r="G96" s="54">
        <f t="shared" si="76"/>
        <v>2.8293805982008242E-3</v>
      </c>
      <c r="H96" s="54"/>
      <c r="I96" s="26">
        <f>SUM(I93:I95)</f>
        <v>3.38</v>
      </c>
      <c r="J96" s="54">
        <f t="shared" si="77"/>
        <v>7.5689716947330704E-3</v>
      </c>
      <c r="K96" s="54"/>
      <c r="L96" s="54"/>
      <c r="M96" s="26">
        <f t="shared" si="79"/>
        <v>3.21</v>
      </c>
      <c r="N96" s="55">
        <f t="shared" si="80"/>
        <v>18.882352941176467</v>
      </c>
      <c r="O96" s="55">
        <f t="shared" si="78"/>
        <v>0.23150684931506846</v>
      </c>
      <c r="Q96" s="162"/>
    </row>
    <row r="97" spans="1:17" s="146" customFormat="1" ht="15.75">
      <c r="A97" s="23" t="s">
        <v>258</v>
      </c>
      <c r="B97" s="26">
        <v>24.12</v>
      </c>
      <c r="C97" s="148">
        <v>1.61</v>
      </c>
      <c r="D97" s="85">
        <f t="shared" si="75"/>
        <v>1.3028736050755424E-3</v>
      </c>
      <c r="E97" s="23"/>
      <c r="F97" s="22">
        <v>17.600000000000001</v>
      </c>
      <c r="G97" s="24">
        <f t="shared" si="76"/>
        <v>3.4107601731735962E-3</v>
      </c>
      <c r="H97" s="24"/>
      <c r="I97" s="22">
        <v>0.15</v>
      </c>
      <c r="J97" s="94">
        <f t="shared" si="77"/>
        <v>3.3590111071300609E-4</v>
      </c>
      <c r="K97" s="94"/>
      <c r="L97" s="94"/>
      <c r="M97" s="22">
        <f t="shared" si="79"/>
        <v>-1.4600000000000002</v>
      </c>
      <c r="N97" s="52">
        <f t="shared" si="80"/>
        <v>-0.90683229813664601</v>
      </c>
      <c r="O97" s="52">
        <f t="shared" si="78"/>
        <v>8.5227272727272721E-3</v>
      </c>
      <c r="Q97" s="162"/>
    </row>
    <row r="98" spans="1:17" s="146" customFormat="1" ht="15.75">
      <c r="A98" s="23" t="s">
        <v>259</v>
      </c>
      <c r="B98" s="25">
        <v>145.66</v>
      </c>
      <c r="C98" s="148">
        <v>4.3499999999999996</v>
      </c>
      <c r="D98" s="85">
        <f t="shared" si="75"/>
        <v>3.5201864484960305E-3</v>
      </c>
      <c r="E98" s="23"/>
      <c r="F98" s="22">
        <v>11.56</v>
      </c>
      <c r="G98" s="24">
        <f t="shared" si="76"/>
        <v>2.2402492955617484E-3</v>
      </c>
      <c r="H98" s="24"/>
      <c r="I98" s="22">
        <v>6.27</v>
      </c>
      <c r="J98" s="94">
        <f t="shared" si="77"/>
        <v>1.4040666427803654E-2</v>
      </c>
      <c r="K98" s="94"/>
      <c r="L98" s="94"/>
      <c r="M98" s="22">
        <f t="shared" si="79"/>
        <v>1.92</v>
      </c>
      <c r="N98" s="52">
        <f t="shared" si="80"/>
        <v>0.44137931034482758</v>
      </c>
      <c r="O98" s="52">
        <f t="shared" si="78"/>
        <v>0.54238754325259508</v>
      </c>
      <c r="Q98" s="162"/>
    </row>
    <row r="99" spans="1:17" s="146" customFormat="1" ht="15.75">
      <c r="A99" s="149" t="s">
        <v>260</v>
      </c>
      <c r="B99" s="25">
        <f t="shared" ref="B99:I102" si="83">SUM(B97:B98)</f>
        <v>169.78</v>
      </c>
      <c r="C99" s="26">
        <f t="shared" si="83"/>
        <v>5.96</v>
      </c>
      <c r="D99" s="86">
        <f t="shared" si="75"/>
        <v>4.8230600535715731E-3</v>
      </c>
      <c r="E99" s="25">
        <f t="shared" si="83"/>
        <v>0</v>
      </c>
      <c r="F99" s="26">
        <f t="shared" si="83"/>
        <v>29.160000000000004</v>
      </c>
      <c r="G99" s="54">
        <f t="shared" si="76"/>
        <v>5.651009468735345E-3</v>
      </c>
      <c r="H99" s="54"/>
      <c r="I99" s="26">
        <f t="shared" si="83"/>
        <v>6.42</v>
      </c>
      <c r="J99" s="54">
        <f t="shared" si="77"/>
        <v>1.437656753851666E-2</v>
      </c>
      <c r="K99" s="54"/>
      <c r="L99" s="54"/>
      <c r="M99" s="26">
        <f t="shared" si="79"/>
        <v>0.45999999999999996</v>
      </c>
      <c r="N99" s="55">
        <f t="shared" si="80"/>
        <v>7.7181208053691275E-2</v>
      </c>
      <c r="O99" s="55">
        <f t="shared" si="78"/>
        <v>0.22016460905349791</v>
      </c>
      <c r="Q99" s="162"/>
    </row>
    <row r="100" spans="1:17" s="146" customFormat="1" ht="15.75">
      <c r="A100" s="23" t="s">
        <v>261</v>
      </c>
      <c r="B100" s="26">
        <v>12.31</v>
      </c>
      <c r="C100" s="148">
        <v>4.28</v>
      </c>
      <c r="D100" s="85">
        <f t="shared" si="75"/>
        <v>3.4635397700144856E-3</v>
      </c>
      <c r="E100" s="23"/>
      <c r="F100" s="22">
        <v>13.17</v>
      </c>
      <c r="G100" s="24">
        <f t="shared" si="76"/>
        <v>2.5522563341304691E-3</v>
      </c>
      <c r="H100" s="24"/>
      <c r="I100" s="22">
        <v>1.93</v>
      </c>
      <c r="J100" s="94">
        <f t="shared" si="77"/>
        <v>4.3219276245073449E-3</v>
      </c>
      <c r="K100" s="94"/>
      <c r="L100" s="94"/>
      <c r="M100" s="22">
        <f t="shared" si="79"/>
        <v>-2.3500000000000005</v>
      </c>
      <c r="N100" s="52">
        <f t="shared" si="80"/>
        <v>-0.54906542056074781</v>
      </c>
      <c r="O100" s="52">
        <f t="shared" si="78"/>
        <v>0.14654517843583903</v>
      </c>
      <c r="Q100" s="162"/>
    </row>
    <row r="101" spans="1:17" s="146" customFormat="1" ht="15.75">
      <c r="A101" s="23" t="s">
        <v>262</v>
      </c>
      <c r="B101" s="25">
        <v>101.34</v>
      </c>
      <c r="C101" s="148">
        <v>1.64</v>
      </c>
      <c r="D101" s="85">
        <f t="shared" si="75"/>
        <v>1.3271507529962045E-3</v>
      </c>
      <c r="E101" s="23"/>
      <c r="F101" s="22">
        <v>65.03</v>
      </c>
      <c r="G101" s="24">
        <f t="shared" si="76"/>
        <v>1.2602371253493122E-2</v>
      </c>
      <c r="H101" s="24"/>
      <c r="I101" s="22">
        <v>5.95</v>
      </c>
      <c r="J101" s="94">
        <f t="shared" si="77"/>
        <v>1.3324077391615908E-2</v>
      </c>
      <c r="K101" s="94"/>
      <c r="L101" s="94"/>
      <c r="M101" s="22">
        <f t="shared" si="79"/>
        <v>4.3100000000000005</v>
      </c>
      <c r="N101" s="52">
        <f t="shared" si="80"/>
        <v>2.6280487804878052</v>
      </c>
      <c r="O101" s="52">
        <f t="shared" si="78"/>
        <v>9.1496232508073191E-2</v>
      </c>
      <c r="Q101" s="162"/>
    </row>
    <row r="102" spans="1:17" s="146" customFormat="1" ht="15.75">
      <c r="A102" s="149" t="s">
        <v>292</v>
      </c>
      <c r="B102" s="25">
        <f t="shared" si="83"/>
        <v>113.65</v>
      </c>
      <c r="C102" s="26">
        <f t="shared" si="83"/>
        <v>5.92</v>
      </c>
      <c r="D102" s="86">
        <f t="shared" si="75"/>
        <v>4.7906905230106897E-3</v>
      </c>
      <c r="E102" s="25">
        <f t="shared" si="83"/>
        <v>0</v>
      </c>
      <c r="F102" s="26">
        <f t="shared" si="83"/>
        <v>78.2</v>
      </c>
      <c r="G102" s="54">
        <f t="shared" si="76"/>
        <v>1.5154627587623591E-2</v>
      </c>
      <c r="H102" s="54"/>
      <c r="I102" s="26">
        <f t="shared" si="83"/>
        <v>7.88</v>
      </c>
      <c r="J102" s="54">
        <f t="shared" si="77"/>
        <v>1.7646005016123251E-2</v>
      </c>
      <c r="K102" s="54"/>
      <c r="L102" s="54"/>
      <c r="M102" s="26">
        <f t="shared" si="79"/>
        <v>1.96</v>
      </c>
      <c r="N102" s="55">
        <f t="shared" si="80"/>
        <v>0.33108108108108109</v>
      </c>
      <c r="O102" s="55">
        <f t="shared" si="78"/>
        <v>0.10076726342710997</v>
      </c>
      <c r="Q102" s="162"/>
    </row>
    <row r="103" spans="1:17">
      <c r="Q103" s="163"/>
    </row>
    <row r="104" spans="1:17">
      <c r="A104" s="77"/>
      <c r="B104" s="397" t="s">
        <v>293</v>
      </c>
      <c r="C104" s="402" t="str">
        <f>'PU Wise OWE'!$B$7</f>
        <v>Actual up to April-23</v>
      </c>
      <c r="D104" s="397" t="s">
        <v>171</v>
      </c>
      <c r="E104" s="397"/>
      <c r="F104" s="431" t="str">
        <f>'PU Wise OWE'!$B$5</f>
        <v>Vote On Acc 2024-25</v>
      </c>
      <c r="G104" s="397" t="s">
        <v>306</v>
      </c>
      <c r="H104" s="150"/>
      <c r="I104" s="402" t="str">
        <f>I40</f>
        <v>Actual up to April-24</v>
      </c>
      <c r="J104" s="397" t="s">
        <v>203</v>
      </c>
      <c r="K104" s="150"/>
      <c r="L104" s="150"/>
      <c r="M104" s="369" t="s">
        <v>145</v>
      </c>
      <c r="N104" s="369"/>
      <c r="O104" s="370" t="s">
        <v>305</v>
      </c>
      <c r="Q104" s="163"/>
    </row>
    <row r="105" spans="1:17">
      <c r="A105" s="133" t="s">
        <v>189</v>
      </c>
      <c r="B105" s="398"/>
      <c r="C105" s="398"/>
      <c r="D105" s="398"/>
      <c r="E105" s="398"/>
      <c r="F105" s="432"/>
      <c r="G105" s="398"/>
      <c r="H105" s="151"/>
      <c r="I105" s="398"/>
      <c r="J105" s="398"/>
      <c r="K105" s="151"/>
      <c r="L105" s="151"/>
      <c r="M105" s="79" t="s">
        <v>143</v>
      </c>
      <c r="N105" s="80" t="s">
        <v>144</v>
      </c>
      <c r="O105" s="370"/>
      <c r="Q105" s="163"/>
    </row>
    <row r="106" spans="1:17" ht="15.75">
      <c r="A106" s="23" t="s">
        <v>215</v>
      </c>
      <c r="B106" s="23">
        <v>305.92</v>
      </c>
      <c r="C106" s="109">
        <v>19.18</v>
      </c>
      <c r="D106" s="85">
        <f t="shared" ref="D106:D109" si="84">C106/$C$7</f>
        <v>1.5521189903943418E-2</v>
      </c>
      <c r="E106" s="23"/>
      <c r="F106" s="20">
        <v>115.89</v>
      </c>
      <c r="G106" s="24">
        <f t="shared" ref="G106:G109" si="85">F106/$F$7</f>
        <v>2.2458692981198184E-2</v>
      </c>
      <c r="H106" s="24"/>
      <c r="I106" s="105">
        <v>28.26</v>
      </c>
      <c r="J106" s="94">
        <f t="shared" ref="J106:J109" si="86">I106/$I$7</f>
        <v>6.3283769258330347E-2</v>
      </c>
      <c r="K106" s="94"/>
      <c r="L106" s="94"/>
      <c r="M106" s="22">
        <f>I106-C106</f>
        <v>9.0800000000000018</v>
      </c>
      <c r="N106" s="52">
        <f>M106/C106</f>
        <v>0.47340980187695525</v>
      </c>
      <c r="O106" s="52">
        <f t="shared" ref="O106:O109" si="87">I106/F106</f>
        <v>0.24385192855293814</v>
      </c>
      <c r="Q106" s="162"/>
    </row>
    <row r="107" spans="1:17" ht="15.75">
      <c r="A107" s="23" t="s">
        <v>214</v>
      </c>
      <c r="B107" s="23">
        <v>266.58999999999997</v>
      </c>
      <c r="C107" s="81">
        <v>27.95</v>
      </c>
      <c r="D107" s="85">
        <f t="shared" si="84"/>
        <v>2.2618209479417024E-2</v>
      </c>
      <c r="E107" s="23"/>
      <c r="F107" s="105">
        <v>750</v>
      </c>
      <c r="G107" s="24">
        <f t="shared" si="85"/>
        <v>0.14534489374319301</v>
      </c>
      <c r="H107" s="24"/>
      <c r="I107" s="105">
        <v>40.58</v>
      </c>
      <c r="J107" s="94">
        <f t="shared" si="86"/>
        <v>9.087244715155858E-2</v>
      </c>
      <c r="K107" s="94"/>
      <c r="L107" s="94"/>
      <c r="M107" s="22">
        <f t="shared" ref="M107:M109" si="88">I107-C107</f>
        <v>12.629999999999999</v>
      </c>
      <c r="N107" s="52">
        <f t="shared" ref="N107:N109" si="89">M107/C107</f>
        <v>0.45187835420393557</v>
      </c>
      <c r="O107" s="52">
        <f t="shared" si="87"/>
        <v>5.4106666666666664E-2</v>
      </c>
      <c r="Q107" s="162"/>
    </row>
    <row r="108" spans="1:17" ht="15.75">
      <c r="A108" s="87" t="s">
        <v>213</v>
      </c>
      <c r="B108" s="23">
        <v>544.78</v>
      </c>
      <c r="C108" s="81">
        <v>165.44</v>
      </c>
      <c r="D108" s="85">
        <f t="shared" si="84"/>
        <v>0.13388037839981226</v>
      </c>
      <c r="E108" s="23"/>
      <c r="F108" s="105">
        <v>676.5</v>
      </c>
      <c r="G108" s="24">
        <f t="shared" si="85"/>
        <v>0.13110109415636009</v>
      </c>
      <c r="H108" s="24"/>
      <c r="I108" s="20">
        <v>301.26</v>
      </c>
      <c r="J108" s="94">
        <f t="shared" si="86"/>
        <v>0.67462379075600143</v>
      </c>
      <c r="K108" s="94"/>
      <c r="L108" s="94"/>
      <c r="M108" s="22">
        <f t="shared" si="88"/>
        <v>135.82</v>
      </c>
      <c r="N108" s="52">
        <f t="shared" si="89"/>
        <v>0.82096228239845259</v>
      </c>
      <c r="O108" s="52">
        <f t="shared" si="87"/>
        <v>0.44532150776053214</v>
      </c>
      <c r="Q108" s="162"/>
    </row>
    <row r="109" spans="1:17" ht="15.75">
      <c r="A109" s="25" t="s">
        <v>128</v>
      </c>
      <c r="B109" s="25">
        <f>SUM(B106:B108)</f>
        <v>1117.29</v>
      </c>
      <c r="C109" s="138">
        <f>+C106+C107+C108</f>
        <v>212.57</v>
      </c>
      <c r="D109" s="86">
        <f t="shared" si="84"/>
        <v>0.17201977778317268</v>
      </c>
      <c r="E109" s="25"/>
      <c r="F109" s="138">
        <f>+F106+F107+F108</f>
        <v>1542.3899999999999</v>
      </c>
      <c r="G109" s="54">
        <f t="shared" si="85"/>
        <v>0.29890468088075123</v>
      </c>
      <c r="H109" s="54"/>
      <c r="I109" s="104">
        <f>SUM(I106:I108)</f>
        <v>370.1</v>
      </c>
      <c r="J109" s="54">
        <f t="shared" si="86"/>
        <v>0.8287800071658904</v>
      </c>
      <c r="K109" s="54"/>
      <c r="L109" s="54"/>
      <c r="M109" s="26">
        <f t="shared" si="88"/>
        <v>157.53000000000003</v>
      </c>
      <c r="N109" s="55">
        <f t="shared" si="89"/>
        <v>0.74107352871995125</v>
      </c>
      <c r="O109" s="55">
        <f t="shared" si="87"/>
        <v>0.23995228184830039</v>
      </c>
      <c r="Q109" s="162"/>
    </row>
    <row r="110" spans="1:17">
      <c r="C110" s="136"/>
      <c r="Q110" s="163"/>
    </row>
    <row r="111" spans="1:17">
      <c r="A111" s="133" t="s">
        <v>216</v>
      </c>
      <c r="B111" s="23"/>
      <c r="C111" s="81"/>
      <c r="D111" s="23"/>
      <c r="E111" s="23"/>
      <c r="F111" s="23"/>
      <c r="G111" s="23"/>
      <c r="H111" s="23"/>
      <c r="I111" s="23"/>
      <c r="J111" s="23"/>
      <c r="K111" s="23"/>
      <c r="L111" s="23"/>
      <c r="M111" s="23"/>
      <c r="N111" s="23"/>
      <c r="O111" s="23"/>
      <c r="Q111" s="163"/>
    </row>
    <row r="112" spans="1:17" ht="15.75">
      <c r="A112" s="23" t="s">
        <v>217</v>
      </c>
      <c r="B112" s="22">
        <v>28.69</v>
      </c>
      <c r="C112" s="109">
        <v>5.63</v>
      </c>
      <c r="D112" s="85">
        <f t="shared" ref="D112:D115" si="90">C112/$C$7</f>
        <v>4.5560114264442874E-3</v>
      </c>
      <c r="E112" s="23"/>
      <c r="F112" s="22">
        <v>27.91</v>
      </c>
      <c r="G112" s="24">
        <f t="shared" ref="G112:G115" si="91">F112/$F$7</f>
        <v>5.4087679791633555E-3</v>
      </c>
      <c r="H112" s="24"/>
      <c r="I112" s="23">
        <v>0.22</v>
      </c>
      <c r="J112" s="94">
        <f t="shared" ref="J112:J115" si="92">I112/$I$7</f>
        <v>4.9265496237907555E-4</v>
      </c>
      <c r="K112" s="94"/>
      <c r="L112" s="94"/>
      <c r="M112" s="22">
        <f>I112-C112</f>
        <v>-5.41</v>
      </c>
      <c r="N112" s="52">
        <f>M112/C112</f>
        <v>-0.96092362344582594</v>
      </c>
      <c r="O112" s="52">
        <f t="shared" ref="O112:O115" si="93">I112/F112</f>
        <v>7.8824793980652088E-3</v>
      </c>
      <c r="Q112" s="162"/>
    </row>
    <row r="113" spans="1:17" ht="15.75">
      <c r="A113" s="23" t="s">
        <v>218</v>
      </c>
      <c r="B113" s="22">
        <v>38.6</v>
      </c>
      <c r="C113" s="81">
        <v>2.54</v>
      </c>
      <c r="D113" s="85">
        <f t="shared" si="90"/>
        <v>2.0554651906160731E-3</v>
      </c>
      <c r="E113" s="23"/>
      <c r="F113" s="23">
        <v>33.72</v>
      </c>
      <c r="G113" s="24">
        <f t="shared" si="91"/>
        <v>6.5347064226939575E-3</v>
      </c>
      <c r="H113" s="24"/>
      <c r="I113" s="22">
        <v>0.11</v>
      </c>
      <c r="J113" s="94">
        <f t="shared" si="92"/>
        <v>2.4632748118953777E-4</v>
      </c>
      <c r="K113" s="94"/>
      <c r="L113" s="94"/>
      <c r="M113" s="22">
        <f t="shared" ref="M113:M115" si="94">I113-C113</f>
        <v>-2.4300000000000002</v>
      </c>
      <c r="N113" s="52">
        <f t="shared" ref="N113:N115" si="95">M113/C113</f>
        <v>-0.95669291338582685</v>
      </c>
      <c r="O113" s="52">
        <f t="shared" si="93"/>
        <v>3.2621589561091344E-3</v>
      </c>
      <c r="Q113" s="162"/>
    </row>
    <row r="114" spans="1:17" ht="15.75">
      <c r="A114" s="87" t="s">
        <v>219</v>
      </c>
      <c r="B114" s="23">
        <v>33.32</v>
      </c>
      <c r="C114" s="81">
        <v>2.81</v>
      </c>
      <c r="D114" s="85">
        <f t="shared" si="90"/>
        <v>2.2739595219020336E-3</v>
      </c>
      <c r="E114" s="23"/>
      <c r="F114" s="23">
        <v>33.19</v>
      </c>
      <c r="G114" s="24">
        <f t="shared" si="91"/>
        <v>6.4319960311154337E-3</v>
      </c>
      <c r="H114" s="24"/>
      <c r="I114" s="22">
        <v>3.03</v>
      </c>
      <c r="J114" s="94">
        <f t="shared" si="92"/>
        <v>6.7852024364027227E-3</v>
      </c>
      <c r="K114" s="94"/>
      <c r="L114" s="94"/>
      <c r="M114" s="22">
        <f t="shared" si="94"/>
        <v>0.21999999999999975</v>
      </c>
      <c r="N114" s="52">
        <f t="shared" si="95"/>
        <v>7.8291814946619132E-2</v>
      </c>
      <c r="O114" s="52">
        <f t="shared" si="93"/>
        <v>9.1292557999397408E-2</v>
      </c>
      <c r="Q114" s="162"/>
    </row>
    <row r="115" spans="1:17" ht="15.75">
      <c r="A115" s="25" t="s">
        <v>128</v>
      </c>
      <c r="B115" s="26">
        <f>SUM(B112:B114)</f>
        <v>100.61000000000001</v>
      </c>
      <c r="C115" s="145">
        <f>SUM(C112:C114)</f>
        <v>10.98</v>
      </c>
      <c r="D115" s="86">
        <f t="shared" si="90"/>
        <v>8.8854361389623954E-3</v>
      </c>
      <c r="E115" s="25"/>
      <c r="F115" s="25">
        <f>SUM(F112:F114)</f>
        <v>94.82</v>
      </c>
      <c r="G115" s="54">
        <f t="shared" si="91"/>
        <v>1.8375470432972746E-2</v>
      </c>
      <c r="H115" s="54"/>
      <c r="I115" s="25">
        <f>SUM(I112:I114)</f>
        <v>3.36</v>
      </c>
      <c r="J115" s="54">
        <f t="shared" si="92"/>
        <v>7.524184879971336E-3</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57" customWidth="1"/>
    <col min="5" max="5" width="15.7109375" customWidth="1"/>
    <col min="6" max="6" width="20.140625" customWidth="1"/>
    <col min="7" max="7" width="12.28515625" customWidth="1"/>
  </cols>
  <sheetData>
    <row r="2" spans="1:7" ht="18.75">
      <c r="A2" s="446" t="s">
        <v>326</v>
      </c>
      <c r="B2" s="447"/>
      <c r="C2" s="447"/>
      <c r="D2" s="447"/>
      <c r="E2" s="447"/>
      <c r="F2" s="447"/>
      <c r="G2" s="448"/>
    </row>
    <row r="3" spans="1:7" ht="37.5">
      <c r="A3" s="258" t="s">
        <v>318</v>
      </c>
      <c r="B3" s="258" t="s">
        <v>313</v>
      </c>
      <c r="C3" s="258" t="s">
        <v>0</v>
      </c>
      <c r="D3" s="258" t="s">
        <v>320</v>
      </c>
      <c r="E3" s="258" t="s">
        <v>314</v>
      </c>
      <c r="F3" s="259" t="s">
        <v>327</v>
      </c>
      <c r="G3" s="258" t="s">
        <v>315</v>
      </c>
    </row>
    <row r="4" spans="1:7" ht="18.75">
      <c r="A4" s="260">
        <v>1</v>
      </c>
      <c r="B4" s="260">
        <v>8</v>
      </c>
      <c r="C4" s="260">
        <v>30</v>
      </c>
      <c r="D4" s="264" t="s">
        <v>321</v>
      </c>
      <c r="E4" s="260">
        <v>77.03</v>
      </c>
      <c r="F4" s="260">
        <v>90.81</v>
      </c>
      <c r="G4" s="260">
        <f>F4-E4</f>
        <v>13.780000000000001</v>
      </c>
    </row>
    <row r="5" spans="1:7" ht="18.75">
      <c r="A5" s="260">
        <v>2</v>
      </c>
      <c r="B5" s="260">
        <v>10</v>
      </c>
      <c r="C5" s="260">
        <v>30</v>
      </c>
      <c r="D5" s="264" t="s">
        <v>322</v>
      </c>
      <c r="E5" s="260">
        <v>892.98</v>
      </c>
      <c r="F5" s="260">
        <v>1056.8599999999999</v>
      </c>
      <c r="G5" s="260">
        <f t="shared" ref="G5:G12" si="0">F5-E5</f>
        <v>163.87999999999988</v>
      </c>
    </row>
    <row r="6" spans="1:7" ht="18.75">
      <c r="A6" s="260">
        <v>3</v>
      </c>
      <c r="B6" s="260">
        <v>10</v>
      </c>
      <c r="C6" s="260">
        <v>27</v>
      </c>
      <c r="D6" s="264" t="s">
        <v>323</v>
      </c>
      <c r="E6" s="260">
        <v>47.29</v>
      </c>
      <c r="F6" s="260">
        <v>57.22</v>
      </c>
      <c r="G6" s="260">
        <f t="shared" si="0"/>
        <v>9.93</v>
      </c>
    </row>
    <row r="7" spans="1:7" s="257" customFormat="1" ht="18.75">
      <c r="A7" s="260">
        <v>4</v>
      </c>
      <c r="B7" s="260">
        <v>10</v>
      </c>
      <c r="C7" s="260">
        <v>41</v>
      </c>
      <c r="D7" s="264" t="s">
        <v>110</v>
      </c>
      <c r="E7" s="260">
        <v>15.97</v>
      </c>
      <c r="F7" s="260">
        <v>16.71</v>
      </c>
      <c r="G7" s="260">
        <f t="shared" si="0"/>
        <v>0.74000000000000021</v>
      </c>
    </row>
    <row r="8" spans="1:7" ht="18.75">
      <c r="A8" s="260">
        <v>5</v>
      </c>
      <c r="B8" s="260">
        <v>6</v>
      </c>
      <c r="C8" s="261" t="s">
        <v>319</v>
      </c>
      <c r="D8" s="264" t="s">
        <v>193</v>
      </c>
      <c r="E8" s="260">
        <v>138.44999999999999</v>
      </c>
      <c r="F8" s="260">
        <v>149.69999999999999</v>
      </c>
      <c r="G8" s="260">
        <f t="shared" si="0"/>
        <v>11.25</v>
      </c>
    </row>
    <row r="9" spans="1:7" ht="18.75">
      <c r="A9" s="260">
        <v>6</v>
      </c>
      <c r="B9" s="261" t="s">
        <v>328</v>
      </c>
      <c r="C9" s="260">
        <v>99</v>
      </c>
      <c r="D9" s="264" t="s">
        <v>324</v>
      </c>
      <c r="E9" s="260">
        <v>194.56</v>
      </c>
      <c r="F9" s="260">
        <v>200.26</v>
      </c>
      <c r="G9" s="262">
        <f t="shared" si="0"/>
        <v>5.6999999999999886</v>
      </c>
    </row>
    <row r="10" spans="1:7" ht="18.75">
      <c r="A10" s="260">
        <v>7</v>
      </c>
      <c r="B10" s="261" t="s">
        <v>317</v>
      </c>
      <c r="C10" s="260"/>
      <c r="D10" s="264"/>
      <c r="E10" s="260">
        <v>336.91</v>
      </c>
      <c r="F10" s="260">
        <v>369.98</v>
      </c>
      <c r="G10" s="262">
        <f t="shared" si="0"/>
        <v>33.069999999999993</v>
      </c>
    </row>
    <row r="11" spans="1:7" ht="18.75">
      <c r="A11" s="260">
        <v>8</v>
      </c>
      <c r="B11" s="261" t="s">
        <v>316</v>
      </c>
      <c r="C11" s="260"/>
      <c r="D11" s="264"/>
      <c r="E11" s="260">
        <v>541.71</v>
      </c>
      <c r="F11" s="260">
        <v>545.21</v>
      </c>
      <c r="G11" s="262">
        <f t="shared" si="0"/>
        <v>3.5</v>
      </c>
    </row>
    <row r="12" spans="1:7" ht="18.75">
      <c r="A12" s="260">
        <v>9</v>
      </c>
      <c r="B12" s="261" t="s">
        <v>217</v>
      </c>
      <c r="C12" s="260"/>
      <c r="D12" s="264" t="s">
        <v>325</v>
      </c>
      <c r="E12" s="260">
        <v>39.18</v>
      </c>
      <c r="F12" s="260">
        <v>42.86</v>
      </c>
      <c r="G12" s="260">
        <f t="shared" si="0"/>
        <v>3.6799999999999997</v>
      </c>
    </row>
    <row r="13" spans="1:7" ht="18.75">
      <c r="A13" s="263"/>
      <c r="B13" s="449" t="s">
        <v>128</v>
      </c>
      <c r="C13" s="450"/>
      <c r="D13" s="451"/>
      <c r="E13" s="260">
        <f>SUM(E4:E12)</f>
        <v>2284.08</v>
      </c>
      <c r="F13" s="260">
        <f>SUM(F4:F12)</f>
        <v>2529.61</v>
      </c>
      <c r="G13" s="262">
        <f>SUM(G4:G12)</f>
        <v>245.52999999999989</v>
      </c>
    </row>
  </sheetData>
  <mergeCells count="2">
    <mergeCell ref="A2:G2"/>
    <mergeCell ref="B13:D13"/>
  </mergeCells>
  <pageMargins left="0.7" right="0.7" top="0.75" bottom="0.75" header="0.3" footer="0.3"/>
  <pageSetup scale="90" orientation="landscape" r:id="rId1"/>
</worksheet>
</file>

<file path=xl/worksheets/sheet13.xml><?xml version="1.0" encoding="utf-8"?>
<worksheet xmlns="http://schemas.openxmlformats.org/spreadsheetml/2006/main" xmlns:r="http://schemas.openxmlformats.org/officeDocument/2006/relationships">
  <dimension ref="A1:L26"/>
  <sheetViews>
    <sheetView workbookViewId="0">
      <selection activeCell="G27" sqref="G27"/>
    </sheetView>
  </sheetViews>
  <sheetFormatPr defaultRowHeight="15"/>
  <cols>
    <col min="1" max="1" width="10.7109375" style="288" customWidth="1"/>
    <col min="2" max="2" width="27" style="288" customWidth="1"/>
    <col min="3" max="3" width="9.28515625" style="288" customWidth="1"/>
    <col min="4" max="4" width="13.140625" style="288" customWidth="1"/>
    <col min="5" max="5" width="9.140625" style="288" hidden="1" customWidth="1"/>
    <col min="6" max="6" width="10.140625" style="288" customWidth="1"/>
    <col min="7" max="7" width="12.28515625" style="288" customWidth="1"/>
    <col min="8" max="8" width="9.5703125" style="288" customWidth="1"/>
    <col min="9" max="9" width="10.42578125" style="288" customWidth="1"/>
    <col min="10" max="10" width="10.85546875" style="288" customWidth="1"/>
    <col min="11" max="11" width="11" style="288" customWidth="1"/>
    <col min="12" max="12" width="14.42578125" style="288" customWidth="1"/>
    <col min="13" max="16384" width="9.140625" style="288"/>
  </cols>
  <sheetData>
    <row r="1" spans="1:12">
      <c r="A1" s="418" t="s">
        <v>331</v>
      </c>
      <c r="B1" s="418"/>
      <c r="C1" s="418"/>
      <c r="D1" s="418"/>
      <c r="E1" s="418"/>
      <c r="F1" s="418"/>
      <c r="G1" s="418"/>
      <c r="H1" s="418"/>
      <c r="I1" s="418"/>
      <c r="J1" s="418"/>
      <c r="K1" s="418"/>
      <c r="L1" s="291" t="s">
        <v>332</v>
      </c>
    </row>
    <row r="2" spans="1:12" ht="30">
      <c r="A2" s="292" t="s">
        <v>0</v>
      </c>
      <c r="B2" s="293" t="s">
        <v>333</v>
      </c>
      <c r="C2" s="293" t="s">
        <v>334</v>
      </c>
      <c r="D2" s="306" t="str">
        <f>Sheet1!F3</f>
        <v>Vote On Acc 2024-25</v>
      </c>
      <c r="E2" s="293" t="s">
        <v>335</v>
      </c>
      <c r="F2" s="294" t="s">
        <v>336</v>
      </c>
      <c r="G2" s="294" t="s">
        <v>337</v>
      </c>
      <c r="H2" s="294" t="s">
        <v>338</v>
      </c>
      <c r="I2" s="293" t="s">
        <v>339</v>
      </c>
      <c r="J2" s="293" t="s">
        <v>340</v>
      </c>
      <c r="K2" s="295" t="s">
        <v>341</v>
      </c>
      <c r="L2" s="296" t="s">
        <v>342</v>
      </c>
    </row>
    <row r="3" spans="1:12">
      <c r="A3" s="290">
        <v>10</v>
      </c>
      <c r="B3" s="287" t="s">
        <v>75</v>
      </c>
      <c r="C3" s="22">
        <f>Sheet1!C19</f>
        <v>305.26</v>
      </c>
      <c r="D3" s="22">
        <f>Sheet1!F19</f>
        <v>144.32</v>
      </c>
      <c r="E3" s="297">
        <f>(D3-C3)/C3</f>
        <v>-0.52722269540719391</v>
      </c>
      <c r="F3" s="298">
        <f>Sheet1!H19</f>
        <v>40.380000000000003</v>
      </c>
      <c r="G3" s="298">
        <f>Sheet1!I19</f>
        <v>27.42</v>
      </c>
      <c r="H3" s="298">
        <f>Sheet1!J19</f>
        <v>26.27</v>
      </c>
      <c r="I3" s="22">
        <f>H3-G3</f>
        <v>-1.1500000000000021</v>
      </c>
      <c r="J3" s="52">
        <f>I3/G3</f>
        <v>-4.1940189642596722E-2</v>
      </c>
      <c r="K3" s="299">
        <f>(H3-F3)/F3</f>
        <v>-0.34943041109460132</v>
      </c>
      <c r="L3" s="299">
        <f>H3/D3</f>
        <v>0.18202605321507762</v>
      </c>
    </row>
    <row r="4" spans="1:12" hidden="1">
      <c r="A4" s="290">
        <v>11</v>
      </c>
      <c r="B4" s="287" t="s">
        <v>343</v>
      </c>
      <c r="C4" s="22">
        <f>Sheet1!C20</f>
        <v>20.420000000000002</v>
      </c>
      <c r="D4" s="22">
        <f>Sheet1!F20</f>
        <v>9.0299999999999994</v>
      </c>
      <c r="E4" s="297">
        <f t="shared" ref="E4:E9" si="0">(D4-C4)/C4</f>
        <v>-0.55778648383937324</v>
      </c>
      <c r="F4" s="298">
        <f>Sheet1!H20</f>
        <v>3.1</v>
      </c>
      <c r="G4" s="298">
        <f>Sheet1!I20</f>
        <v>1.72</v>
      </c>
      <c r="H4" s="298">
        <f>Sheet1!J20</f>
        <v>1.1399999999999999</v>
      </c>
      <c r="I4" s="22">
        <f t="shared" ref="I4:I9" si="1">H4-G4</f>
        <v>-0.58000000000000007</v>
      </c>
      <c r="J4" s="52">
        <f t="shared" ref="J4:J9" si="2">I4/G4</f>
        <v>-0.33720930232558144</v>
      </c>
      <c r="K4" s="299">
        <f t="shared" ref="K4:K9" si="3">(H4-F4)/F4</f>
        <v>-0.63225806451612909</v>
      </c>
      <c r="L4" s="299">
        <f t="shared" ref="L4:L9" si="4">H4/D4</f>
        <v>0.12624584717607973</v>
      </c>
    </row>
    <row r="5" spans="1:12" hidden="1">
      <c r="A5" s="290">
        <v>12</v>
      </c>
      <c r="B5" s="287" t="s">
        <v>77</v>
      </c>
      <c r="C5" s="22">
        <f>Sheet1!C21</f>
        <v>83.39</v>
      </c>
      <c r="D5" s="22">
        <f>Sheet1!F21</f>
        <v>39.19</v>
      </c>
      <c r="E5" s="297">
        <f t="shared" si="0"/>
        <v>-0.53003957309029859</v>
      </c>
      <c r="F5" s="298">
        <f>Sheet1!H21</f>
        <v>15.11</v>
      </c>
      <c r="G5" s="298">
        <f>Sheet1!I21</f>
        <v>7.45</v>
      </c>
      <c r="H5" s="298">
        <f>Sheet1!J21</f>
        <v>9.67</v>
      </c>
      <c r="I5" s="22">
        <f t="shared" si="1"/>
        <v>2.2199999999999998</v>
      </c>
      <c r="J5" s="52">
        <f t="shared" si="2"/>
        <v>0.29798657718120802</v>
      </c>
      <c r="K5" s="299">
        <f t="shared" si="3"/>
        <v>-0.36002647253474518</v>
      </c>
      <c r="L5" s="299">
        <f t="shared" si="4"/>
        <v>0.24674661903546824</v>
      </c>
    </row>
    <row r="6" spans="1:12">
      <c r="A6" s="290">
        <v>13</v>
      </c>
      <c r="B6" s="287" t="s">
        <v>344</v>
      </c>
      <c r="C6" s="22">
        <f>Sheet1!C22</f>
        <v>143.05000000000001</v>
      </c>
      <c r="D6" s="22">
        <f>Sheet1!F22</f>
        <v>69.760000000000005</v>
      </c>
      <c r="E6" s="297">
        <f t="shared" si="0"/>
        <v>-0.51233834323663052</v>
      </c>
      <c r="F6" s="298">
        <f>Sheet1!H22</f>
        <v>13.04</v>
      </c>
      <c r="G6" s="298">
        <f>Sheet1!I22</f>
        <v>13.25</v>
      </c>
      <c r="H6" s="298">
        <f>Sheet1!J22</f>
        <v>12.13</v>
      </c>
      <c r="I6" s="22">
        <f t="shared" si="1"/>
        <v>-1.1199999999999992</v>
      </c>
      <c r="J6" s="52">
        <f t="shared" si="2"/>
        <v>-8.452830188679239E-2</v>
      </c>
      <c r="K6" s="299">
        <f t="shared" si="3"/>
        <v>-6.9785276073619507E-2</v>
      </c>
      <c r="L6" s="299">
        <f t="shared" si="4"/>
        <v>0.17388188073394495</v>
      </c>
    </row>
    <row r="7" spans="1:12">
      <c r="A7" s="290">
        <v>16</v>
      </c>
      <c r="B7" s="287" t="s">
        <v>81</v>
      </c>
      <c r="C7" s="22">
        <f>Sheet1!C23</f>
        <v>125.95</v>
      </c>
      <c r="D7" s="22">
        <f>Sheet1!F23</f>
        <v>60.4</v>
      </c>
      <c r="E7" s="297">
        <f t="shared" si="0"/>
        <v>-0.52044462088130217</v>
      </c>
      <c r="F7" s="298">
        <f>Sheet1!H23</f>
        <v>21.44</v>
      </c>
      <c r="G7" s="298">
        <f>Sheet1!I23</f>
        <v>11.48</v>
      </c>
      <c r="H7" s="298">
        <f>Sheet1!J23</f>
        <v>15.45</v>
      </c>
      <c r="I7" s="22">
        <f t="shared" si="1"/>
        <v>3.9699999999999989</v>
      </c>
      <c r="J7" s="52">
        <f t="shared" si="2"/>
        <v>0.34581881533101033</v>
      </c>
      <c r="K7" s="299">
        <f t="shared" si="3"/>
        <v>-0.27938432835820903</v>
      </c>
      <c r="L7" s="299">
        <f t="shared" si="4"/>
        <v>0.25579470198675497</v>
      </c>
    </row>
    <row r="8" spans="1:12">
      <c r="A8" s="300">
        <v>25</v>
      </c>
      <c r="B8" s="301" t="s">
        <v>84</v>
      </c>
      <c r="C8" s="22">
        <f>Sheet1!C24</f>
        <v>99.96</v>
      </c>
      <c r="D8" s="22">
        <f>Sheet1!F24</f>
        <v>98.99</v>
      </c>
      <c r="E8" s="297">
        <f t="shared" si="0"/>
        <v>-9.7038815526210385E-3</v>
      </c>
      <c r="F8" s="298">
        <f>Sheet1!H24</f>
        <v>23.33</v>
      </c>
      <c r="G8" s="298">
        <f>Sheet1!I24</f>
        <v>49.5</v>
      </c>
      <c r="H8" s="298">
        <f>Sheet1!J24</f>
        <v>4.3600000000000003</v>
      </c>
      <c r="I8" s="22">
        <f t="shared" si="1"/>
        <v>-45.14</v>
      </c>
      <c r="J8" s="52">
        <f t="shared" si="2"/>
        <v>-0.91191919191919191</v>
      </c>
      <c r="K8" s="299">
        <f t="shared" si="3"/>
        <v>-0.81311615945135018</v>
      </c>
      <c r="L8" s="299">
        <f t="shared" si="4"/>
        <v>4.404485301545611E-2</v>
      </c>
    </row>
    <row r="9" spans="1:12" hidden="1">
      <c r="A9" s="300">
        <v>26</v>
      </c>
      <c r="B9" s="301" t="s">
        <v>345</v>
      </c>
      <c r="C9" s="22">
        <f>Sheet1!C25</f>
        <v>176.68</v>
      </c>
      <c r="D9" s="22">
        <f>Sheet1!F25</f>
        <v>83.93</v>
      </c>
      <c r="E9" s="297">
        <f t="shared" si="0"/>
        <v>-0.52496038034865289</v>
      </c>
      <c r="F9" s="298">
        <f>Sheet1!H25</f>
        <v>29.85</v>
      </c>
      <c r="G9" s="298">
        <f>Sheet1!I25</f>
        <v>15.95</v>
      </c>
      <c r="H9" s="298">
        <f>Sheet1!J25</f>
        <v>53.04</v>
      </c>
      <c r="I9" s="22">
        <f t="shared" si="1"/>
        <v>37.090000000000003</v>
      </c>
      <c r="J9" s="52">
        <f t="shared" si="2"/>
        <v>2.325391849529781</v>
      </c>
      <c r="K9" s="299">
        <f t="shared" si="3"/>
        <v>0.77688442211055264</v>
      </c>
      <c r="L9" s="299">
        <f t="shared" si="4"/>
        <v>0.63195520076254019</v>
      </c>
    </row>
    <row r="11" spans="1:12">
      <c r="A11" s="418" t="s">
        <v>346</v>
      </c>
      <c r="B11" s="418"/>
      <c r="C11" s="418"/>
      <c r="D11" s="418"/>
      <c r="E11" s="418"/>
      <c r="F11" s="418"/>
      <c r="G11" s="418"/>
      <c r="H11" s="418"/>
      <c r="I11" s="418"/>
      <c r="J11" s="418"/>
      <c r="K11" s="418"/>
      <c r="L11" s="291" t="s">
        <v>332</v>
      </c>
    </row>
    <row r="12" spans="1:12" ht="30">
      <c r="A12" s="292" t="s">
        <v>0</v>
      </c>
      <c r="B12" s="293" t="s">
        <v>333</v>
      </c>
      <c r="C12" s="293" t="s">
        <v>334</v>
      </c>
      <c r="D12" s="306" t="str">
        <f>D2</f>
        <v>Vote On Acc 2024-25</v>
      </c>
      <c r="E12" s="293" t="s">
        <v>335</v>
      </c>
      <c r="F12" s="294" t="s">
        <v>336</v>
      </c>
      <c r="G12" s="294" t="s">
        <v>337</v>
      </c>
      <c r="H12" s="294" t="s">
        <v>338</v>
      </c>
      <c r="I12" s="293" t="s">
        <v>339</v>
      </c>
      <c r="J12" s="293" t="s">
        <v>340</v>
      </c>
      <c r="K12" s="295" t="s">
        <v>341</v>
      </c>
      <c r="L12" s="296" t="s">
        <v>342</v>
      </c>
    </row>
    <row r="13" spans="1:12">
      <c r="A13" s="290"/>
      <c r="B13" s="25" t="s">
        <v>347</v>
      </c>
      <c r="C13" s="310">
        <f>Sheet1!C42</f>
        <v>224</v>
      </c>
      <c r="D13" s="310">
        <f>Sheet1!F42</f>
        <v>68.669999999999987</v>
      </c>
      <c r="E13" s="310">
        <f>Sheet1!G42</f>
        <v>1.330777847112675E-2</v>
      </c>
      <c r="F13" s="311">
        <f>Sheet1!H42</f>
        <v>21.669999999999998</v>
      </c>
      <c r="G13" s="311">
        <f>Sheet1!I42</f>
        <v>16.48</v>
      </c>
      <c r="H13" s="311">
        <f>Sheet1!J42</f>
        <v>9.8099999999999987</v>
      </c>
      <c r="I13" s="310">
        <f>H13-G13</f>
        <v>-6.6700000000000017</v>
      </c>
      <c r="J13" s="312">
        <f>I13/G13</f>
        <v>-0.40473300970873793</v>
      </c>
      <c r="K13" s="313">
        <f>(H13-F13)/F13</f>
        <v>-0.54730041532071994</v>
      </c>
      <c r="L13" s="314">
        <f>H13/D13</f>
        <v>0.14285714285714288</v>
      </c>
    </row>
    <row r="14" spans="1:12">
      <c r="A14" s="290">
        <v>30</v>
      </c>
      <c r="B14" s="25" t="s">
        <v>348</v>
      </c>
      <c r="C14" s="310">
        <f>Sheet1!C49</f>
        <v>1571.23</v>
      </c>
      <c r="D14" s="310">
        <f>Sheet1!F49</f>
        <v>805.56000000000006</v>
      </c>
      <c r="E14" s="310">
        <f>Sheet1!G49</f>
        <v>0.15611204347168875</v>
      </c>
      <c r="F14" s="311">
        <f>Sheet1!H49</f>
        <v>91.17</v>
      </c>
      <c r="G14" s="311">
        <f>Sheet1!I49</f>
        <v>193.32999999999998</v>
      </c>
      <c r="H14" s="311">
        <f>Sheet1!J49</f>
        <v>142.22999999999999</v>
      </c>
      <c r="I14" s="310">
        <f>H14-G14</f>
        <v>-51.099999999999994</v>
      </c>
      <c r="J14" s="312">
        <f>I14/G14</f>
        <v>-0.26431490198106861</v>
      </c>
      <c r="K14" s="313">
        <f>(H14-F14)/F14</f>
        <v>0.5600526488976636</v>
      </c>
      <c r="L14" s="314">
        <f>H14/D14</f>
        <v>0.17656040518397137</v>
      </c>
    </row>
    <row r="15" spans="1:12">
      <c r="A15" s="290">
        <v>21</v>
      </c>
      <c r="B15" s="25" t="s">
        <v>349</v>
      </c>
      <c r="C15" s="310">
        <f>Sheet1!C35</f>
        <v>19.2</v>
      </c>
      <c r="D15" s="310">
        <f>Sheet1!F35</f>
        <v>8.61</v>
      </c>
      <c r="E15" s="310">
        <f>Sheet1!G35</f>
        <v>1.6685593801718556E-3</v>
      </c>
      <c r="F15" s="311">
        <f>Sheet1!H35</f>
        <v>2.17</v>
      </c>
      <c r="G15" s="311">
        <f>Sheet1!I35</f>
        <v>2.0699999999999998</v>
      </c>
      <c r="H15" s="311">
        <f>Sheet1!J35</f>
        <v>5.53</v>
      </c>
      <c r="I15" s="310">
        <f>H15-G15</f>
        <v>3.4600000000000004</v>
      </c>
      <c r="J15" s="312">
        <f>I15/G15</f>
        <v>1.6714975845410631</v>
      </c>
      <c r="K15" s="315">
        <f>(H15-F15)/F15</f>
        <v>1.5483870967741937</v>
      </c>
      <c r="L15" s="315">
        <f>H15/D15</f>
        <v>0.64227642276422769</v>
      </c>
    </row>
    <row r="16" spans="1:12" ht="30" hidden="1">
      <c r="A16" s="290">
        <v>27</v>
      </c>
      <c r="B16" s="289" t="s">
        <v>350</v>
      </c>
      <c r="C16" s="310">
        <f>Sheet1!C53</f>
        <v>189.35</v>
      </c>
      <c r="D16" s="310">
        <f>Sheet1!F53</f>
        <v>85.66</v>
      </c>
      <c r="E16" s="310">
        <f>Sheet1!G53</f>
        <v>1.6600324797389217E-2</v>
      </c>
      <c r="F16" s="311">
        <f>Sheet1!H53</f>
        <v>14.48</v>
      </c>
      <c r="G16" s="311">
        <f>Sheet1!I53</f>
        <v>20.56</v>
      </c>
      <c r="H16" s="311">
        <f>Sheet1!J53</f>
        <v>20.54</v>
      </c>
      <c r="I16" s="310">
        <f t="shared" ref="I16:I22" si="5">H16-G16</f>
        <v>-1.9999999999999574E-2</v>
      </c>
      <c r="J16" s="312">
        <f t="shared" ref="J16:J22" si="6">I16/G16</f>
        <v>-9.7276264591437619E-4</v>
      </c>
      <c r="K16" s="315">
        <f t="shared" ref="K16:K22" si="7">(H16-F16)/F16</f>
        <v>0.41850828729281758</v>
      </c>
      <c r="L16" s="315">
        <f t="shared" ref="L16:L22" si="8">H16/D16</f>
        <v>0.23978519729161801</v>
      </c>
    </row>
    <row r="17" spans="1:12">
      <c r="A17" s="290">
        <v>28</v>
      </c>
      <c r="B17" s="25" t="s">
        <v>351</v>
      </c>
      <c r="C17" s="310">
        <f>Sheet1!C54</f>
        <v>140.87</v>
      </c>
      <c r="D17" s="310">
        <f>Sheet1!F54</f>
        <v>60.32</v>
      </c>
      <c r="E17" s="310">
        <f>Sheet1!G54</f>
        <v>1.1689605320785869E-2</v>
      </c>
      <c r="F17" s="311">
        <f>Sheet1!H54</f>
        <v>22</v>
      </c>
      <c r="G17" s="311">
        <f>Sheet1!I54</f>
        <v>14.48</v>
      </c>
      <c r="H17" s="311">
        <f>Sheet1!J54</f>
        <v>17.96</v>
      </c>
      <c r="I17" s="310">
        <f t="shared" si="5"/>
        <v>3.4800000000000004</v>
      </c>
      <c r="J17" s="312">
        <f t="shared" si="6"/>
        <v>0.24033149171270721</v>
      </c>
      <c r="K17" s="315">
        <f t="shared" si="7"/>
        <v>-0.1836363636363636</v>
      </c>
      <c r="L17" s="315">
        <f t="shared" si="8"/>
        <v>0.29774535809018571</v>
      </c>
    </row>
    <row r="18" spans="1:12">
      <c r="A18" s="290">
        <v>32</v>
      </c>
      <c r="B18" s="25" t="s">
        <v>352</v>
      </c>
      <c r="C18" s="310">
        <f>Sheet1!C57</f>
        <v>424.1</v>
      </c>
      <c r="D18" s="310">
        <f>Sheet1!F57</f>
        <v>203.9</v>
      </c>
      <c r="E18" s="310">
        <f>Sheet1!G57</f>
        <v>3.9514431778982742E-2</v>
      </c>
      <c r="F18" s="311">
        <f>Sheet1!H57</f>
        <v>44.6</v>
      </c>
      <c r="G18" s="311">
        <f>Sheet1!I57</f>
        <v>48.94</v>
      </c>
      <c r="H18" s="311">
        <f>Sheet1!J57</f>
        <v>68.28</v>
      </c>
      <c r="I18" s="310">
        <f t="shared" si="5"/>
        <v>19.340000000000003</v>
      </c>
      <c r="J18" s="312">
        <f t="shared" si="6"/>
        <v>0.39517776869636301</v>
      </c>
      <c r="K18" s="315">
        <f t="shared" si="7"/>
        <v>0.53094170403587437</v>
      </c>
      <c r="L18" s="315">
        <f t="shared" si="8"/>
        <v>0.33487003433055418</v>
      </c>
    </row>
    <row r="19" spans="1:12">
      <c r="A19" s="290"/>
      <c r="B19" s="25" t="s">
        <v>353</v>
      </c>
      <c r="C19" s="310">
        <f>Sheet1!C69</f>
        <v>-464.33</v>
      </c>
      <c r="D19" s="310">
        <f>Sheet1!F69</f>
        <v>423.58</v>
      </c>
      <c r="E19" s="310">
        <f>Sheet1!G69</f>
        <v>8.2086920122322257E-2</v>
      </c>
      <c r="F19" s="311">
        <f>Sheet1!H69</f>
        <v>367.86</v>
      </c>
      <c r="G19" s="311">
        <f>Sheet1!I69</f>
        <v>253</v>
      </c>
      <c r="H19" s="311">
        <f>Sheet1!J69</f>
        <v>-516.5</v>
      </c>
      <c r="I19" s="310">
        <f t="shared" si="5"/>
        <v>-769.5</v>
      </c>
      <c r="J19" s="312">
        <f t="shared" si="6"/>
        <v>-3.041501976284585</v>
      </c>
      <c r="K19" s="313">
        <f t="shared" si="7"/>
        <v>-2.404066764529984</v>
      </c>
      <c r="L19" s="314">
        <f t="shared" si="8"/>
        <v>-1.219368242126635</v>
      </c>
    </row>
    <row r="20" spans="1:12" hidden="1">
      <c r="A20" s="290">
        <v>35</v>
      </c>
      <c r="B20" s="25" t="s">
        <v>354</v>
      </c>
      <c r="C20" s="316">
        <f>Sheet1!C99</f>
        <v>76.897400000000005</v>
      </c>
      <c r="D20" s="310">
        <f>Sheet1!F99</f>
        <v>37.784399999999998</v>
      </c>
      <c r="E20" s="310">
        <f>Sheet1!G99</f>
        <v>7.3223594708670689E-3</v>
      </c>
      <c r="F20" s="311">
        <f>Sheet1!H99</f>
        <v>3.9575</v>
      </c>
      <c r="G20" s="317">
        <v>44.5</v>
      </c>
      <c r="H20" s="318">
        <f>Sheet1!I99</f>
        <v>3.6574</v>
      </c>
      <c r="I20" s="310">
        <f t="shared" ref="I20:I21" si="9">H20-G20</f>
        <v>-40.842599999999997</v>
      </c>
      <c r="J20" s="312">
        <f t="shared" ref="J20:J21" si="10">I20/G20</f>
        <v>-0.91781123595505609</v>
      </c>
      <c r="K20" s="313">
        <f t="shared" ref="K20:K21" si="11">(H20-F20)/F20</f>
        <v>-7.583070120025269E-2</v>
      </c>
      <c r="L20" s="314">
        <f t="shared" ref="L20:L21" si="12">H20/D20</f>
        <v>9.6796561543917595E-2</v>
      </c>
    </row>
    <row r="21" spans="1:12">
      <c r="A21" s="290">
        <v>34</v>
      </c>
      <c r="B21" s="25" t="s">
        <v>359</v>
      </c>
      <c r="C21" s="316">
        <f>Sheet1!C95</f>
        <v>69.811400000000006</v>
      </c>
      <c r="D21" s="310">
        <f>Sheet1!F95</f>
        <v>36.563100000000006</v>
      </c>
      <c r="E21" s="316">
        <f>Sheet1!E95</f>
        <v>0</v>
      </c>
      <c r="F21" s="311">
        <f>Sheet1!H95</f>
        <v>1.0499000000000001</v>
      </c>
      <c r="G21" s="319">
        <v>67.84</v>
      </c>
      <c r="H21" s="311">
        <f>Sheet1!I95</f>
        <v>2.1972999999999998</v>
      </c>
      <c r="I21" s="310">
        <f t="shared" si="9"/>
        <v>-65.642700000000005</v>
      </c>
      <c r="J21" s="320">
        <f t="shared" si="10"/>
        <v>-0.96761055424528308</v>
      </c>
      <c r="K21" s="314">
        <f t="shared" si="11"/>
        <v>1.0928659872368793</v>
      </c>
      <c r="L21" s="314">
        <f t="shared" si="12"/>
        <v>6.0096107824555343E-2</v>
      </c>
    </row>
    <row r="22" spans="1:12">
      <c r="A22" s="290">
        <v>64</v>
      </c>
      <c r="B22" s="25" t="s">
        <v>355</v>
      </c>
      <c r="C22" s="310">
        <f>Sheet1!C105</f>
        <v>157.8278</v>
      </c>
      <c r="D22" s="310">
        <f>Sheet1!F105</f>
        <v>84.552599999999998</v>
      </c>
      <c r="E22" s="310">
        <f>Sheet1!G105</f>
        <v>1.6385718216947599E-2</v>
      </c>
      <c r="F22" s="311">
        <f>Sheet1!H105</f>
        <v>14.794600000000001</v>
      </c>
      <c r="G22" s="318">
        <v>147.91999999999999</v>
      </c>
      <c r="H22" s="318">
        <f>Sheet1!I105</f>
        <v>17.009899999999998</v>
      </c>
      <c r="I22" s="310">
        <f t="shared" si="5"/>
        <v>-130.9101</v>
      </c>
      <c r="J22" s="312">
        <f t="shared" si="6"/>
        <v>-0.88500608436992978</v>
      </c>
      <c r="K22" s="313">
        <f t="shared" si="7"/>
        <v>0.14973706622686636</v>
      </c>
      <c r="L22" s="314">
        <f t="shared" si="8"/>
        <v>0.20117536302845801</v>
      </c>
    </row>
    <row r="23" spans="1:12">
      <c r="A23" s="290">
        <v>99</v>
      </c>
      <c r="B23" s="25" t="s">
        <v>324</v>
      </c>
      <c r="C23" s="310">
        <f>Sheet1!C84</f>
        <v>234.57999999999902</v>
      </c>
      <c r="D23" s="310">
        <f>Sheet1!F84</f>
        <v>132.51999999999998</v>
      </c>
      <c r="E23" s="310">
        <f>Sheet1!G84</f>
        <v>2.5681473758463913E-2</v>
      </c>
      <c r="F23" s="311">
        <f>Sheet1!H84</f>
        <v>34.32000000000005</v>
      </c>
      <c r="G23" s="311">
        <f>Sheet1!I84</f>
        <v>31.810000000000002</v>
      </c>
      <c r="H23" s="311">
        <f>Sheet1!J84</f>
        <v>28.829999999999927</v>
      </c>
      <c r="I23" s="310">
        <f>H23-G23</f>
        <v>-2.980000000000075</v>
      </c>
      <c r="J23" s="312">
        <f>I23/G23</f>
        <v>-9.3681232316883842E-2</v>
      </c>
      <c r="K23" s="314">
        <f>(H23-F23)/F23</f>
        <v>-0.15996503496503831</v>
      </c>
      <c r="L23" s="314">
        <f>H23/D23</f>
        <v>0.21755206761243534</v>
      </c>
    </row>
    <row r="24" spans="1:12" ht="30">
      <c r="A24" s="302" t="s">
        <v>217</v>
      </c>
      <c r="B24" s="303" t="s">
        <v>356</v>
      </c>
      <c r="C24" s="321">
        <f>Sheet1!C115</f>
        <v>53.85</v>
      </c>
      <c r="D24" s="321">
        <f>Sheet1!F115</f>
        <v>24.08</v>
      </c>
      <c r="E24" s="322"/>
      <c r="F24" s="323">
        <f>Sheet1!H115</f>
        <v>4.83</v>
      </c>
      <c r="G24" s="327">
        <v>32.619999999999997</v>
      </c>
      <c r="H24" s="324">
        <f>Sheet1!I115</f>
        <v>12.66</v>
      </c>
      <c r="I24" s="321">
        <f>H24-G24</f>
        <v>-19.959999999999997</v>
      </c>
      <c r="J24" s="325">
        <f>I24/G24</f>
        <v>-0.61189454322501524</v>
      </c>
      <c r="K24" s="308">
        <f>(H24-F24)/F24</f>
        <v>1.6211180124223603</v>
      </c>
      <c r="L24" s="308">
        <f>H24/D24</f>
        <v>0.52574750830564787</v>
      </c>
    </row>
    <row r="25" spans="1:12">
      <c r="A25" s="302" t="s">
        <v>218</v>
      </c>
      <c r="B25" s="304" t="s">
        <v>357</v>
      </c>
      <c r="C25" s="321">
        <f>Sheet1!C116</f>
        <v>44.64</v>
      </c>
      <c r="D25" s="321">
        <f>Sheet1!F116</f>
        <v>22.06</v>
      </c>
      <c r="E25" s="322"/>
      <c r="F25" s="323">
        <f>Sheet1!H116</f>
        <v>3.99</v>
      </c>
      <c r="G25" s="307">
        <v>32.56</v>
      </c>
      <c r="H25" s="323">
        <f>Sheet1!I116</f>
        <v>8.08</v>
      </c>
      <c r="I25" s="321">
        <f t="shared" ref="I25:I26" si="13">H25-G25</f>
        <v>-24.480000000000004</v>
      </c>
      <c r="J25" s="325">
        <f t="shared" ref="J25:J26" si="14">I25/G25</f>
        <v>-0.75184275184275196</v>
      </c>
      <c r="K25" s="308">
        <f t="shared" ref="K25:K26" si="15">(H25-F25)/F25</f>
        <v>1.0250626566416039</v>
      </c>
      <c r="L25" s="308">
        <f t="shared" ref="L25:L26" si="16">H25/D25</f>
        <v>0.3662737987307344</v>
      </c>
    </row>
    <row r="26" spans="1:12">
      <c r="A26" s="302" t="s">
        <v>219</v>
      </c>
      <c r="B26" s="305" t="s">
        <v>358</v>
      </c>
      <c r="C26" s="321">
        <f>Sheet1!C117</f>
        <v>36.159999999999997</v>
      </c>
      <c r="D26" s="321">
        <f>Sheet1!F117</f>
        <v>21.24</v>
      </c>
      <c r="E26" s="322"/>
      <c r="F26" s="323">
        <f>Sheet1!H117</f>
        <v>3.71</v>
      </c>
      <c r="G26" s="307">
        <v>36.07</v>
      </c>
      <c r="H26" s="323">
        <f>Sheet1!I117</f>
        <v>3.84</v>
      </c>
      <c r="I26" s="321">
        <f t="shared" si="13"/>
        <v>-32.230000000000004</v>
      </c>
      <c r="J26" s="325">
        <f t="shared" si="14"/>
        <v>-0.89354033823121715</v>
      </c>
      <c r="K26" s="326">
        <f t="shared" si="15"/>
        <v>3.5040431266846334E-2</v>
      </c>
      <c r="L26" s="309">
        <f t="shared" si="16"/>
        <v>0.1807909604519774</v>
      </c>
    </row>
  </sheetData>
  <mergeCells count="2">
    <mergeCell ref="A1:K1"/>
    <mergeCell ref="A11:K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X47"/>
  <sheetViews>
    <sheetView topLeftCell="A37" workbookViewId="0">
      <selection activeCell="D43" sqref="D43"/>
    </sheetView>
  </sheetViews>
  <sheetFormatPr defaultRowHeight="15"/>
  <cols>
    <col min="2" max="2" width="19.42578125" customWidth="1"/>
    <col min="3" max="3" width="16" customWidth="1"/>
    <col min="4" max="4" width="21.140625" customWidth="1"/>
    <col min="5" max="5" width="21.5703125" customWidth="1"/>
    <col min="6" max="6" width="20.42578125" customWidth="1"/>
    <col min="7" max="7" width="19.28515625" customWidth="1"/>
    <col min="8" max="8" width="26.140625" customWidth="1"/>
    <col min="9" max="9" width="28.85546875" customWidth="1"/>
    <col min="10" max="10" width="30" customWidth="1"/>
    <col min="11" max="11" width="33" customWidth="1"/>
    <col min="12" max="12" width="16.7109375" customWidth="1"/>
  </cols>
  <sheetData>
    <row r="1" spans="2:24" ht="34.5">
      <c r="B1" s="455" t="s">
        <v>360</v>
      </c>
      <c r="C1" s="455"/>
      <c r="D1" s="455"/>
      <c r="E1" s="455"/>
      <c r="F1" s="455"/>
      <c r="G1" s="455"/>
      <c r="H1" s="455"/>
      <c r="I1" s="455"/>
      <c r="J1" s="455"/>
      <c r="K1" s="455"/>
      <c r="L1" s="334"/>
      <c r="M1" s="334"/>
      <c r="N1" s="334"/>
      <c r="O1" s="334"/>
      <c r="P1" s="334"/>
      <c r="Q1" s="334"/>
      <c r="R1" s="334"/>
      <c r="S1" s="334"/>
      <c r="T1" s="334"/>
      <c r="U1" s="334"/>
      <c r="V1" s="334" t="s">
        <v>360</v>
      </c>
      <c r="W1" s="334"/>
      <c r="X1" s="334"/>
    </row>
    <row r="2" spans="2:24" ht="15.75" thickBot="1"/>
    <row r="3" spans="2:24" ht="23.25" thickBot="1">
      <c r="B3" s="456" t="s">
        <v>361</v>
      </c>
      <c r="C3" s="328" t="s">
        <v>362</v>
      </c>
      <c r="D3" s="458" t="s">
        <v>363</v>
      </c>
      <c r="E3" s="459"/>
      <c r="F3" s="459"/>
      <c r="G3" s="459"/>
      <c r="H3" s="460"/>
      <c r="I3" s="461" t="s">
        <v>364</v>
      </c>
      <c r="J3" s="462"/>
      <c r="K3" s="329"/>
    </row>
    <row r="4" spans="2:24" ht="67.5" customHeight="1" thickBot="1">
      <c r="B4" s="457"/>
      <c r="C4" s="330" t="s">
        <v>365</v>
      </c>
      <c r="D4" s="330" t="s">
        <v>366</v>
      </c>
      <c r="E4" s="330" t="s">
        <v>367</v>
      </c>
      <c r="F4" s="330" t="s">
        <v>368</v>
      </c>
      <c r="G4" s="330" t="s">
        <v>415</v>
      </c>
      <c r="H4" s="330" t="s">
        <v>416</v>
      </c>
      <c r="I4" s="330" t="s">
        <v>369</v>
      </c>
      <c r="J4" s="330" t="s">
        <v>370</v>
      </c>
      <c r="K4" s="330" t="s">
        <v>381</v>
      </c>
    </row>
    <row r="5" spans="2:24" ht="23.25" thickBot="1">
      <c r="B5" s="329"/>
      <c r="C5" s="329" t="s">
        <v>371</v>
      </c>
      <c r="D5" s="329" t="s">
        <v>372</v>
      </c>
      <c r="E5" s="329" t="s">
        <v>373</v>
      </c>
      <c r="F5" s="329" t="s">
        <v>374</v>
      </c>
      <c r="G5" s="329" t="s">
        <v>375</v>
      </c>
      <c r="H5" s="329" t="s">
        <v>376</v>
      </c>
      <c r="I5" s="329" t="s">
        <v>377</v>
      </c>
      <c r="J5" s="329" t="s">
        <v>378</v>
      </c>
      <c r="K5" s="329" t="s">
        <v>379</v>
      </c>
    </row>
    <row r="6" spans="2:24" ht="23.25" thickBot="1">
      <c r="B6" s="329" t="s">
        <v>146</v>
      </c>
      <c r="C6" s="332">
        <f>Sheet1!F5</f>
        <v>3258.73</v>
      </c>
      <c r="D6" s="331">
        <v>4575.6400000000003</v>
      </c>
      <c r="E6" s="331">
        <v>5075</v>
      </c>
      <c r="F6" s="333">
        <f>Sheet1!C5</f>
        <v>6210.09</v>
      </c>
      <c r="G6" s="333">
        <f>Sheet1!H5</f>
        <v>604.54</v>
      </c>
      <c r="H6" s="333">
        <f>Sheet1!J5</f>
        <v>635.62</v>
      </c>
      <c r="I6" s="333">
        <f>H6-G6</f>
        <v>31.080000000000041</v>
      </c>
      <c r="J6" s="333">
        <f>I6/G6*100</f>
        <v>5.1410990174347502</v>
      </c>
      <c r="K6" s="333">
        <f>H6/C6*100</f>
        <v>19.505144642237926</v>
      </c>
    </row>
    <row r="7" spans="2:24" ht="49.5" customHeight="1" thickBot="1">
      <c r="B7" s="329" t="s">
        <v>142</v>
      </c>
      <c r="C7" s="332">
        <f>Sheet1!F6</f>
        <v>1901.4100000000003</v>
      </c>
      <c r="D7" s="331">
        <v>3242.37</v>
      </c>
      <c r="E7" s="331">
        <v>4188.91</v>
      </c>
      <c r="F7" s="333">
        <f>Sheet1!C6</f>
        <v>2765.5399999999991</v>
      </c>
      <c r="G7" s="333">
        <f>Sheet1!H6</f>
        <v>631.19000000000005</v>
      </c>
      <c r="H7" s="333">
        <f>Sheet1!J6</f>
        <v>-189.06</v>
      </c>
      <c r="I7" s="333">
        <f t="shared" ref="I7:I8" si="0">H7-G7</f>
        <v>-820.25</v>
      </c>
      <c r="J7" s="333">
        <f t="shared" ref="J7:J8" si="1">I7/G7*100</f>
        <v>-129.95294602259224</v>
      </c>
      <c r="K7" s="333">
        <f t="shared" ref="K7:K8" si="2">H7/C7*100</f>
        <v>-9.9431474537317026</v>
      </c>
    </row>
    <row r="8" spans="2:24" ht="23.25" thickBot="1">
      <c r="B8" s="329" t="s">
        <v>380</v>
      </c>
      <c r="C8" s="332">
        <f>SUM(C6:C7)</f>
        <v>5160.1400000000003</v>
      </c>
      <c r="D8" s="332">
        <f>SUM(D6:D7)</f>
        <v>7818.01</v>
      </c>
      <c r="E8" s="332">
        <f t="shared" ref="E8:H8" si="3">SUM(E6:E7)</f>
        <v>9263.91</v>
      </c>
      <c r="F8" s="332">
        <f t="shared" si="3"/>
        <v>8975.6299999999992</v>
      </c>
      <c r="G8" s="332">
        <f t="shared" si="3"/>
        <v>1235.73</v>
      </c>
      <c r="H8" s="332">
        <f t="shared" si="3"/>
        <v>446.56</v>
      </c>
      <c r="I8" s="333">
        <f t="shared" si="0"/>
        <v>-789.17000000000007</v>
      </c>
      <c r="J8" s="333">
        <f t="shared" si="1"/>
        <v>-63.862656081830181</v>
      </c>
      <c r="K8" s="333">
        <f t="shared" si="2"/>
        <v>8.6540287666613693</v>
      </c>
    </row>
    <row r="10" spans="2:24" ht="35.25">
      <c r="B10" s="455" t="s">
        <v>382</v>
      </c>
      <c r="C10" s="455"/>
      <c r="D10" s="455"/>
      <c r="E10" s="455"/>
      <c r="F10" s="455"/>
      <c r="G10" s="455"/>
      <c r="H10" s="455"/>
      <c r="I10" s="455"/>
      <c r="J10" s="455"/>
      <c r="K10" s="455"/>
    </row>
    <row r="11" spans="2:24" ht="15.75" thickBot="1"/>
    <row r="12" spans="2:24" ht="55.5" customHeight="1" thickBot="1">
      <c r="B12" s="335" t="s">
        <v>404</v>
      </c>
      <c r="C12" s="336" t="s">
        <v>383</v>
      </c>
      <c r="D12" s="344" t="str">
        <f>Sheet1!F11</f>
        <v>Vote On Acc 2024-25</v>
      </c>
      <c r="E12" s="336" t="s">
        <v>384</v>
      </c>
      <c r="F12" s="336" t="s">
        <v>385</v>
      </c>
      <c r="G12" s="336" t="s">
        <v>386</v>
      </c>
      <c r="H12" s="336" t="s">
        <v>415</v>
      </c>
      <c r="I12" s="336" t="s">
        <v>417</v>
      </c>
      <c r="J12" s="336" t="s">
        <v>387</v>
      </c>
      <c r="K12" s="336" t="s">
        <v>388</v>
      </c>
      <c r="L12" s="336" t="s">
        <v>389</v>
      </c>
    </row>
    <row r="13" spans="2:24" ht="38.25" thickBot="1">
      <c r="B13" s="337"/>
      <c r="C13" s="338"/>
      <c r="D13" s="339" t="s">
        <v>371</v>
      </c>
      <c r="E13" s="339" t="s">
        <v>372</v>
      </c>
      <c r="F13" s="339" t="s">
        <v>373</v>
      </c>
      <c r="G13" s="339" t="s">
        <v>374</v>
      </c>
      <c r="H13" s="339" t="s">
        <v>375</v>
      </c>
      <c r="I13" s="339" t="s">
        <v>376</v>
      </c>
      <c r="J13" s="339" t="s">
        <v>377</v>
      </c>
      <c r="K13" s="339" t="s">
        <v>378</v>
      </c>
      <c r="L13" s="339" t="s">
        <v>379</v>
      </c>
    </row>
    <row r="14" spans="2:24" ht="21" thickBot="1">
      <c r="B14" s="340" t="s">
        <v>390</v>
      </c>
      <c r="C14" s="341">
        <v>1</v>
      </c>
      <c r="D14" s="345">
        <f>Sheet1!F13</f>
        <v>1262.4100000000001</v>
      </c>
      <c r="E14" s="345">
        <f>Sheet1!C13</f>
        <v>2711.56</v>
      </c>
      <c r="F14" s="342">
        <v>2573.1999999999998</v>
      </c>
      <c r="G14" s="342">
        <v>2522.8000000000002</v>
      </c>
      <c r="H14" s="342">
        <v>2190.61</v>
      </c>
      <c r="I14" s="342">
        <v>2269.08</v>
      </c>
      <c r="J14" s="342">
        <f>I14-H14</f>
        <v>78.4699999999998</v>
      </c>
      <c r="K14" s="345">
        <f>J14/H14*100</f>
        <v>3.5821072669256417</v>
      </c>
      <c r="L14" s="345">
        <f>I14/D14*100</f>
        <v>179.74192219643379</v>
      </c>
    </row>
    <row r="15" spans="2:24" ht="21" thickBot="1">
      <c r="B15" s="340" t="s">
        <v>391</v>
      </c>
      <c r="C15" s="341">
        <v>2</v>
      </c>
      <c r="D15" s="345">
        <f>Sheet1!F14</f>
        <v>790.99</v>
      </c>
      <c r="E15" s="345">
        <f>Sheet1!C14</f>
        <v>1294.5899999999999</v>
      </c>
      <c r="F15" s="342">
        <v>735.31</v>
      </c>
      <c r="G15" s="342">
        <v>441.91</v>
      </c>
      <c r="H15" s="342">
        <v>851.96</v>
      </c>
      <c r="I15" s="342">
        <v>1081.42</v>
      </c>
      <c r="J15" s="342">
        <f>I15-H15</f>
        <v>229.46000000000004</v>
      </c>
      <c r="K15" s="345">
        <f t="shared" ref="K15:K30" si="4">J15/H15*100</f>
        <v>26.933189351612757</v>
      </c>
      <c r="L15" s="345">
        <f t="shared" ref="L15:L30" si="5">I15/D15*100</f>
        <v>136.71727834738746</v>
      </c>
    </row>
    <row r="16" spans="2:24" ht="21" thickBot="1">
      <c r="B16" s="340" t="s">
        <v>392</v>
      </c>
      <c r="C16" s="341">
        <v>3</v>
      </c>
      <c r="D16" s="345">
        <f>Sheet1!F15</f>
        <v>0</v>
      </c>
      <c r="E16" s="345">
        <f>Sheet1!C15</f>
        <v>101.4</v>
      </c>
      <c r="F16" s="342">
        <v>98.44</v>
      </c>
      <c r="G16" s="342">
        <v>98.16</v>
      </c>
      <c r="H16" s="342">
        <v>101.76</v>
      </c>
      <c r="I16" s="342">
        <v>101.01</v>
      </c>
      <c r="J16" s="342">
        <f t="shared" ref="J16:J30" si="6">I16-H16</f>
        <v>-0.75</v>
      </c>
      <c r="K16" s="345">
        <f t="shared" si="4"/>
        <v>-0.73702830188679236</v>
      </c>
      <c r="L16" s="345" t="e">
        <f t="shared" si="5"/>
        <v>#DIV/0!</v>
      </c>
    </row>
    <row r="17" spans="1:12" ht="21" thickBot="1">
      <c r="B17" s="340" t="s">
        <v>393</v>
      </c>
      <c r="C17" s="341">
        <v>4</v>
      </c>
      <c r="D17" s="345">
        <f>Sheet1!F16</f>
        <v>184.56</v>
      </c>
      <c r="E17" s="345">
        <f>Sheet1!C16</f>
        <v>337.2</v>
      </c>
      <c r="F17" s="342">
        <v>301.08999999999997</v>
      </c>
      <c r="G17" s="342">
        <v>264.85000000000002</v>
      </c>
      <c r="H17" s="342">
        <v>269.91000000000003</v>
      </c>
      <c r="I17" s="342">
        <v>281.12</v>
      </c>
      <c r="J17" s="342">
        <f t="shared" si="6"/>
        <v>11.20999999999998</v>
      </c>
      <c r="K17" s="345">
        <f t="shared" si="4"/>
        <v>4.1532362639398235</v>
      </c>
      <c r="L17" s="345">
        <f t="shared" si="5"/>
        <v>152.31902904204594</v>
      </c>
    </row>
    <row r="18" spans="1:12" ht="21" thickBot="1">
      <c r="B18" s="340" t="s">
        <v>394</v>
      </c>
      <c r="C18" s="341">
        <v>7</v>
      </c>
      <c r="D18" s="345">
        <f>Sheet1!F17</f>
        <v>92.82</v>
      </c>
      <c r="E18" s="345">
        <f>Sheet1!C17</f>
        <v>187.64</v>
      </c>
      <c r="F18" s="342">
        <v>152.97</v>
      </c>
      <c r="G18" s="342">
        <v>134.78</v>
      </c>
      <c r="H18" s="342">
        <v>142.12</v>
      </c>
      <c r="I18" s="342">
        <v>156.13</v>
      </c>
      <c r="J18" s="342">
        <f t="shared" si="6"/>
        <v>14.009999999999991</v>
      </c>
      <c r="K18" s="345">
        <f t="shared" si="4"/>
        <v>9.8578665916127157</v>
      </c>
      <c r="L18" s="345">
        <f t="shared" si="5"/>
        <v>168.20728291316527</v>
      </c>
    </row>
    <row r="19" spans="1:12" ht="21" thickBot="1">
      <c r="B19" s="340" t="s">
        <v>75</v>
      </c>
      <c r="C19" s="341">
        <v>10</v>
      </c>
      <c r="D19" s="345">
        <f>Sheet1!F19</f>
        <v>144.32</v>
      </c>
      <c r="E19" s="345">
        <f>Sheet1!C19</f>
        <v>305.26</v>
      </c>
      <c r="F19" s="342">
        <v>216.63</v>
      </c>
      <c r="G19" s="342">
        <v>188.24</v>
      </c>
      <c r="H19" s="342">
        <v>237.48</v>
      </c>
      <c r="I19" s="342">
        <v>257.24</v>
      </c>
      <c r="J19" s="342">
        <f t="shared" si="6"/>
        <v>19.760000000000019</v>
      </c>
      <c r="K19" s="345">
        <f t="shared" si="4"/>
        <v>8.3207006905844789</v>
      </c>
      <c r="L19" s="345">
        <f t="shared" si="5"/>
        <v>178.24279379157429</v>
      </c>
    </row>
    <row r="20" spans="1:12" ht="21" thickBot="1">
      <c r="B20" s="340" t="s">
        <v>343</v>
      </c>
      <c r="C20" s="341">
        <v>11</v>
      </c>
      <c r="D20" s="345">
        <f>Sheet1!F20</f>
        <v>9.0299999999999994</v>
      </c>
      <c r="E20" s="345">
        <f>Sheet1!C20</f>
        <v>20.420000000000002</v>
      </c>
      <c r="F20" s="342">
        <v>5.13</v>
      </c>
      <c r="G20" s="342">
        <v>12.03</v>
      </c>
      <c r="H20" s="342">
        <v>12.41</v>
      </c>
      <c r="I20" s="342">
        <v>18.489999999999998</v>
      </c>
      <c r="J20" s="342">
        <f t="shared" si="6"/>
        <v>6.0799999999999983</v>
      </c>
      <c r="K20" s="345">
        <f t="shared" si="4"/>
        <v>48.992747784045108</v>
      </c>
      <c r="L20" s="345">
        <f t="shared" si="5"/>
        <v>204.76190476190476</v>
      </c>
    </row>
    <row r="21" spans="1:12" ht="21" thickBot="1">
      <c r="B21" s="340" t="s">
        <v>395</v>
      </c>
      <c r="C21" s="341">
        <v>12</v>
      </c>
      <c r="D21" s="345">
        <f>Sheet1!F21</f>
        <v>39.19</v>
      </c>
      <c r="E21" s="345">
        <f>Sheet1!C21</f>
        <v>83.39</v>
      </c>
      <c r="F21" s="342">
        <v>41.11</v>
      </c>
      <c r="G21" s="342">
        <v>48.93</v>
      </c>
      <c r="H21" s="342">
        <v>51.26</v>
      </c>
      <c r="I21" s="342">
        <v>72.08</v>
      </c>
      <c r="J21" s="342">
        <f t="shared" si="6"/>
        <v>20.82</v>
      </c>
      <c r="K21" s="345">
        <f t="shared" si="4"/>
        <v>40.616465079984394</v>
      </c>
      <c r="L21" s="345">
        <f t="shared" si="5"/>
        <v>183.92447052819597</v>
      </c>
    </row>
    <row r="22" spans="1:12" ht="21" thickBot="1">
      <c r="B22" s="340" t="s">
        <v>396</v>
      </c>
      <c r="C22" s="341">
        <v>13</v>
      </c>
      <c r="D22" s="345">
        <f>Sheet1!F22</f>
        <v>69.760000000000005</v>
      </c>
      <c r="E22" s="345">
        <f>Sheet1!C22</f>
        <v>143.05000000000001</v>
      </c>
      <c r="F22" s="342">
        <v>126.37</v>
      </c>
      <c r="G22" s="342">
        <v>120.4</v>
      </c>
      <c r="H22" s="342">
        <v>118.5</v>
      </c>
      <c r="I22" s="342">
        <v>124.27</v>
      </c>
      <c r="J22" s="342">
        <f t="shared" si="6"/>
        <v>5.769999999999996</v>
      </c>
      <c r="K22" s="345">
        <f t="shared" si="4"/>
        <v>4.8691983122362839</v>
      </c>
      <c r="L22" s="345">
        <f t="shared" si="5"/>
        <v>178.13933486238531</v>
      </c>
    </row>
    <row r="23" spans="1:12" ht="21" thickBot="1">
      <c r="A23" s="354"/>
      <c r="B23" s="346" t="s">
        <v>397</v>
      </c>
      <c r="C23" s="341">
        <v>14</v>
      </c>
      <c r="D23" s="345">
        <f>'PU Wise OWE'!N126/10000</f>
        <v>1.7463</v>
      </c>
      <c r="E23" s="342">
        <v>1.47</v>
      </c>
      <c r="F23" s="342">
        <v>2.65</v>
      </c>
      <c r="G23" s="342">
        <v>2.44</v>
      </c>
      <c r="H23" s="342">
        <v>1.45</v>
      </c>
      <c r="I23" s="342">
        <v>1.42</v>
      </c>
      <c r="J23" s="342">
        <f t="shared" si="6"/>
        <v>-3.0000000000000027E-2</v>
      </c>
      <c r="K23" s="345">
        <f t="shared" si="4"/>
        <v>-2.0689655172413812</v>
      </c>
      <c r="L23" s="345">
        <f t="shared" si="5"/>
        <v>81.314779820191262</v>
      </c>
    </row>
    <row r="24" spans="1:12" ht="38.25" thickBot="1">
      <c r="A24" s="354"/>
      <c r="B24" s="346" t="s">
        <v>398</v>
      </c>
      <c r="C24" s="341">
        <v>15</v>
      </c>
      <c r="D24" s="345">
        <f>'PU Wise OWE'!O126/10000</f>
        <v>5.0260999999999996</v>
      </c>
      <c r="E24" s="342">
        <v>7.94</v>
      </c>
      <c r="F24" s="342">
        <v>8.18</v>
      </c>
      <c r="G24" s="342">
        <v>9.41</v>
      </c>
      <c r="H24" s="342">
        <v>7.82</v>
      </c>
      <c r="I24" s="342">
        <v>9.98</v>
      </c>
      <c r="J24" s="342">
        <f t="shared" si="6"/>
        <v>2.16</v>
      </c>
      <c r="K24" s="345">
        <f t="shared" si="4"/>
        <v>27.621483375959084</v>
      </c>
      <c r="L24" s="345">
        <f t="shared" si="5"/>
        <v>198.56349853763356</v>
      </c>
    </row>
    <row r="25" spans="1:12" ht="21" thickBot="1">
      <c r="B25" s="340" t="s">
        <v>399</v>
      </c>
      <c r="C25" s="341">
        <v>16</v>
      </c>
      <c r="D25" s="345">
        <f>Sheet1!F23</f>
        <v>60.4</v>
      </c>
      <c r="E25" s="345">
        <f>Sheet1!C23</f>
        <v>125.95</v>
      </c>
      <c r="F25" s="342">
        <v>102.79</v>
      </c>
      <c r="G25" s="342">
        <v>88.73</v>
      </c>
      <c r="H25" s="342">
        <v>104.66</v>
      </c>
      <c r="I25" s="342">
        <v>111.89</v>
      </c>
      <c r="J25" s="342">
        <f t="shared" si="6"/>
        <v>7.230000000000004</v>
      </c>
      <c r="K25" s="345">
        <f t="shared" si="4"/>
        <v>6.9080833174087557</v>
      </c>
      <c r="L25" s="345">
        <f t="shared" si="5"/>
        <v>185.24834437086093</v>
      </c>
    </row>
    <row r="26" spans="1:12" ht="21" thickBot="1">
      <c r="B26" s="340" t="s">
        <v>84</v>
      </c>
      <c r="C26" s="341">
        <v>25</v>
      </c>
      <c r="D26" s="345">
        <f>Sheet1!F24</f>
        <v>98.99</v>
      </c>
      <c r="E26" s="345">
        <f>Sheet1!C24</f>
        <v>99.96</v>
      </c>
      <c r="F26" s="342">
        <v>85.41</v>
      </c>
      <c r="G26" s="342">
        <v>81.78</v>
      </c>
      <c r="H26" s="342">
        <v>88.97</v>
      </c>
      <c r="I26" s="342">
        <v>99.66</v>
      </c>
      <c r="J26" s="342">
        <f t="shared" si="6"/>
        <v>10.689999999999998</v>
      </c>
      <c r="K26" s="345">
        <f t="shared" si="4"/>
        <v>12.015286051478023</v>
      </c>
      <c r="L26" s="345">
        <f t="shared" si="5"/>
        <v>100.67683604404485</v>
      </c>
    </row>
    <row r="27" spans="1:12" ht="38.25" thickBot="1">
      <c r="B27" s="340" t="s">
        <v>400</v>
      </c>
      <c r="C27" s="341">
        <v>26</v>
      </c>
      <c r="D27" s="345">
        <f>Sheet1!F25</f>
        <v>83.93</v>
      </c>
      <c r="E27" s="345">
        <f>Sheet1!C25</f>
        <v>176.68</v>
      </c>
      <c r="F27" s="342">
        <v>115.54</v>
      </c>
      <c r="G27" s="342">
        <v>90.5</v>
      </c>
      <c r="H27" s="342">
        <v>105.66</v>
      </c>
      <c r="I27" s="342">
        <v>139.87</v>
      </c>
      <c r="J27" s="342">
        <f t="shared" si="6"/>
        <v>34.210000000000008</v>
      </c>
      <c r="K27" s="345">
        <f t="shared" si="4"/>
        <v>32.377437062275234</v>
      </c>
      <c r="L27" s="345">
        <f t="shared" si="5"/>
        <v>166.65078041224831</v>
      </c>
    </row>
    <row r="28" spans="1:12" ht="38.25" thickBot="1">
      <c r="B28" s="340" t="s">
        <v>401</v>
      </c>
      <c r="C28" s="341">
        <v>34</v>
      </c>
      <c r="D28" s="345">
        <f>Sheet1!F26</f>
        <v>36.56</v>
      </c>
      <c r="E28" s="345">
        <f>Sheet1!C26</f>
        <v>69.81</v>
      </c>
      <c r="F28" s="342">
        <v>49.12</v>
      </c>
      <c r="G28" s="342">
        <v>41.07</v>
      </c>
      <c r="H28" s="342">
        <v>57.16</v>
      </c>
      <c r="I28" s="342">
        <v>62.15</v>
      </c>
      <c r="J28" s="342">
        <f t="shared" si="6"/>
        <v>4.990000000000002</v>
      </c>
      <c r="K28" s="345">
        <f t="shared" si="4"/>
        <v>8.7298810356892975</v>
      </c>
      <c r="L28" s="345">
        <f t="shared" si="5"/>
        <v>169.99452954048138</v>
      </c>
    </row>
    <row r="29" spans="1:12" ht="38.25" thickBot="1">
      <c r="B29" s="340" t="s">
        <v>402</v>
      </c>
      <c r="C29" s="341">
        <v>63</v>
      </c>
      <c r="D29" s="345">
        <f>Sheet1!F27</f>
        <v>91.08</v>
      </c>
      <c r="E29" s="345">
        <f>Sheet1!C27</f>
        <v>139.18</v>
      </c>
      <c r="F29" s="342">
        <v>132.41</v>
      </c>
      <c r="G29" s="342">
        <v>169.78</v>
      </c>
      <c r="H29" s="342">
        <v>146.28</v>
      </c>
      <c r="I29" s="342">
        <v>114.69</v>
      </c>
      <c r="J29" s="342">
        <f t="shared" si="6"/>
        <v>-31.590000000000003</v>
      </c>
      <c r="K29" s="345">
        <f t="shared" si="4"/>
        <v>-21.595570139458577</v>
      </c>
      <c r="L29" s="345">
        <f t="shared" si="5"/>
        <v>125.92226613965745</v>
      </c>
    </row>
    <row r="30" spans="1:12" ht="21" thickBot="1">
      <c r="B30" s="452" t="s">
        <v>403</v>
      </c>
      <c r="C30" s="453"/>
      <c r="D30" s="347">
        <f>C6</f>
        <v>3258.73</v>
      </c>
      <c r="E30" s="347">
        <f>F6</f>
        <v>6210.09</v>
      </c>
      <c r="F30" s="343">
        <f>E6</f>
        <v>5075</v>
      </c>
      <c r="G30" s="343">
        <f>D6</f>
        <v>4575.6400000000003</v>
      </c>
      <c r="H30" s="347">
        <f>G6</f>
        <v>604.54</v>
      </c>
      <c r="I30" s="347">
        <f>H6</f>
        <v>635.62</v>
      </c>
      <c r="J30" s="347">
        <f t="shared" si="6"/>
        <v>31.080000000000041</v>
      </c>
      <c r="K30" s="347">
        <f t="shared" si="4"/>
        <v>5.1410990174347502</v>
      </c>
      <c r="L30" s="347">
        <f t="shared" si="5"/>
        <v>19.505144642237926</v>
      </c>
    </row>
    <row r="32" spans="1:12" ht="35.25">
      <c r="B32" s="454" t="s">
        <v>405</v>
      </c>
      <c r="C32" s="454"/>
      <c r="D32" s="454"/>
      <c r="E32" s="454"/>
      <c r="F32" s="454"/>
      <c r="G32" s="454"/>
      <c r="H32" s="454"/>
      <c r="I32" s="454"/>
      <c r="J32" s="454"/>
      <c r="K32" s="454"/>
      <c r="L32" s="454"/>
    </row>
    <row r="33" spans="1:12" ht="21" thickBot="1">
      <c r="D33" s="348"/>
    </row>
    <row r="34" spans="1:12" ht="50.25" customHeight="1" thickBot="1">
      <c r="B34" s="349" t="str">
        <f>B12</f>
        <v>Primary Unit</v>
      </c>
      <c r="C34" s="349" t="str">
        <f t="shared" ref="C34:L34" si="7">C12</f>
        <v>PUs</v>
      </c>
      <c r="D34" s="349" t="str">
        <f t="shared" si="7"/>
        <v>Vote On Acc 2024-25</v>
      </c>
      <c r="E34" s="349" t="str">
        <f t="shared" si="7"/>
        <v>Exp. upto March-23</v>
      </c>
      <c r="F34" s="349" t="str">
        <f t="shared" si="7"/>
        <v>Exp. upto March-22</v>
      </c>
      <c r="G34" s="349" t="str">
        <f t="shared" si="7"/>
        <v>Exp. upto March-21</v>
      </c>
      <c r="H34" s="349" t="str">
        <f t="shared" si="7"/>
        <v>Exp. upto Feb for 2022-23</v>
      </c>
      <c r="I34" s="349" t="str">
        <f t="shared" si="7"/>
        <v>Exp. Upto Feb  for 2023-24</v>
      </c>
      <c r="J34" s="349" t="str">
        <f t="shared" si="7"/>
        <v>Excess/Saving over COPPY</v>
      </c>
      <c r="K34" s="349" t="str">
        <f t="shared" si="7"/>
        <v>Excess/Saving over COPPY in %</v>
      </c>
      <c r="L34" s="349" t="str">
        <f t="shared" si="7"/>
        <v xml:space="preserve">% utilisation of BGSL </v>
      </c>
    </row>
    <row r="35" spans="1:12" ht="38.25" thickBot="1">
      <c r="B35" s="350"/>
      <c r="C35" s="350"/>
      <c r="D35" s="351" t="s">
        <v>371</v>
      </c>
      <c r="E35" s="351" t="s">
        <v>372</v>
      </c>
      <c r="F35" s="351" t="s">
        <v>373</v>
      </c>
      <c r="G35" s="351" t="s">
        <v>374</v>
      </c>
      <c r="H35" s="351" t="s">
        <v>375</v>
      </c>
      <c r="I35" s="351" t="s">
        <v>376</v>
      </c>
      <c r="J35" s="351" t="s">
        <v>377</v>
      </c>
      <c r="K35" s="351" t="s">
        <v>378</v>
      </c>
      <c r="L35" s="351" t="s">
        <v>379</v>
      </c>
    </row>
    <row r="36" spans="1:12" ht="21" thickBot="1">
      <c r="A36" s="356"/>
      <c r="B36" s="340" t="s">
        <v>406</v>
      </c>
      <c r="C36" s="341">
        <v>21</v>
      </c>
      <c r="D36" s="345">
        <f>Sheet1!F35</f>
        <v>8.61</v>
      </c>
      <c r="E36" s="345">
        <f>Sheet1!C35</f>
        <v>19.2</v>
      </c>
      <c r="F36" s="342">
        <v>21.46</v>
      </c>
      <c r="G36" s="342">
        <v>1.68</v>
      </c>
      <c r="H36" s="345">
        <f>Sheet1!H35</f>
        <v>2.17</v>
      </c>
      <c r="I36" s="342">
        <f>Sheet1!J35</f>
        <v>5.53</v>
      </c>
      <c r="J36" s="345">
        <f t="shared" ref="J36:J43" si="8">I36-H36</f>
        <v>3.3600000000000003</v>
      </c>
      <c r="K36" s="345">
        <f t="shared" ref="K36:K43" si="9">J36/H36*100</f>
        <v>154.83870967741936</v>
      </c>
      <c r="L36" s="345">
        <f t="shared" ref="L36:L43" si="10">I36/D36*100</f>
        <v>64.22764227642277</v>
      </c>
    </row>
    <row r="37" spans="1:12" ht="38.25" thickBot="1">
      <c r="A37" s="354"/>
      <c r="B37" s="340" t="s">
        <v>407</v>
      </c>
      <c r="C37" s="341">
        <v>27</v>
      </c>
      <c r="D37" s="345">
        <f>Sheet1!F53+Sheet1!F43</f>
        <v>92.41</v>
      </c>
      <c r="E37" s="342">
        <v>242.71</v>
      </c>
      <c r="F37" s="342">
        <v>187.82</v>
      </c>
      <c r="G37" s="342">
        <v>12.13</v>
      </c>
      <c r="H37" s="357">
        <v>193.23</v>
      </c>
      <c r="I37" s="357">
        <v>196.57</v>
      </c>
      <c r="J37" s="345">
        <f t="shared" si="8"/>
        <v>3.3400000000000034</v>
      </c>
      <c r="K37" s="345">
        <f t="shared" si="9"/>
        <v>1.7285100657247858</v>
      </c>
      <c r="L37" s="345">
        <f t="shared" si="10"/>
        <v>212.71507412617683</v>
      </c>
    </row>
    <row r="38" spans="1:12" ht="38.25" thickBot="1">
      <c r="A38" s="356"/>
      <c r="B38" s="340" t="s">
        <v>408</v>
      </c>
      <c r="C38" s="341">
        <v>28</v>
      </c>
      <c r="D38" s="345">
        <f>Sheet1!F54</f>
        <v>60.32</v>
      </c>
      <c r="E38" s="345">
        <f>Sheet1!C54</f>
        <v>140.87</v>
      </c>
      <c r="F38" s="342">
        <v>113.64</v>
      </c>
      <c r="G38" s="342">
        <v>23.68</v>
      </c>
      <c r="H38" s="345">
        <f>Sheet1!H54</f>
        <v>22</v>
      </c>
      <c r="I38" s="342">
        <f>Sheet1!J54</f>
        <v>17.96</v>
      </c>
      <c r="J38" s="345">
        <f t="shared" si="8"/>
        <v>-4.0399999999999991</v>
      </c>
      <c r="K38" s="345">
        <f t="shared" si="9"/>
        <v>-18.36363636363636</v>
      </c>
      <c r="L38" s="345">
        <f t="shared" si="10"/>
        <v>29.77453580901857</v>
      </c>
    </row>
    <row r="39" spans="1:12" ht="21" thickBot="1">
      <c r="A39" s="354"/>
      <c r="B39" s="340" t="s">
        <v>102</v>
      </c>
      <c r="C39" s="341">
        <v>30</v>
      </c>
      <c r="D39" s="342">
        <v>1775.46</v>
      </c>
      <c r="E39" s="342">
        <v>1686.94</v>
      </c>
      <c r="F39" s="342">
        <v>1187.54</v>
      </c>
      <c r="G39" s="342">
        <v>78.28</v>
      </c>
      <c r="H39" s="342">
        <v>1526.39</v>
      </c>
      <c r="I39" s="342">
        <v>1563.82</v>
      </c>
      <c r="J39" s="345">
        <f t="shared" si="8"/>
        <v>37.429999999999836</v>
      </c>
      <c r="K39" s="345">
        <f t="shared" si="9"/>
        <v>2.4521911176042712</v>
      </c>
      <c r="L39" s="345">
        <f t="shared" si="10"/>
        <v>88.079708920505112</v>
      </c>
    </row>
    <row r="40" spans="1:12" ht="38.25" thickBot="1">
      <c r="A40" s="354"/>
      <c r="B40" s="340" t="s">
        <v>409</v>
      </c>
      <c r="C40" s="341">
        <v>31</v>
      </c>
      <c r="D40" s="342">
        <v>48.3</v>
      </c>
      <c r="E40" s="342">
        <v>33.06</v>
      </c>
      <c r="F40" s="342">
        <v>20.66</v>
      </c>
      <c r="G40" s="342">
        <v>2.08</v>
      </c>
      <c r="H40" s="342">
        <v>31.9</v>
      </c>
      <c r="I40" s="342">
        <v>43.77</v>
      </c>
      <c r="J40" s="345">
        <f t="shared" si="8"/>
        <v>11.870000000000005</v>
      </c>
      <c r="K40" s="345">
        <f t="shared" si="9"/>
        <v>37.210031347962399</v>
      </c>
      <c r="L40" s="345">
        <f t="shared" si="10"/>
        <v>90.621118012422372</v>
      </c>
    </row>
    <row r="41" spans="1:12" ht="38.25" thickBot="1">
      <c r="A41" s="356"/>
      <c r="B41" s="340" t="s">
        <v>410</v>
      </c>
      <c r="C41" s="341">
        <v>32</v>
      </c>
      <c r="D41" s="345">
        <f>Sheet1!F57</f>
        <v>203.9</v>
      </c>
      <c r="E41" s="345">
        <f>Sheet1!C57</f>
        <v>424.1</v>
      </c>
      <c r="F41" s="342">
        <v>350.79</v>
      </c>
      <c r="G41" s="342">
        <v>38.840000000000003</v>
      </c>
      <c r="H41" s="345">
        <f>Sheet1!H57</f>
        <v>44.6</v>
      </c>
      <c r="I41" s="345">
        <f>Sheet1!J57</f>
        <v>68.28</v>
      </c>
      <c r="J41" s="345">
        <f t="shared" si="8"/>
        <v>23.68</v>
      </c>
      <c r="K41" s="345">
        <f t="shared" si="9"/>
        <v>53.094170403587441</v>
      </c>
      <c r="L41" s="345">
        <f t="shared" si="10"/>
        <v>33.48700343305542</v>
      </c>
    </row>
    <row r="42" spans="1:12" ht="38.25" thickBot="1">
      <c r="A42" s="356"/>
      <c r="B42" s="340" t="s">
        <v>411</v>
      </c>
      <c r="C42" s="341">
        <v>35</v>
      </c>
      <c r="D42" s="345">
        <f>Sheet1!F99</f>
        <v>37.784399999999998</v>
      </c>
      <c r="E42" s="342">
        <f>Sheet1!C99</f>
        <v>76.897400000000005</v>
      </c>
      <c r="F42" s="342">
        <v>122.77</v>
      </c>
      <c r="G42" s="342">
        <v>4.47</v>
      </c>
      <c r="H42" s="345">
        <f>Sheet1!H99</f>
        <v>3.9575</v>
      </c>
      <c r="I42" s="345">
        <f>Sheet1!I99</f>
        <v>3.6574</v>
      </c>
      <c r="J42" s="345">
        <f t="shared" si="8"/>
        <v>-0.30010000000000003</v>
      </c>
      <c r="K42" s="345">
        <f t="shared" si="9"/>
        <v>-7.583070120025269</v>
      </c>
      <c r="L42" s="345">
        <f t="shared" si="10"/>
        <v>9.6796561543917594</v>
      </c>
    </row>
    <row r="43" spans="1:12" ht="38.25" thickBot="1">
      <c r="A43" s="356"/>
      <c r="B43" s="340" t="s">
        <v>412</v>
      </c>
      <c r="C43" s="341">
        <v>64</v>
      </c>
      <c r="D43" s="345">
        <f>Sheet1!F105</f>
        <v>84.552599999999998</v>
      </c>
      <c r="E43" s="345">
        <f>Sheet1!C105</f>
        <v>157.8278</v>
      </c>
      <c r="F43" s="342">
        <v>21.46</v>
      </c>
      <c r="G43" s="342">
        <v>6.79</v>
      </c>
      <c r="H43" s="345">
        <f>Sheet1!H105</f>
        <v>14.794600000000001</v>
      </c>
      <c r="I43" s="345">
        <f>Sheet1!I105</f>
        <v>17.009899999999998</v>
      </c>
      <c r="J43" s="345">
        <f t="shared" si="8"/>
        <v>2.2152999999999974</v>
      </c>
      <c r="K43" s="345">
        <f t="shared" si="9"/>
        <v>14.973706622686636</v>
      </c>
      <c r="L43" s="345">
        <f t="shared" si="10"/>
        <v>20.117536302845799</v>
      </c>
    </row>
    <row r="44" spans="1:12" ht="21" thickBot="1">
      <c r="A44" s="356"/>
      <c r="B44" s="340" t="s">
        <v>413</v>
      </c>
      <c r="C44" s="341">
        <v>99</v>
      </c>
      <c r="D44" s="345">
        <f>Sheet1!F84</f>
        <v>132.51999999999998</v>
      </c>
      <c r="E44" s="345">
        <f>Sheet1!C84</f>
        <v>234.57999999999902</v>
      </c>
      <c r="F44" s="342">
        <v>200.24</v>
      </c>
      <c r="G44" s="342">
        <v>49.87</v>
      </c>
      <c r="H44" s="345">
        <f>Sheet1!H84</f>
        <v>34.32000000000005</v>
      </c>
      <c r="I44" s="342">
        <f>Sheet1!J84</f>
        <v>28.829999999999927</v>
      </c>
      <c r="J44" s="345">
        <f>I44-H44</f>
        <v>-5.4900000000001228</v>
      </c>
      <c r="K44" s="345">
        <f>J44/H44*100</f>
        <v>-15.996503496503831</v>
      </c>
      <c r="L44" s="345">
        <f>I44/D44*100</f>
        <v>21.755206761243535</v>
      </c>
    </row>
    <row r="45" spans="1:12" ht="38.25" thickBot="1">
      <c r="A45" s="356"/>
      <c r="B45" s="340" t="s">
        <v>414</v>
      </c>
      <c r="C45" s="352"/>
      <c r="D45" s="355">
        <f>C7</f>
        <v>1901.4100000000003</v>
      </c>
      <c r="E45" s="355">
        <f>F7</f>
        <v>2765.5399999999991</v>
      </c>
      <c r="F45" s="353">
        <v>4188.91</v>
      </c>
      <c r="G45" s="353">
        <v>677.45</v>
      </c>
      <c r="H45" s="355">
        <f>G7</f>
        <v>631.19000000000005</v>
      </c>
      <c r="I45" s="355">
        <f>H7</f>
        <v>-189.06</v>
      </c>
      <c r="J45" s="355">
        <f>I45-H45</f>
        <v>-820.25</v>
      </c>
      <c r="K45" s="355">
        <f>J45/H45*100</f>
        <v>-129.95294602259224</v>
      </c>
      <c r="L45" s="355">
        <f>I45/D45*100</f>
        <v>-9.9431474537317026</v>
      </c>
    </row>
    <row r="46" spans="1:12" ht="20.25">
      <c r="D46" s="348"/>
    </row>
    <row r="47" spans="1:12" ht="20.25">
      <c r="D47" s="348"/>
    </row>
  </sheetData>
  <mergeCells count="7">
    <mergeCell ref="B30:C30"/>
    <mergeCell ref="B32:L32"/>
    <mergeCell ref="B1:K1"/>
    <mergeCell ref="B10:K10"/>
    <mergeCell ref="B3:B4"/>
    <mergeCell ref="D3:H3"/>
    <mergeCell ref="I3:J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P61"/>
  <sheetViews>
    <sheetView topLeftCell="A38" workbookViewId="0">
      <selection activeCell="P57" sqref="P57"/>
    </sheetView>
  </sheetViews>
  <sheetFormatPr defaultRowHeight="15"/>
  <cols>
    <col min="1" max="1" width="14.7109375" style="359" customWidth="1"/>
    <col min="2" max="13" width="10.85546875" style="359" customWidth="1"/>
    <col min="14" max="14" width="9.28515625" style="359" customWidth="1"/>
    <col min="15" max="256" width="9.140625" style="359"/>
    <col min="257" max="257" width="14.7109375" style="359" customWidth="1"/>
    <col min="258" max="269" width="10.85546875" style="359" customWidth="1"/>
    <col min="270" max="270" width="9.28515625" style="359" customWidth="1"/>
    <col min="271" max="512" width="9.140625" style="359"/>
    <col min="513" max="513" width="14.7109375" style="359" customWidth="1"/>
    <col min="514" max="525" width="10.85546875" style="359" customWidth="1"/>
    <col min="526" max="526" width="9.28515625" style="359" customWidth="1"/>
    <col min="527" max="768" width="9.140625" style="359"/>
    <col min="769" max="769" width="14.7109375" style="359" customWidth="1"/>
    <col min="770" max="781" width="10.85546875" style="359" customWidth="1"/>
    <col min="782" max="782" width="9.28515625" style="359" customWidth="1"/>
    <col min="783" max="1024" width="9.140625" style="359"/>
    <col min="1025" max="1025" width="14.7109375" style="359" customWidth="1"/>
    <col min="1026" max="1037" width="10.85546875" style="359" customWidth="1"/>
    <col min="1038" max="1038" width="9.28515625" style="359" customWidth="1"/>
    <col min="1039" max="1280" width="9.140625" style="359"/>
    <col min="1281" max="1281" width="14.7109375" style="359" customWidth="1"/>
    <col min="1282" max="1293" width="10.85546875" style="359" customWidth="1"/>
    <col min="1294" max="1294" width="9.28515625" style="359" customWidth="1"/>
    <col min="1295" max="1536" width="9.140625" style="359"/>
    <col min="1537" max="1537" width="14.7109375" style="359" customWidth="1"/>
    <col min="1538" max="1549" width="10.85546875" style="359" customWidth="1"/>
    <col min="1550" max="1550" width="9.28515625" style="359" customWidth="1"/>
    <col min="1551" max="1792" width="9.140625" style="359"/>
    <col min="1793" max="1793" width="14.7109375" style="359" customWidth="1"/>
    <col min="1794" max="1805" width="10.85546875" style="359" customWidth="1"/>
    <col min="1806" max="1806" width="9.28515625" style="359" customWidth="1"/>
    <col min="1807" max="2048" width="9.140625" style="359"/>
    <col min="2049" max="2049" width="14.7109375" style="359" customWidth="1"/>
    <col min="2050" max="2061" width="10.85546875" style="359" customWidth="1"/>
    <col min="2062" max="2062" width="9.28515625" style="359" customWidth="1"/>
    <col min="2063" max="2304" width="9.140625" style="359"/>
    <col min="2305" max="2305" width="14.7109375" style="359" customWidth="1"/>
    <col min="2306" max="2317" width="10.85546875" style="359" customWidth="1"/>
    <col min="2318" max="2318" width="9.28515625" style="359" customWidth="1"/>
    <col min="2319" max="2560" width="9.140625" style="359"/>
    <col min="2561" max="2561" width="14.7109375" style="359" customWidth="1"/>
    <col min="2562" max="2573" width="10.85546875" style="359" customWidth="1"/>
    <col min="2574" max="2574" width="9.28515625" style="359" customWidth="1"/>
    <col min="2575" max="2816" width="9.140625" style="359"/>
    <col min="2817" max="2817" width="14.7109375" style="359" customWidth="1"/>
    <col min="2818" max="2829" width="10.85546875" style="359" customWidth="1"/>
    <col min="2830" max="2830" width="9.28515625" style="359" customWidth="1"/>
    <col min="2831" max="3072" width="9.140625" style="359"/>
    <col min="3073" max="3073" width="14.7109375" style="359" customWidth="1"/>
    <col min="3074" max="3085" width="10.85546875" style="359" customWidth="1"/>
    <col min="3086" max="3086" width="9.28515625" style="359" customWidth="1"/>
    <col min="3087" max="3328" width="9.140625" style="359"/>
    <col min="3329" max="3329" width="14.7109375" style="359" customWidth="1"/>
    <col min="3330" max="3341" width="10.85546875" style="359" customWidth="1"/>
    <col min="3342" max="3342" width="9.28515625" style="359" customWidth="1"/>
    <col min="3343" max="3584" width="9.140625" style="359"/>
    <col min="3585" max="3585" width="14.7109375" style="359" customWidth="1"/>
    <col min="3586" max="3597" width="10.85546875" style="359" customWidth="1"/>
    <col min="3598" max="3598" width="9.28515625" style="359" customWidth="1"/>
    <col min="3599" max="3840" width="9.140625" style="359"/>
    <col min="3841" max="3841" width="14.7109375" style="359" customWidth="1"/>
    <col min="3842" max="3853" width="10.85546875" style="359" customWidth="1"/>
    <col min="3854" max="3854" width="9.28515625" style="359" customWidth="1"/>
    <col min="3855" max="4096" width="9.140625" style="359"/>
    <col min="4097" max="4097" width="14.7109375" style="359" customWidth="1"/>
    <col min="4098" max="4109" width="10.85546875" style="359" customWidth="1"/>
    <col min="4110" max="4110" width="9.28515625" style="359" customWidth="1"/>
    <col min="4111" max="4352" width="9.140625" style="359"/>
    <col min="4353" max="4353" width="14.7109375" style="359" customWidth="1"/>
    <col min="4354" max="4365" width="10.85546875" style="359" customWidth="1"/>
    <col min="4366" max="4366" width="9.28515625" style="359" customWidth="1"/>
    <col min="4367" max="4608" width="9.140625" style="359"/>
    <col min="4609" max="4609" width="14.7109375" style="359" customWidth="1"/>
    <col min="4610" max="4621" width="10.85546875" style="359" customWidth="1"/>
    <col min="4622" max="4622" width="9.28515625" style="359" customWidth="1"/>
    <col min="4623" max="4864" width="9.140625" style="359"/>
    <col min="4865" max="4865" width="14.7109375" style="359" customWidth="1"/>
    <col min="4866" max="4877" width="10.85546875" style="359" customWidth="1"/>
    <col min="4878" max="4878" width="9.28515625" style="359" customWidth="1"/>
    <col min="4879" max="5120" width="9.140625" style="359"/>
    <col min="5121" max="5121" width="14.7109375" style="359" customWidth="1"/>
    <col min="5122" max="5133" width="10.85546875" style="359" customWidth="1"/>
    <col min="5134" max="5134" width="9.28515625" style="359" customWidth="1"/>
    <col min="5135" max="5376" width="9.140625" style="359"/>
    <col min="5377" max="5377" width="14.7109375" style="359" customWidth="1"/>
    <col min="5378" max="5389" width="10.85546875" style="359" customWidth="1"/>
    <col min="5390" max="5390" width="9.28515625" style="359" customWidth="1"/>
    <col min="5391" max="5632" width="9.140625" style="359"/>
    <col min="5633" max="5633" width="14.7109375" style="359" customWidth="1"/>
    <col min="5634" max="5645" width="10.85546875" style="359" customWidth="1"/>
    <col min="5646" max="5646" width="9.28515625" style="359" customWidth="1"/>
    <col min="5647" max="5888" width="9.140625" style="359"/>
    <col min="5889" max="5889" width="14.7109375" style="359" customWidth="1"/>
    <col min="5890" max="5901" width="10.85546875" style="359" customWidth="1"/>
    <col min="5902" max="5902" width="9.28515625" style="359" customWidth="1"/>
    <col min="5903" max="6144" width="9.140625" style="359"/>
    <col min="6145" max="6145" width="14.7109375" style="359" customWidth="1"/>
    <col min="6146" max="6157" width="10.85546875" style="359" customWidth="1"/>
    <col min="6158" max="6158" width="9.28515625" style="359" customWidth="1"/>
    <col min="6159" max="6400" width="9.140625" style="359"/>
    <col min="6401" max="6401" width="14.7109375" style="359" customWidth="1"/>
    <col min="6402" max="6413" width="10.85546875" style="359" customWidth="1"/>
    <col min="6414" max="6414" width="9.28515625" style="359" customWidth="1"/>
    <col min="6415" max="6656" width="9.140625" style="359"/>
    <col min="6657" max="6657" width="14.7109375" style="359" customWidth="1"/>
    <col min="6658" max="6669" width="10.85546875" style="359" customWidth="1"/>
    <col min="6670" max="6670" width="9.28515625" style="359" customWidth="1"/>
    <col min="6671" max="6912" width="9.140625" style="359"/>
    <col min="6913" max="6913" width="14.7109375" style="359" customWidth="1"/>
    <col min="6914" max="6925" width="10.85546875" style="359" customWidth="1"/>
    <col min="6926" max="6926" width="9.28515625" style="359" customWidth="1"/>
    <col min="6927" max="7168" width="9.140625" style="359"/>
    <col min="7169" max="7169" width="14.7109375" style="359" customWidth="1"/>
    <col min="7170" max="7181" width="10.85546875" style="359" customWidth="1"/>
    <col min="7182" max="7182" width="9.28515625" style="359" customWidth="1"/>
    <col min="7183" max="7424" width="9.140625" style="359"/>
    <col min="7425" max="7425" width="14.7109375" style="359" customWidth="1"/>
    <col min="7426" max="7437" width="10.85546875" style="359" customWidth="1"/>
    <col min="7438" max="7438" width="9.28515625" style="359" customWidth="1"/>
    <col min="7439" max="7680" width="9.140625" style="359"/>
    <col min="7681" max="7681" width="14.7109375" style="359" customWidth="1"/>
    <col min="7682" max="7693" width="10.85546875" style="359" customWidth="1"/>
    <col min="7694" max="7694" width="9.28515625" style="359" customWidth="1"/>
    <col min="7695" max="7936" width="9.140625" style="359"/>
    <col min="7937" max="7937" width="14.7109375" style="359" customWidth="1"/>
    <col min="7938" max="7949" width="10.85546875" style="359" customWidth="1"/>
    <col min="7950" max="7950" width="9.28515625" style="359" customWidth="1"/>
    <col min="7951" max="8192" width="9.140625" style="359"/>
    <col min="8193" max="8193" width="14.7109375" style="359" customWidth="1"/>
    <col min="8194" max="8205" width="10.85546875" style="359" customWidth="1"/>
    <col min="8206" max="8206" width="9.28515625" style="359" customWidth="1"/>
    <col min="8207" max="8448" width="9.140625" style="359"/>
    <col min="8449" max="8449" width="14.7109375" style="359" customWidth="1"/>
    <col min="8450" max="8461" width="10.85546875" style="359" customWidth="1"/>
    <col min="8462" max="8462" width="9.28515625" style="359" customWidth="1"/>
    <col min="8463" max="8704" width="9.140625" style="359"/>
    <col min="8705" max="8705" width="14.7109375" style="359" customWidth="1"/>
    <col min="8706" max="8717" width="10.85546875" style="359" customWidth="1"/>
    <col min="8718" max="8718" width="9.28515625" style="359" customWidth="1"/>
    <col min="8719" max="8960" width="9.140625" style="359"/>
    <col min="8961" max="8961" width="14.7109375" style="359" customWidth="1"/>
    <col min="8962" max="8973" width="10.85546875" style="359" customWidth="1"/>
    <col min="8974" max="8974" width="9.28515625" style="359" customWidth="1"/>
    <col min="8975" max="9216" width="9.140625" style="359"/>
    <col min="9217" max="9217" width="14.7109375" style="359" customWidth="1"/>
    <col min="9218" max="9229" width="10.85546875" style="359" customWidth="1"/>
    <col min="9230" max="9230" width="9.28515625" style="359" customWidth="1"/>
    <col min="9231" max="9472" width="9.140625" style="359"/>
    <col min="9473" max="9473" width="14.7109375" style="359" customWidth="1"/>
    <col min="9474" max="9485" width="10.85546875" style="359" customWidth="1"/>
    <col min="9486" max="9486" width="9.28515625" style="359" customWidth="1"/>
    <col min="9487" max="9728" width="9.140625" style="359"/>
    <col min="9729" max="9729" width="14.7109375" style="359" customWidth="1"/>
    <col min="9730" max="9741" width="10.85546875" style="359" customWidth="1"/>
    <col min="9742" max="9742" width="9.28515625" style="359" customWidth="1"/>
    <col min="9743" max="9984" width="9.140625" style="359"/>
    <col min="9985" max="9985" width="14.7109375" style="359" customWidth="1"/>
    <col min="9986" max="9997" width="10.85546875" style="359" customWidth="1"/>
    <col min="9998" max="9998" width="9.28515625" style="359" customWidth="1"/>
    <col min="9999" max="10240" width="9.140625" style="359"/>
    <col min="10241" max="10241" width="14.7109375" style="359" customWidth="1"/>
    <col min="10242" max="10253" width="10.85546875" style="359" customWidth="1"/>
    <col min="10254" max="10254" width="9.28515625" style="359" customWidth="1"/>
    <col min="10255" max="10496" width="9.140625" style="359"/>
    <col min="10497" max="10497" width="14.7109375" style="359" customWidth="1"/>
    <col min="10498" max="10509" width="10.85546875" style="359" customWidth="1"/>
    <col min="10510" max="10510" width="9.28515625" style="359" customWidth="1"/>
    <col min="10511" max="10752" width="9.140625" style="359"/>
    <col min="10753" max="10753" width="14.7109375" style="359" customWidth="1"/>
    <col min="10754" max="10765" width="10.85546875" style="359" customWidth="1"/>
    <col min="10766" max="10766" width="9.28515625" style="359" customWidth="1"/>
    <col min="10767" max="11008" width="9.140625" style="359"/>
    <col min="11009" max="11009" width="14.7109375" style="359" customWidth="1"/>
    <col min="11010" max="11021" width="10.85546875" style="359" customWidth="1"/>
    <col min="11022" max="11022" width="9.28515625" style="359" customWidth="1"/>
    <col min="11023" max="11264" width="9.140625" style="359"/>
    <col min="11265" max="11265" width="14.7109375" style="359" customWidth="1"/>
    <col min="11266" max="11277" width="10.85546875" style="359" customWidth="1"/>
    <col min="11278" max="11278" width="9.28515625" style="359" customWidth="1"/>
    <col min="11279" max="11520" width="9.140625" style="359"/>
    <col min="11521" max="11521" width="14.7109375" style="359" customWidth="1"/>
    <col min="11522" max="11533" width="10.85546875" style="359" customWidth="1"/>
    <col min="11534" max="11534" width="9.28515625" style="359" customWidth="1"/>
    <col min="11535" max="11776" width="9.140625" style="359"/>
    <col min="11777" max="11777" width="14.7109375" style="359" customWidth="1"/>
    <col min="11778" max="11789" width="10.85546875" style="359" customWidth="1"/>
    <col min="11790" max="11790" width="9.28515625" style="359" customWidth="1"/>
    <col min="11791" max="12032" width="9.140625" style="359"/>
    <col min="12033" max="12033" width="14.7109375" style="359" customWidth="1"/>
    <col min="12034" max="12045" width="10.85546875" style="359" customWidth="1"/>
    <col min="12046" max="12046" width="9.28515625" style="359" customWidth="1"/>
    <col min="12047" max="12288" width="9.140625" style="359"/>
    <col min="12289" max="12289" width="14.7109375" style="359" customWidth="1"/>
    <col min="12290" max="12301" width="10.85546875" style="359" customWidth="1"/>
    <col min="12302" max="12302" width="9.28515625" style="359" customWidth="1"/>
    <col min="12303" max="12544" width="9.140625" style="359"/>
    <col min="12545" max="12545" width="14.7109375" style="359" customWidth="1"/>
    <col min="12546" max="12557" width="10.85546875" style="359" customWidth="1"/>
    <col min="12558" max="12558" width="9.28515625" style="359" customWidth="1"/>
    <col min="12559" max="12800" width="9.140625" style="359"/>
    <col min="12801" max="12801" width="14.7109375" style="359" customWidth="1"/>
    <col min="12802" max="12813" width="10.85546875" style="359" customWidth="1"/>
    <col min="12814" max="12814" width="9.28515625" style="359" customWidth="1"/>
    <col min="12815" max="13056" width="9.140625" style="359"/>
    <col min="13057" max="13057" width="14.7109375" style="359" customWidth="1"/>
    <col min="13058" max="13069" width="10.85546875" style="359" customWidth="1"/>
    <col min="13070" max="13070" width="9.28515625" style="359" customWidth="1"/>
    <col min="13071" max="13312" width="9.140625" style="359"/>
    <col min="13313" max="13313" width="14.7109375" style="359" customWidth="1"/>
    <col min="13314" max="13325" width="10.85546875" style="359" customWidth="1"/>
    <col min="13326" max="13326" width="9.28515625" style="359" customWidth="1"/>
    <col min="13327" max="13568" width="9.140625" style="359"/>
    <col min="13569" max="13569" width="14.7109375" style="359" customWidth="1"/>
    <col min="13570" max="13581" width="10.85546875" style="359" customWidth="1"/>
    <col min="13582" max="13582" width="9.28515625" style="359" customWidth="1"/>
    <col min="13583" max="13824" width="9.140625" style="359"/>
    <col min="13825" max="13825" width="14.7109375" style="359" customWidth="1"/>
    <col min="13826" max="13837" width="10.85546875" style="359" customWidth="1"/>
    <col min="13838" max="13838" width="9.28515625" style="359" customWidth="1"/>
    <col min="13839" max="14080" width="9.140625" style="359"/>
    <col min="14081" max="14081" width="14.7109375" style="359" customWidth="1"/>
    <col min="14082" max="14093" width="10.85546875" style="359" customWidth="1"/>
    <col min="14094" max="14094" width="9.28515625" style="359" customWidth="1"/>
    <col min="14095" max="14336" width="9.140625" style="359"/>
    <col min="14337" max="14337" width="14.7109375" style="359" customWidth="1"/>
    <col min="14338" max="14349" width="10.85546875" style="359" customWidth="1"/>
    <col min="14350" max="14350" width="9.28515625" style="359" customWidth="1"/>
    <col min="14351" max="14592" width="9.140625" style="359"/>
    <col min="14593" max="14593" width="14.7109375" style="359" customWidth="1"/>
    <col min="14594" max="14605" width="10.85546875" style="359" customWidth="1"/>
    <col min="14606" max="14606" width="9.28515625" style="359" customWidth="1"/>
    <col min="14607" max="14848" width="9.140625" style="359"/>
    <col min="14849" max="14849" width="14.7109375" style="359" customWidth="1"/>
    <col min="14850" max="14861" width="10.85546875" style="359" customWidth="1"/>
    <col min="14862" max="14862" width="9.28515625" style="359" customWidth="1"/>
    <col min="14863" max="15104" width="9.140625" style="359"/>
    <col min="15105" max="15105" width="14.7109375" style="359" customWidth="1"/>
    <col min="15106" max="15117" width="10.85546875" style="359" customWidth="1"/>
    <col min="15118" max="15118" width="9.28515625" style="359" customWidth="1"/>
    <col min="15119" max="15360" width="9.140625" style="359"/>
    <col min="15361" max="15361" width="14.7109375" style="359" customWidth="1"/>
    <col min="15362" max="15373" width="10.85546875" style="359" customWidth="1"/>
    <col min="15374" max="15374" width="9.28515625" style="359" customWidth="1"/>
    <col min="15375" max="15616" width="9.140625" style="359"/>
    <col min="15617" max="15617" width="14.7109375" style="359" customWidth="1"/>
    <col min="15618" max="15629" width="10.85546875" style="359" customWidth="1"/>
    <col min="15630" max="15630" width="9.28515625" style="359" customWidth="1"/>
    <col min="15631" max="15872" width="9.140625" style="359"/>
    <col min="15873" max="15873" width="14.7109375" style="359" customWidth="1"/>
    <col min="15874" max="15885" width="10.85546875" style="359" customWidth="1"/>
    <col min="15886" max="15886" width="9.28515625" style="359" customWidth="1"/>
    <col min="15887" max="16128" width="9.140625" style="359"/>
    <col min="16129" max="16129" width="14.7109375" style="359" customWidth="1"/>
    <col min="16130" max="16141" width="10.85546875" style="359" customWidth="1"/>
    <col min="16142" max="16142" width="9.28515625" style="359" customWidth="1"/>
    <col min="16143" max="16384" width="9.140625" style="359"/>
  </cols>
  <sheetData>
    <row r="1" spans="1:14">
      <c r="A1" s="365" t="s">
        <v>427</v>
      </c>
      <c r="B1" s="366"/>
      <c r="C1" s="366"/>
      <c r="D1" s="366"/>
      <c r="E1" s="366"/>
      <c r="F1" s="366"/>
      <c r="G1" s="366"/>
      <c r="H1" s="366"/>
      <c r="I1" s="366"/>
      <c r="J1" s="366"/>
      <c r="K1" s="366"/>
      <c r="L1" s="366"/>
      <c r="M1" s="366"/>
      <c r="N1" s="366"/>
    </row>
    <row r="2" spans="1:14">
      <c r="A2" s="365" t="s">
        <v>428</v>
      </c>
      <c r="B2" s="366"/>
      <c r="C2" s="366"/>
      <c r="D2" s="366"/>
      <c r="E2" s="366"/>
      <c r="F2" s="366"/>
      <c r="G2" s="366"/>
      <c r="H2" s="366"/>
      <c r="I2" s="366"/>
      <c r="J2" s="366"/>
      <c r="K2" s="366"/>
      <c r="L2" s="366"/>
      <c r="M2" s="366"/>
      <c r="N2" s="366"/>
    </row>
    <row r="3" spans="1:14">
      <c r="A3" s="360" t="s">
        <v>0</v>
      </c>
      <c r="B3" s="360" t="s">
        <v>1</v>
      </c>
      <c r="C3" s="360" t="s">
        <v>2</v>
      </c>
      <c r="D3" s="360" t="s">
        <v>3</v>
      </c>
      <c r="E3" s="360" t="s">
        <v>4</v>
      </c>
      <c r="F3" s="360" t="s">
        <v>5</v>
      </c>
      <c r="G3" s="360" t="s">
        <v>6</v>
      </c>
      <c r="H3" s="360" t="s">
        <v>7</v>
      </c>
      <c r="I3" s="360" t="s">
        <v>8</v>
      </c>
      <c r="J3" s="360" t="s">
        <v>9</v>
      </c>
      <c r="K3" s="360" t="s">
        <v>10</v>
      </c>
      <c r="L3" s="360" t="s">
        <v>11</v>
      </c>
      <c r="M3" s="360" t="s">
        <v>12</v>
      </c>
      <c r="N3" s="360" t="s">
        <v>13</v>
      </c>
    </row>
    <row r="4" spans="1:14">
      <c r="A4" s="360" t="s">
        <v>14</v>
      </c>
      <c r="B4" s="29">
        <v>294663</v>
      </c>
      <c r="C4" s="29">
        <v>465330</v>
      </c>
      <c r="D4" s="29">
        <v>78209</v>
      </c>
      <c r="E4" s="29">
        <v>157695</v>
      </c>
      <c r="F4" s="29">
        <v>215205</v>
      </c>
      <c r="G4" s="29">
        <v>428107</v>
      </c>
      <c r="H4" s="29">
        <v>476968</v>
      </c>
      <c r="I4" s="29">
        <v>1019</v>
      </c>
      <c r="J4" s="29">
        <v>69956</v>
      </c>
      <c r="K4" s="29">
        <v>152884</v>
      </c>
      <c r="L4" s="28" t="s">
        <v>15</v>
      </c>
      <c r="M4" s="28" t="s">
        <v>15</v>
      </c>
      <c r="N4" s="29">
        <v>2340034</v>
      </c>
    </row>
    <row r="5" spans="1:14">
      <c r="A5" s="360" t="s">
        <v>16</v>
      </c>
      <c r="B5" s="29">
        <v>143504</v>
      </c>
      <c r="C5" s="29">
        <v>213181</v>
      </c>
      <c r="D5" s="29">
        <v>41905</v>
      </c>
      <c r="E5" s="29">
        <v>80951</v>
      </c>
      <c r="F5" s="29">
        <v>115060</v>
      </c>
      <c r="G5" s="29">
        <v>284900</v>
      </c>
      <c r="H5" s="29">
        <v>269791</v>
      </c>
      <c r="I5" s="29">
        <v>550</v>
      </c>
      <c r="J5" s="29">
        <v>36498</v>
      </c>
      <c r="K5" s="29">
        <v>76839</v>
      </c>
      <c r="L5" s="28" t="s">
        <v>15</v>
      </c>
      <c r="M5" s="28" t="s">
        <v>15</v>
      </c>
      <c r="N5" s="29">
        <v>1263178</v>
      </c>
    </row>
    <row r="6" spans="1:14">
      <c r="A6" s="360" t="s">
        <v>17</v>
      </c>
      <c r="B6" s="29">
        <v>127</v>
      </c>
      <c r="C6" s="29">
        <v>221</v>
      </c>
      <c r="D6" s="29">
        <v>21</v>
      </c>
      <c r="E6" s="29">
        <v>16</v>
      </c>
      <c r="F6" s="29">
        <v>70</v>
      </c>
      <c r="G6" s="29">
        <v>64</v>
      </c>
      <c r="H6" s="29">
        <v>435</v>
      </c>
      <c r="I6" s="28" t="s">
        <v>15</v>
      </c>
      <c r="J6" s="29">
        <v>36</v>
      </c>
      <c r="K6" s="29">
        <v>23</v>
      </c>
      <c r="L6" s="28" t="s">
        <v>15</v>
      </c>
      <c r="M6" s="28" t="s">
        <v>15</v>
      </c>
      <c r="N6" s="29">
        <v>1014</v>
      </c>
    </row>
    <row r="7" spans="1:14">
      <c r="A7" s="360" t="s">
        <v>18</v>
      </c>
      <c r="B7" s="29">
        <v>34424</v>
      </c>
      <c r="C7" s="29">
        <v>34264</v>
      </c>
      <c r="D7" s="29">
        <v>9691</v>
      </c>
      <c r="E7" s="29">
        <v>21124</v>
      </c>
      <c r="F7" s="29">
        <v>20139</v>
      </c>
      <c r="G7" s="29">
        <v>81226</v>
      </c>
      <c r="H7" s="29">
        <v>60578</v>
      </c>
      <c r="I7" s="29">
        <v>118</v>
      </c>
      <c r="J7" s="29">
        <v>6794</v>
      </c>
      <c r="K7" s="29">
        <v>15234</v>
      </c>
      <c r="L7" s="28" t="s">
        <v>15</v>
      </c>
      <c r="M7" s="28" t="s">
        <v>15</v>
      </c>
      <c r="N7" s="29">
        <v>283592</v>
      </c>
    </row>
    <row r="8" spans="1:14">
      <c r="A8" s="360" t="s">
        <v>19</v>
      </c>
      <c r="B8" s="29">
        <v>15434</v>
      </c>
      <c r="C8" s="29">
        <v>32400</v>
      </c>
      <c r="D8" s="29">
        <v>7846</v>
      </c>
      <c r="E8" s="29">
        <v>12482</v>
      </c>
      <c r="F8" s="29">
        <v>16518</v>
      </c>
      <c r="G8" s="29">
        <v>30858</v>
      </c>
      <c r="H8" s="29">
        <v>32940</v>
      </c>
      <c r="I8" s="29">
        <v>66</v>
      </c>
      <c r="J8" s="29">
        <v>5148</v>
      </c>
      <c r="K8" s="29">
        <v>9803</v>
      </c>
      <c r="L8" s="28" t="s">
        <v>15</v>
      </c>
      <c r="M8" s="28" t="s">
        <v>15</v>
      </c>
      <c r="N8" s="29">
        <v>163497</v>
      </c>
    </row>
    <row r="9" spans="1:14">
      <c r="A9" s="360" t="s">
        <v>20</v>
      </c>
      <c r="B9" s="28" t="s">
        <v>15</v>
      </c>
      <c r="C9" s="28" t="s">
        <v>15</v>
      </c>
      <c r="D9" s="28" t="s">
        <v>15</v>
      </c>
      <c r="E9" s="28" t="s">
        <v>15</v>
      </c>
      <c r="F9" s="28" t="s">
        <v>15</v>
      </c>
      <c r="G9" s="28" t="s">
        <v>15</v>
      </c>
      <c r="H9" s="28" t="s">
        <v>15</v>
      </c>
      <c r="I9" s="28" t="s">
        <v>15</v>
      </c>
      <c r="J9" s="28" t="s">
        <v>15</v>
      </c>
      <c r="K9" s="28" t="s">
        <v>15</v>
      </c>
      <c r="L9" s="29">
        <v>352591</v>
      </c>
      <c r="M9" s="28" t="s">
        <v>15</v>
      </c>
      <c r="N9" s="29">
        <v>352591</v>
      </c>
    </row>
    <row r="10" spans="1:14">
      <c r="A10" s="360"/>
      <c r="B10" s="28"/>
      <c r="C10" s="28"/>
      <c r="D10" s="28"/>
      <c r="E10" s="28"/>
      <c r="F10" s="28"/>
      <c r="G10" s="28"/>
      <c r="H10" s="28"/>
      <c r="I10" s="28"/>
      <c r="J10" s="28"/>
      <c r="K10" s="28"/>
      <c r="L10" s="29"/>
      <c r="M10" s="28"/>
      <c r="N10" s="29"/>
    </row>
    <row r="11" spans="1:14">
      <c r="A11" s="360" t="s">
        <v>21</v>
      </c>
      <c r="B11" s="29">
        <v>450</v>
      </c>
      <c r="C11" s="28" t="s">
        <v>15</v>
      </c>
      <c r="D11" s="28" t="s">
        <v>15</v>
      </c>
      <c r="E11" s="28" t="s">
        <v>15</v>
      </c>
      <c r="F11" s="29">
        <v>1595</v>
      </c>
      <c r="G11" s="29">
        <v>296067</v>
      </c>
      <c r="H11" s="29">
        <v>105630</v>
      </c>
      <c r="I11" s="29">
        <v>25</v>
      </c>
      <c r="J11" s="29">
        <v>11</v>
      </c>
      <c r="K11" s="28" t="s">
        <v>15</v>
      </c>
      <c r="L11" s="28" t="s">
        <v>15</v>
      </c>
      <c r="M11" s="28" t="s">
        <v>15</v>
      </c>
      <c r="N11" s="29">
        <v>403780</v>
      </c>
    </row>
    <row r="12" spans="1:14">
      <c r="A12" s="360" t="s">
        <v>22</v>
      </c>
      <c r="B12" s="29">
        <v>38</v>
      </c>
      <c r="C12" s="28" t="s">
        <v>15</v>
      </c>
      <c r="D12" s="29">
        <v>180</v>
      </c>
      <c r="E12" s="29">
        <v>126</v>
      </c>
      <c r="F12" s="29">
        <v>216</v>
      </c>
      <c r="G12" s="29">
        <v>16898</v>
      </c>
      <c r="H12" s="29">
        <v>13564</v>
      </c>
      <c r="I12" s="28" t="s">
        <v>15</v>
      </c>
      <c r="J12" s="28" t="s">
        <v>15</v>
      </c>
      <c r="K12" s="28" t="s">
        <v>15</v>
      </c>
      <c r="L12" s="28" t="s">
        <v>15</v>
      </c>
      <c r="M12" s="28" t="s">
        <v>15</v>
      </c>
      <c r="N12" s="29">
        <v>31022</v>
      </c>
    </row>
    <row r="13" spans="1:14">
      <c r="A13" s="360" t="s">
        <v>23</v>
      </c>
      <c r="B13" s="29">
        <v>637</v>
      </c>
      <c r="C13" s="29">
        <v>31048</v>
      </c>
      <c r="D13" s="29">
        <v>1903</v>
      </c>
      <c r="E13" s="29">
        <v>10614</v>
      </c>
      <c r="F13" s="29">
        <v>8830</v>
      </c>
      <c r="G13" s="29">
        <v>43896</v>
      </c>
      <c r="H13" s="29">
        <v>53353</v>
      </c>
      <c r="I13" s="29">
        <v>51</v>
      </c>
      <c r="J13" s="29">
        <v>391</v>
      </c>
      <c r="K13" s="29">
        <v>388</v>
      </c>
      <c r="L13" s="28" t="s">
        <v>15</v>
      </c>
      <c r="M13" s="28" t="s">
        <v>15</v>
      </c>
      <c r="N13" s="29">
        <v>151111</v>
      </c>
    </row>
    <row r="14" spans="1:14">
      <c r="A14" s="360" t="s">
        <v>24</v>
      </c>
      <c r="B14" s="29">
        <v>777</v>
      </c>
      <c r="C14" s="29">
        <v>44597</v>
      </c>
      <c r="D14" s="29">
        <v>739</v>
      </c>
      <c r="E14" s="29">
        <v>2839</v>
      </c>
      <c r="F14" s="29">
        <v>4302</v>
      </c>
      <c r="G14" s="29">
        <v>39804</v>
      </c>
      <c r="H14" s="29">
        <v>19725</v>
      </c>
      <c r="I14" s="29">
        <v>26</v>
      </c>
      <c r="J14" s="29">
        <v>6046</v>
      </c>
      <c r="K14" s="29">
        <v>11574</v>
      </c>
      <c r="L14" s="28" t="s">
        <v>15</v>
      </c>
      <c r="M14" s="28" t="s">
        <v>15</v>
      </c>
      <c r="N14" s="29">
        <v>130427</v>
      </c>
    </row>
    <row r="15" spans="1:14">
      <c r="A15" s="360" t="s">
        <v>25</v>
      </c>
      <c r="B15" s="29">
        <v>184</v>
      </c>
      <c r="C15" s="29">
        <v>58</v>
      </c>
      <c r="D15" s="29">
        <v>7</v>
      </c>
      <c r="E15" s="29">
        <v>64</v>
      </c>
      <c r="F15" s="29">
        <v>10</v>
      </c>
      <c r="G15" s="29">
        <v>135</v>
      </c>
      <c r="H15" s="29">
        <v>146</v>
      </c>
      <c r="I15" s="28" t="s">
        <v>15</v>
      </c>
      <c r="J15" s="29">
        <v>1115</v>
      </c>
      <c r="K15" s="29">
        <v>76</v>
      </c>
      <c r="L15" s="28" t="s">
        <v>15</v>
      </c>
      <c r="M15" s="28" t="s">
        <v>15</v>
      </c>
      <c r="N15" s="29">
        <v>1796</v>
      </c>
    </row>
    <row r="16" spans="1:14">
      <c r="A16" s="360" t="s">
        <v>26</v>
      </c>
      <c r="B16" s="29">
        <v>2959</v>
      </c>
      <c r="C16" s="29">
        <v>1104</v>
      </c>
      <c r="D16" s="29">
        <v>191</v>
      </c>
      <c r="E16" s="29">
        <v>520</v>
      </c>
      <c r="F16" s="29">
        <v>1247</v>
      </c>
      <c r="G16" s="29">
        <v>775</v>
      </c>
      <c r="H16" s="29">
        <v>2412</v>
      </c>
      <c r="I16" s="28" t="s">
        <v>15</v>
      </c>
      <c r="J16" s="29">
        <v>299</v>
      </c>
      <c r="K16" s="29">
        <v>2198</v>
      </c>
      <c r="L16" s="28" t="s">
        <v>15</v>
      </c>
      <c r="M16" s="28" t="s">
        <v>15</v>
      </c>
      <c r="N16" s="29">
        <v>11706</v>
      </c>
    </row>
    <row r="17" spans="1:14">
      <c r="A17" s="360" t="s">
        <v>27</v>
      </c>
      <c r="B17" s="29">
        <v>12652</v>
      </c>
      <c r="C17" s="29">
        <v>62315</v>
      </c>
      <c r="D17" s="29">
        <v>2233</v>
      </c>
      <c r="E17" s="29">
        <v>9215</v>
      </c>
      <c r="F17" s="29">
        <v>43746</v>
      </c>
      <c r="G17" s="29">
        <v>3364</v>
      </c>
      <c r="H17" s="29">
        <v>49468</v>
      </c>
      <c r="I17" s="29">
        <v>37</v>
      </c>
      <c r="J17" s="29">
        <v>1883</v>
      </c>
      <c r="K17" s="29">
        <v>29464</v>
      </c>
      <c r="L17" s="28" t="s">
        <v>15</v>
      </c>
      <c r="M17" s="28" t="s">
        <v>15</v>
      </c>
      <c r="N17" s="29">
        <v>214378</v>
      </c>
    </row>
    <row r="18" spans="1:14">
      <c r="A18" s="360"/>
      <c r="B18" s="29"/>
      <c r="C18" s="29"/>
      <c r="D18" s="29"/>
      <c r="E18" s="29"/>
      <c r="F18" s="29"/>
      <c r="G18" s="29"/>
      <c r="H18" s="29"/>
      <c r="I18" s="29"/>
      <c r="J18" s="29"/>
      <c r="K18" s="29"/>
      <c r="L18" s="28"/>
      <c r="M18" s="28"/>
      <c r="N18" s="29"/>
    </row>
    <row r="19" spans="1:14">
      <c r="A19" s="360" t="s">
        <v>28</v>
      </c>
      <c r="B19" s="29">
        <v>2115</v>
      </c>
      <c r="C19" s="29">
        <v>367</v>
      </c>
      <c r="D19" s="29">
        <v>94</v>
      </c>
      <c r="E19" s="29">
        <v>140</v>
      </c>
      <c r="F19" s="29">
        <v>879</v>
      </c>
      <c r="G19" s="29">
        <v>316</v>
      </c>
      <c r="H19" s="29">
        <v>1729</v>
      </c>
      <c r="I19" s="28" t="s">
        <v>15</v>
      </c>
      <c r="J19" s="29">
        <v>36</v>
      </c>
      <c r="K19" s="29">
        <v>473</v>
      </c>
      <c r="L19" s="28" t="s">
        <v>15</v>
      </c>
      <c r="M19" s="28" t="s">
        <v>15</v>
      </c>
      <c r="N19" s="29">
        <v>6149</v>
      </c>
    </row>
    <row r="20" spans="1:14">
      <c r="A20" s="360" t="s">
        <v>29</v>
      </c>
      <c r="B20" s="29">
        <v>1055</v>
      </c>
      <c r="C20" s="29">
        <v>93</v>
      </c>
      <c r="D20" s="29">
        <v>124</v>
      </c>
      <c r="E20" s="29">
        <v>22</v>
      </c>
      <c r="F20" s="29">
        <v>815</v>
      </c>
      <c r="G20" s="29">
        <v>194</v>
      </c>
      <c r="H20" s="29">
        <v>512</v>
      </c>
      <c r="I20" s="28" t="s">
        <v>15</v>
      </c>
      <c r="J20" s="29">
        <v>19</v>
      </c>
      <c r="K20" s="29">
        <v>79</v>
      </c>
      <c r="L20" s="28" t="s">
        <v>15</v>
      </c>
      <c r="M20" s="28" t="s">
        <v>15</v>
      </c>
      <c r="N20" s="29">
        <v>2913</v>
      </c>
    </row>
    <row r="21" spans="1:14">
      <c r="A21" s="360" t="s">
        <v>30</v>
      </c>
      <c r="B21" s="29">
        <v>4333</v>
      </c>
      <c r="C21" s="29">
        <v>1363</v>
      </c>
      <c r="D21" s="29">
        <v>612</v>
      </c>
      <c r="E21" s="29">
        <v>872</v>
      </c>
      <c r="F21" s="29">
        <v>1652</v>
      </c>
      <c r="G21" s="29">
        <v>2956</v>
      </c>
      <c r="H21" s="29">
        <v>3528</v>
      </c>
      <c r="I21" s="29">
        <v>14</v>
      </c>
      <c r="J21" s="29">
        <v>432</v>
      </c>
      <c r="K21" s="29">
        <v>1116</v>
      </c>
      <c r="L21" s="28" t="s">
        <v>15</v>
      </c>
      <c r="M21" s="28" t="s">
        <v>15</v>
      </c>
      <c r="N21" s="29">
        <v>16879</v>
      </c>
    </row>
    <row r="22" spans="1:14">
      <c r="A22" s="360" t="s">
        <v>31</v>
      </c>
      <c r="B22" s="29">
        <v>8460</v>
      </c>
      <c r="C22" s="29">
        <v>4520</v>
      </c>
      <c r="D22" s="29">
        <v>95</v>
      </c>
      <c r="E22" s="28" t="s">
        <v>15</v>
      </c>
      <c r="F22" s="29">
        <v>1166</v>
      </c>
      <c r="G22" s="28" t="s">
        <v>15</v>
      </c>
      <c r="H22" s="29">
        <v>6810</v>
      </c>
      <c r="I22" s="28" t="s">
        <v>15</v>
      </c>
      <c r="J22" s="29">
        <v>624</v>
      </c>
      <c r="K22" s="28" t="s">
        <v>15</v>
      </c>
      <c r="L22" s="28" t="s">
        <v>15</v>
      </c>
      <c r="M22" s="28" t="s">
        <v>15</v>
      </c>
      <c r="N22" s="29">
        <v>21675</v>
      </c>
    </row>
    <row r="23" spans="1:14">
      <c r="A23" s="360"/>
      <c r="B23" s="29"/>
      <c r="C23" s="29"/>
      <c r="D23" s="29"/>
      <c r="E23" s="28"/>
      <c r="F23" s="29"/>
      <c r="G23" s="28"/>
      <c r="H23" s="29"/>
      <c r="I23" s="28"/>
      <c r="J23" s="29"/>
      <c r="K23" s="28"/>
      <c r="L23" s="28"/>
      <c r="M23" s="28"/>
      <c r="N23" s="29"/>
    </row>
    <row r="24" spans="1:14">
      <c r="A24" s="360"/>
      <c r="B24" s="29"/>
      <c r="C24" s="29"/>
      <c r="D24" s="29"/>
      <c r="E24" s="28"/>
      <c r="F24" s="29"/>
      <c r="G24" s="28"/>
      <c r="H24" s="29"/>
      <c r="I24" s="28"/>
      <c r="J24" s="29"/>
      <c r="K24" s="28"/>
      <c r="L24" s="28"/>
      <c r="M24" s="28"/>
      <c r="N24" s="29"/>
    </row>
    <row r="25" spans="1:14">
      <c r="A25" s="360" t="s">
        <v>32</v>
      </c>
      <c r="B25" s="29">
        <v>560</v>
      </c>
      <c r="C25" s="28" t="s">
        <v>15</v>
      </c>
      <c r="D25" s="29">
        <v>113</v>
      </c>
      <c r="E25" s="28" t="s">
        <v>15</v>
      </c>
      <c r="F25" s="29">
        <v>19</v>
      </c>
      <c r="G25" s="29">
        <v>2</v>
      </c>
      <c r="H25" s="29">
        <v>1213</v>
      </c>
      <c r="I25" s="28" t="s">
        <v>15</v>
      </c>
      <c r="J25" s="29">
        <v>15</v>
      </c>
      <c r="K25" s="29">
        <v>51</v>
      </c>
      <c r="L25" s="28" t="s">
        <v>15</v>
      </c>
      <c r="M25" s="28" t="s">
        <v>15</v>
      </c>
      <c r="N25" s="29">
        <v>1972</v>
      </c>
    </row>
    <row r="26" spans="1:14">
      <c r="A26" s="360" t="s">
        <v>34</v>
      </c>
      <c r="B26" s="28" t="s">
        <v>15</v>
      </c>
      <c r="C26" s="28" t="s">
        <v>15</v>
      </c>
      <c r="D26" s="28" t="s">
        <v>15</v>
      </c>
      <c r="E26" s="28" t="s">
        <v>15</v>
      </c>
      <c r="F26" s="28" t="s">
        <v>15</v>
      </c>
      <c r="G26" s="28" t="s">
        <v>15</v>
      </c>
      <c r="H26" s="28" t="s">
        <v>15</v>
      </c>
      <c r="I26" s="28" t="s">
        <v>15</v>
      </c>
      <c r="J26" s="29">
        <v>233330</v>
      </c>
      <c r="K26" s="28" t="s">
        <v>15</v>
      </c>
      <c r="L26" s="28" t="s">
        <v>15</v>
      </c>
      <c r="M26" s="28" t="s">
        <v>15</v>
      </c>
      <c r="N26" s="29">
        <v>233330</v>
      </c>
    </row>
    <row r="27" spans="1:14">
      <c r="A27" s="360" t="s">
        <v>35</v>
      </c>
      <c r="B27" s="28" t="s">
        <v>15</v>
      </c>
      <c r="C27" s="28" t="s">
        <v>15</v>
      </c>
      <c r="D27" s="28" t="s">
        <v>15</v>
      </c>
      <c r="E27" s="28" t="s">
        <v>15</v>
      </c>
      <c r="F27" s="28" t="s">
        <v>15</v>
      </c>
      <c r="G27" s="28" t="s">
        <v>15</v>
      </c>
      <c r="H27" s="28" t="s">
        <v>15</v>
      </c>
      <c r="I27" s="28" t="s">
        <v>15</v>
      </c>
      <c r="J27" s="29">
        <v>298491</v>
      </c>
      <c r="K27" s="28" t="s">
        <v>15</v>
      </c>
      <c r="L27" s="28" t="s">
        <v>15</v>
      </c>
      <c r="M27" s="28" t="s">
        <v>15</v>
      </c>
      <c r="N27" s="29">
        <v>298491</v>
      </c>
    </row>
    <row r="28" spans="1:14">
      <c r="A28" s="360" t="s">
        <v>36</v>
      </c>
      <c r="B28" s="29">
        <v>1517</v>
      </c>
      <c r="C28" s="29">
        <v>-2109</v>
      </c>
      <c r="D28" s="29">
        <v>36034</v>
      </c>
      <c r="E28" s="29">
        <v>11755</v>
      </c>
      <c r="F28" s="29">
        <v>82954</v>
      </c>
      <c r="G28" s="29">
        <v>11489</v>
      </c>
      <c r="H28" s="29">
        <v>2172</v>
      </c>
      <c r="I28" s="29">
        <v>32084</v>
      </c>
      <c r="J28" s="29">
        <v>434</v>
      </c>
      <c r="K28" s="29">
        <v>541</v>
      </c>
      <c r="L28" s="28" t="s">
        <v>15</v>
      </c>
      <c r="M28" s="28" t="s">
        <v>15</v>
      </c>
      <c r="N28" s="29">
        <v>176870</v>
      </c>
    </row>
    <row r="29" spans="1:14">
      <c r="A29" s="360" t="s">
        <v>37</v>
      </c>
      <c r="B29" s="29">
        <v>2653</v>
      </c>
      <c r="C29" s="29">
        <v>45350</v>
      </c>
      <c r="D29" s="29">
        <v>14347</v>
      </c>
      <c r="E29" s="29">
        <v>5400</v>
      </c>
      <c r="F29" s="29">
        <v>91653</v>
      </c>
      <c r="G29" s="29">
        <v>7260</v>
      </c>
      <c r="H29" s="29">
        <v>9044</v>
      </c>
      <c r="I29" s="28" t="s">
        <v>15</v>
      </c>
      <c r="J29" s="29">
        <v>41886</v>
      </c>
      <c r="K29" s="29">
        <v>2405</v>
      </c>
      <c r="L29" s="28" t="s">
        <v>15</v>
      </c>
      <c r="M29" s="28" t="s">
        <v>15</v>
      </c>
      <c r="N29" s="29">
        <v>219997</v>
      </c>
    </row>
    <row r="30" spans="1:14">
      <c r="A30" s="360"/>
      <c r="B30" s="29"/>
      <c r="C30" s="29"/>
      <c r="D30" s="29"/>
      <c r="E30" s="29"/>
      <c r="F30" s="29"/>
      <c r="G30" s="29"/>
      <c r="H30" s="29"/>
      <c r="I30" s="28"/>
      <c r="J30" s="29"/>
      <c r="K30" s="29"/>
      <c r="L30" s="28"/>
      <c r="M30" s="28"/>
      <c r="N30" s="29"/>
    </row>
    <row r="31" spans="1:14">
      <c r="A31" s="360" t="s">
        <v>38</v>
      </c>
      <c r="B31" s="28" t="s">
        <v>15</v>
      </c>
      <c r="C31" s="28" t="s">
        <v>15</v>
      </c>
      <c r="D31" s="28" t="s">
        <v>15</v>
      </c>
      <c r="E31" s="28" t="s">
        <v>15</v>
      </c>
      <c r="F31" s="28" t="s">
        <v>15</v>
      </c>
      <c r="G31" s="29">
        <v>39129</v>
      </c>
      <c r="H31" s="28" t="s">
        <v>15</v>
      </c>
      <c r="I31" s="29">
        <v>915343</v>
      </c>
      <c r="J31" s="29">
        <v>-8668</v>
      </c>
      <c r="K31" s="28" t="s">
        <v>15</v>
      </c>
      <c r="L31" s="28" t="s">
        <v>15</v>
      </c>
      <c r="M31" s="28" t="s">
        <v>15</v>
      </c>
      <c r="N31" s="29">
        <v>945804</v>
      </c>
    </row>
    <row r="32" spans="1:14">
      <c r="A32" s="360" t="s">
        <v>39</v>
      </c>
      <c r="B32" s="28" t="s">
        <v>15</v>
      </c>
      <c r="C32" s="29">
        <v>14373</v>
      </c>
      <c r="D32" s="29">
        <v>30</v>
      </c>
      <c r="E32" s="28" t="s">
        <v>15</v>
      </c>
      <c r="F32" s="29">
        <v>143</v>
      </c>
      <c r="G32" s="29">
        <v>12417</v>
      </c>
      <c r="H32" s="28" t="s">
        <v>15</v>
      </c>
      <c r="I32" s="28" t="s">
        <v>15</v>
      </c>
      <c r="J32" s="28" t="s">
        <v>15</v>
      </c>
      <c r="K32" s="29">
        <v>68</v>
      </c>
      <c r="L32" s="28" t="s">
        <v>15</v>
      </c>
      <c r="M32" s="28" t="s">
        <v>15</v>
      </c>
      <c r="N32" s="29">
        <v>27031</v>
      </c>
    </row>
    <row r="33" spans="1:14">
      <c r="A33" s="360" t="s">
        <v>41</v>
      </c>
      <c r="B33" s="29">
        <v>12033</v>
      </c>
      <c r="C33" s="29">
        <v>129560</v>
      </c>
      <c r="D33" s="29">
        <v>2615</v>
      </c>
      <c r="E33" s="29">
        <v>16232</v>
      </c>
      <c r="F33" s="29">
        <v>90723</v>
      </c>
      <c r="G33" s="29">
        <v>82842</v>
      </c>
      <c r="H33" s="29">
        <v>47745</v>
      </c>
      <c r="I33" s="28" t="s">
        <v>15</v>
      </c>
      <c r="J33" s="29">
        <v>58651</v>
      </c>
      <c r="K33" s="29">
        <v>5627</v>
      </c>
      <c r="L33" s="28" t="s">
        <v>15</v>
      </c>
      <c r="M33" s="28" t="s">
        <v>15</v>
      </c>
      <c r="N33" s="29">
        <v>446029</v>
      </c>
    </row>
    <row r="34" spans="1:14">
      <c r="A34" s="360" t="s">
        <v>42</v>
      </c>
      <c r="B34" s="28" t="s">
        <v>15</v>
      </c>
      <c r="C34" s="29">
        <v>499</v>
      </c>
      <c r="D34" s="29">
        <v>-22591</v>
      </c>
      <c r="E34" s="29">
        <v>13474</v>
      </c>
      <c r="F34" s="29">
        <v>39106</v>
      </c>
      <c r="G34" s="29">
        <v>5</v>
      </c>
      <c r="H34" s="29">
        <v>3619282</v>
      </c>
      <c r="I34" s="29">
        <v>255</v>
      </c>
      <c r="J34" s="28" t="s">
        <v>15</v>
      </c>
      <c r="K34" s="29">
        <v>28842</v>
      </c>
      <c r="L34" s="28" t="s">
        <v>15</v>
      </c>
      <c r="M34" s="28" t="s">
        <v>15</v>
      </c>
      <c r="N34" s="29">
        <v>3678872</v>
      </c>
    </row>
    <row r="35" spans="1:14">
      <c r="A35" s="360" t="s">
        <v>43</v>
      </c>
      <c r="B35" s="28" t="s">
        <v>15</v>
      </c>
      <c r="C35" s="28" t="s">
        <v>15</v>
      </c>
      <c r="D35" s="28" t="s">
        <v>15</v>
      </c>
      <c r="E35" s="29">
        <v>10499</v>
      </c>
      <c r="F35" s="28" t="s">
        <v>15</v>
      </c>
      <c r="G35" s="28" t="s">
        <v>15</v>
      </c>
      <c r="H35" s="28" t="s">
        <v>15</v>
      </c>
      <c r="I35" s="28" t="s">
        <v>15</v>
      </c>
      <c r="J35" s="28" t="s">
        <v>15</v>
      </c>
      <c r="K35" s="28" t="s">
        <v>15</v>
      </c>
      <c r="L35" s="28" t="s">
        <v>15</v>
      </c>
      <c r="M35" s="28" t="s">
        <v>15</v>
      </c>
      <c r="N35" s="29">
        <v>10499</v>
      </c>
    </row>
    <row r="36" spans="1:14">
      <c r="A36" s="360" t="s">
        <v>44</v>
      </c>
      <c r="B36" s="28" t="s">
        <v>15</v>
      </c>
      <c r="C36" s="28" t="s">
        <v>15</v>
      </c>
      <c r="D36" s="28" t="s">
        <v>15</v>
      </c>
      <c r="E36" s="29">
        <v>39575</v>
      </c>
      <c r="F36" s="28" t="s">
        <v>15</v>
      </c>
      <c r="G36" s="28" t="s">
        <v>15</v>
      </c>
      <c r="H36" s="28" t="s">
        <v>15</v>
      </c>
      <c r="I36" s="28" t="s">
        <v>15</v>
      </c>
      <c r="J36" s="28" t="s">
        <v>15</v>
      </c>
      <c r="K36" s="28" t="s">
        <v>15</v>
      </c>
      <c r="L36" s="28" t="s">
        <v>15</v>
      </c>
      <c r="M36" s="28" t="s">
        <v>15</v>
      </c>
      <c r="N36" s="29">
        <v>39575</v>
      </c>
    </row>
    <row r="37" spans="1:14">
      <c r="A37" s="360" t="s">
        <v>45</v>
      </c>
      <c r="B37" s="28" t="s">
        <v>15</v>
      </c>
      <c r="C37" s="28" t="s">
        <v>15</v>
      </c>
      <c r="D37" s="28" t="s">
        <v>15</v>
      </c>
      <c r="E37" s="28" t="s">
        <v>15</v>
      </c>
      <c r="F37" s="28" t="s">
        <v>15</v>
      </c>
      <c r="G37" s="28" t="s">
        <v>15</v>
      </c>
      <c r="H37" s="28" t="s">
        <v>15</v>
      </c>
      <c r="I37" s="29">
        <v>19033</v>
      </c>
      <c r="J37" s="28" t="s">
        <v>15</v>
      </c>
      <c r="K37" s="28" t="s">
        <v>15</v>
      </c>
      <c r="L37" s="28" t="s">
        <v>15</v>
      </c>
      <c r="M37" s="28" t="s">
        <v>15</v>
      </c>
      <c r="N37" s="29">
        <v>19033</v>
      </c>
    </row>
    <row r="38" spans="1:14">
      <c r="A38" s="360"/>
      <c r="B38" s="28"/>
      <c r="C38" s="28"/>
      <c r="D38" s="28"/>
      <c r="E38" s="28"/>
      <c r="F38" s="28"/>
      <c r="G38" s="28"/>
      <c r="H38" s="28"/>
      <c r="I38" s="29"/>
      <c r="J38" s="28"/>
      <c r="K38" s="28"/>
      <c r="L38" s="28"/>
      <c r="M38" s="28"/>
      <c r="N38" s="29"/>
    </row>
    <row r="39" spans="1:14">
      <c r="A39" s="360" t="s">
        <v>46</v>
      </c>
      <c r="B39" s="29">
        <v>225</v>
      </c>
      <c r="C39" s="28" t="s">
        <v>15</v>
      </c>
      <c r="D39" s="28" t="s">
        <v>15</v>
      </c>
      <c r="E39" s="29">
        <v>232</v>
      </c>
      <c r="F39" s="28" t="s">
        <v>15</v>
      </c>
      <c r="G39" s="28" t="s">
        <v>15</v>
      </c>
      <c r="H39" s="28" t="s">
        <v>15</v>
      </c>
      <c r="I39" s="28" t="s">
        <v>15</v>
      </c>
      <c r="J39" s="28" t="s">
        <v>15</v>
      </c>
      <c r="K39" s="29">
        <v>7</v>
      </c>
      <c r="L39" s="28" t="s">
        <v>15</v>
      </c>
      <c r="M39" s="28" t="s">
        <v>15</v>
      </c>
      <c r="N39" s="29">
        <v>464</v>
      </c>
    </row>
    <row r="40" spans="1:14">
      <c r="A40" s="360"/>
      <c r="B40" s="29"/>
      <c r="C40" s="28"/>
      <c r="D40" s="28"/>
      <c r="E40" s="29"/>
      <c r="F40" s="28"/>
      <c r="G40" s="28"/>
      <c r="H40" s="28"/>
      <c r="I40" s="28"/>
      <c r="J40" s="28"/>
      <c r="K40" s="29"/>
      <c r="L40" s="28"/>
      <c r="M40" s="28"/>
      <c r="N40" s="29"/>
    </row>
    <row r="41" spans="1:14">
      <c r="A41" s="360" t="s">
        <v>47</v>
      </c>
      <c r="B41" s="28" t="s">
        <v>15</v>
      </c>
      <c r="C41" s="28" t="s">
        <v>15</v>
      </c>
      <c r="D41" s="28" t="s">
        <v>15</v>
      </c>
      <c r="E41" s="28" t="s">
        <v>15</v>
      </c>
      <c r="F41" s="28" t="s">
        <v>15</v>
      </c>
      <c r="G41" s="28" t="s">
        <v>15</v>
      </c>
      <c r="H41" s="28" t="s">
        <v>15</v>
      </c>
      <c r="I41" s="29">
        <v>15940</v>
      </c>
      <c r="J41" s="28" t="s">
        <v>15</v>
      </c>
      <c r="K41" s="28" t="s">
        <v>15</v>
      </c>
      <c r="L41" s="28" t="s">
        <v>15</v>
      </c>
      <c r="M41" s="28" t="s">
        <v>15</v>
      </c>
      <c r="N41" s="29">
        <v>15940</v>
      </c>
    </row>
    <row r="42" spans="1:14">
      <c r="A42" s="360" t="s">
        <v>48</v>
      </c>
      <c r="B42" s="29">
        <v>509</v>
      </c>
      <c r="C42" s="29">
        <v>596</v>
      </c>
      <c r="D42" s="29">
        <v>0</v>
      </c>
      <c r="E42" s="29">
        <v>405</v>
      </c>
      <c r="F42" s="29">
        <v>1609</v>
      </c>
      <c r="G42" s="29">
        <v>257</v>
      </c>
      <c r="H42" s="29">
        <v>1604</v>
      </c>
      <c r="I42" s="29">
        <v>89</v>
      </c>
      <c r="J42" s="29">
        <v>0</v>
      </c>
      <c r="K42" s="29">
        <v>876</v>
      </c>
      <c r="L42" s="28" t="s">
        <v>15</v>
      </c>
      <c r="M42" s="28" t="s">
        <v>15</v>
      </c>
      <c r="N42" s="29">
        <v>5945</v>
      </c>
    </row>
    <row r="43" spans="1:14">
      <c r="A43" s="360" t="s">
        <v>49</v>
      </c>
      <c r="B43" s="29">
        <v>181</v>
      </c>
      <c r="C43" s="29">
        <v>139</v>
      </c>
      <c r="D43" s="29">
        <v>0</v>
      </c>
      <c r="E43" s="29">
        <v>116</v>
      </c>
      <c r="F43" s="29">
        <v>464</v>
      </c>
      <c r="G43" s="29">
        <v>102</v>
      </c>
      <c r="H43" s="29">
        <v>343</v>
      </c>
      <c r="I43" s="29">
        <v>25</v>
      </c>
      <c r="J43" s="29">
        <v>0</v>
      </c>
      <c r="K43" s="29">
        <v>268</v>
      </c>
      <c r="L43" s="28" t="s">
        <v>15</v>
      </c>
      <c r="M43" s="28" t="s">
        <v>15</v>
      </c>
      <c r="N43" s="29">
        <v>1638</v>
      </c>
    </row>
    <row r="44" spans="1:14">
      <c r="A44" s="360" t="s">
        <v>50</v>
      </c>
      <c r="B44" s="29">
        <v>179</v>
      </c>
      <c r="C44" s="29">
        <v>299</v>
      </c>
      <c r="D44" s="29">
        <v>43</v>
      </c>
      <c r="E44" s="29">
        <v>84</v>
      </c>
      <c r="F44" s="29">
        <v>386</v>
      </c>
      <c r="G44" s="29">
        <v>67</v>
      </c>
      <c r="H44" s="29">
        <v>673</v>
      </c>
      <c r="I44" s="29">
        <v>4</v>
      </c>
      <c r="J44" s="29">
        <v>0</v>
      </c>
      <c r="K44" s="29">
        <v>922</v>
      </c>
      <c r="L44" s="28" t="s">
        <v>15</v>
      </c>
      <c r="M44" s="28" t="s">
        <v>15</v>
      </c>
      <c r="N44" s="29">
        <v>2656</v>
      </c>
    </row>
    <row r="45" spans="1:14">
      <c r="A45" s="360" t="s">
        <v>51</v>
      </c>
      <c r="B45" s="29">
        <v>2245</v>
      </c>
      <c r="C45" s="29">
        <v>67</v>
      </c>
      <c r="D45" s="28" t="s">
        <v>15</v>
      </c>
      <c r="E45" s="28" t="s">
        <v>15</v>
      </c>
      <c r="F45" s="28" t="s">
        <v>15</v>
      </c>
      <c r="G45" s="29">
        <v>161</v>
      </c>
      <c r="H45" s="29">
        <v>242</v>
      </c>
      <c r="I45" s="28" t="s">
        <v>15</v>
      </c>
      <c r="J45" s="29">
        <v>63</v>
      </c>
      <c r="K45" s="29">
        <v>174</v>
      </c>
      <c r="L45" s="28" t="s">
        <v>15</v>
      </c>
      <c r="M45" s="28" t="s">
        <v>15</v>
      </c>
      <c r="N45" s="29">
        <v>2951</v>
      </c>
    </row>
    <row r="46" spans="1:14">
      <c r="A46" s="360" t="s">
        <v>52</v>
      </c>
      <c r="B46" s="29">
        <v>2076</v>
      </c>
      <c r="C46" s="29">
        <v>30</v>
      </c>
      <c r="D46" s="29">
        <v>115</v>
      </c>
      <c r="E46" s="28" t="s">
        <v>15</v>
      </c>
      <c r="F46" s="28" t="s">
        <v>15</v>
      </c>
      <c r="G46" s="29">
        <v>42</v>
      </c>
      <c r="H46" s="29">
        <v>63</v>
      </c>
      <c r="I46" s="28" t="s">
        <v>15</v>
      </c>
      <c r="J46" s="29">
        <v>22</v>
      </c>
      <c r="K46" s="29">
        <v>58</v>
      </c>
      <c r="L46" s="28" t="s">
        <v>15</v>
      </c>
      <c r="M46" s="28" t="s">
        <v>15</v>
      </c>
      <c r="N46" s="29">
        <v>2406</v>
      </c>
    </row>
    <row r="47" spans="1:14">
      <c r="A47" s="360" t="s">
        <v>53</v>
      </c>
      <c r="B47" s="29">
        <v>1041</v>
      </c>
      <c r="C47" s="29">
        <v>82</v>
      </c>
      <c r="D47" s="28" t="s">
        <v>15</v>
      </c>
      <c r="E47" s="28" t="s">
        <v>15</v>
      </c>
      <c r="F47" s="28" t="s">
        <v>15</v>
      </c>
      <c r="G47" s="28" t="s">
        <v>15</v>
      </c>
      <c r="H47" s="28" t="s">
        <v>15</v>
      </c>
      <c r="I47" s="28" t="s">
        <v>15</v>
      </c>
      <c r="J47" s="29">
        <v>89</v>
      </c>
      <c r="K47" s="29">
        <v>45</v>
      </c>
      <c r="L47" s="28" t="s">
        <v>15</v>
      </c>
      <c r="M47" s="28" t="s">
        <v>15</v>
      </c>
      <c r="N47" s="29">
        <v>1256</v>
      </c>
    </row>
    <row r="48" spans="1:14">
      <c r="A48" s="360" t="s">
        <v>54</v>
      </c>
      <c r="B48" s="29">
        <v>41</v>
      </c>
      <c r="C48" s="28" t="s">
        <v>15</v>
      </c>
      <c r="D48" s="28" t="s">
        <v>15</v>
      </c>
      <c r="E48" s="28" t="s">
        <v>15</v>
      </c>
      <c r="F48" s="28" t="s">
        <v>15</v>
      </c>
      <c r="G48" s="28" t="s">
        <v>15</v>
      </c>
      <c r="H48" s="29">
        <v>4</v>
      </c>
      <c r="I48" s="28" t="s">
        <v>15</v>
      </c>
      <c r="J48" s="28" t="s">
        <v>15</v>
      </c>
      <c r="K48" s="28" t="s">
        <v>15</v>
      </c>
      <c r="L48" s="28" t="s">
        <v>15</v>
      </c>
      <c r="M48" s="28" t="s">
        <v>15</v>
      </c>
      <c r="N48" s="29">
        <v>45</v>
      </c>
    </row>
    <row r="49" spans="1:16">
      <c r="A49" s="360" t="s">
        <v>55</v>
      </c>
      <c r="B49" s="28" t="s">
        <v>15</v>
      </c>
      <c r="C49" s="28" t="s">
        <v>15</v>
      </c>
      <c r="D49" s="28" t="s">
        <v>15</v>
      </c>
      <c r="E49" s="28" t="s">
        <v>15</v>
      </c>
      <c r="F49" s="28" t="s">
        <v>15</v>
      </c>
      <c r="G49" s="28" t="s">
        <v>15</v>
      </c>
      <c r="H49" s="28" t="s">
        <v>15</v>
      </c>
      <c r="I49" s="29">
        <v>1022</v>
      </c>
      <c r="J49" s="28" t="s">
        <v>15</v>
      </c>
      <c r="K49" s="28" t="s">
        <v>15</v>
      </c>
      <c r="L49" s="28" t="s">
        <v>15</v>
      </c>
      <c r="M49" s="28" t="s">
        <v>15</v>
      </c>
      <c r="N49" s="29">
        <v>1022</v>
      </c>
    </row>
    <row r="50" spans="1:16">
      <c r="A50" s="360" t="s">
        <v>56</v>
      </c>
      <c r="B50" s="28" t="s">
        <v>15</v>
      </c>
      <c r="C50" s="28" t="s">
        <v>15</v>
      </c>
      <c r="D50" s="28" t="s">
        <v>15</v>
      </c>
      <c r="E50" s="28" t="s">
        <v>15</v>
      </c>
      <c r="F50" s="28" t="s">
        <v>15</v>
      </c>
      <c r="G50" s="28" t="s">
        <v>15</v>
      </c>
      <c r="H50" s="28" t="s">
        <v>15</v>
      </c>
      <c r="I50" s="29">
        <v>148354</v>
      </c>
      <c r="J50" s="28" t="s">
        <v>15</v>
      </c>
      <c r="K50" s="28" t="s">
        <v>15</v>
      </c>
      <c r="L50" s="28" t="s">
        <v>15</v>
      </c>
      <c r="M50" s="28" t="s">
        <v>15</v>
      </c>
      <c r="N50" s="29">
        <v>148354</v>
      </c>
    </row>
    <row r="51" spans="1:16">
      <c r="A51" s="360" t="s">
        <v>57</v>
      </c>
      <c r="B51" s="28" t="s">
        <v>15</v>
      </c>
      <c r="C51" s="28" t="s">
        <v>15</v>
      </c>
      <c r="D51" s="29">
        <v>1111</v>
      </c>
      <c r="E51" s="29">
        <v>126252</v>
      </c>
      <c r="F51" s="28" t="s">
        <v>15</v>
      </c>
      <c r="G51" s="28" t="s">
        <v>15</v>
      </c>
      <c r="H51" s="28" t="s">
        <v>15</v>
      </c>
      <c r="I51" s="28" t="s">
        <v>15</v>
      </c>
      <c r="J51" s="28" t="s">
        <v>15</v>
      </c>
      <c r="K51" s="28" t="s">
        <v>15</v>
      </c>
      <c r="L51" s="28" t="s">
        <v>15</v>
      </c>
      <c r="M51" s="28" t="s">
        <v>15</v>
      </c>
      <c r="N51" s="29">
        <v>127363</v>
      </c>
    </row>
    <row r="52" spans="1:16">
      <c r="A52" s="360" t="s">
        <v>58</v>
      </c>
      <c r="B52" s="28" t="s">
        <v>15</v>
      </c>
      <c r="C52" s="28" t="s">
        <v>15</v>
      </c>
      <c r="D52" s="29">
        <v>10988</v>
      </c>
      <c r="E52" s="29">
        <v>136958</v>
      </c>
      <c r="F52" s="28" t="s">
        <v>15</v>
      </c>
      <c r="G52" s="28" t="s">
        <v>15</v>
      </c>
      <c r="H52" s="28" t="s">
        <v>15</v>
      </c>
      <c r="I52" s="28" t="s">
        <v>15</v>
      </c>
      <c r="J52" s="28" t="s">
        <v>15</v>
      </c>
      <c r="K52" s="28" t="s">
        <v>15</v>
      </c>
      <c r="L52" s="28" t="s">
        <v>15</v>
      </c>
      <c r="M52" s="28" t="s">
        <v>15</v>
      </c>
      <c r="N52" s="29">
        <v>147947</v>
      </c>
    </row>
    <row r="53" spans="1:16">
      <c r="A53" s="360" t="s">
        <v>59</v>
      </c>
      <c r="B53" s="29">
        <v>923</v>
      </c>
      <c r="C53" s="29">
        <v>8495</v>
      </c>
      <c r="D53" s="29">
        <v>945</v>
      </c>
      <c r="E53" s="29">
        <v>243</v>
      </c>
      <c r="F53" s="29">
        <v>5019</v>
      </c>
      <c r="G53" s="29">
        <v>4243</v>
      </c>
      <c r="H53" s="29">
        <v>1956</v>
      </c>
      <c r="I53" s="28" t="s">
        <v>15</v>
      </c>
      <c r="J53" s="29">
        <v>6000</v>
      </c>
      <c r="K53" s="29">
        <v>116</v>
      </c>
      <c r="L53" s="28" t="s">
        <v>15</v>
      </c>
      <c r="M53" s="28" t="s">
        <v>15</v>
      </c>
      <c r="N53" s="29">
        <v>27941</v>
      </c>
    </row>
    <row r="54" spans="1:16">
      <c r="A54" s="360" t="s">
        <v>60</v>
      </c>
      <c r="B54" s="29">
        <v>923</v>
      </c>
      <c r="C54" s="29">
        <v>8495</v>
      </c>
      <c r="D54" s="29">
        <v>945</v>
      </c>
      <c r="E54" s="29">
        <v>243</v>
      </c>
      <c r="F54" s="29">
        <v>5019</v>
      </c>
      <c r="G54" s="29">
        <v>4243</v>
      </c>
      <c r="H54" s="29">
        <v>1956</v>
      </c>
      <c r="I54" s="28" t="s">
        <v>15</v>
      </c>
      <c r="J54" s="29">
        <v>6000</v>
      </c>
      <c r="K54" s="29">
        <v>116</v>
      </c>
      <c r="L54" s="28" t="s">
        <v>15</v>
      </c>
      <c r="M54" s="28" t="s">
        <v>15</v>
      </c>
      <c r="N54" s="29">
        <v>27941</v>
      </c>
    </row>
    <row r="55" spans="1:16">
      <c r="A55" s="360"/>
      <c r="B55" s="29"/>
      <c r="C55" s="29"/>
      <c r="D55" s="29"/>
      <c r="E55" s="29"/>
      <c r="F55" s="29"/>
      <c r="G55" s="29"/>
      <c r="H55" s="29"/>
      <c r="I55" s="28"/>
      <c r="J55" s="29"/>
      <c r="K55" s="29"/>
      <c r="L55" s="28"/>
      <c r="M55" s="28"/>
      <c r="N55" s="29"/>
    </row>
    <row r="56" spans="1:16">
      <c r="A56" s="360" t="s">
        <v>61</v>
      </c>
      <c r="B56" s="29">
        <v>129</v>
      </c>
      <c r="C56" s="29">
        <v>1978</v>
      </c>
      <c r="D56" s="29">
        <v>789</v>
      </c>
      <c r="E56" s="29">
        <v>2859</v>
      </c>
      <c r="F56" s="29">
        <v>10959</v>
      </c>
      <c r="G56" s="29">
        <v>4415</v>
      </c>
      <c r="H56" s="29">
        <v>1624</v>
      </c>
      <c r="I56" s="29">
        <v>43</v>
      </c>
      <c r="J56" s="29">
        <v>1345</v>
      </c>
      <c r="K56" s="29">
        <v>315</v>
      </c>
      <c r="L56" s="28" t="s">
        <v>15</v>
      </c>
      <c r="M56" s="28" t="s">
        <v>15</v>
      </c>
      <c r="N56" s="29">
        <v>24456</v>
      </c>
    </row>
    <row r="57" spans="1:16">
      <c r="A57" s="360" t="s">
        <v>62</v>
      </c>
      <c r="B57" s="29">
        <v>0</v>
      </c>
      <c r="C57" s="29">
        <v>0</v>
      </c>
      <c r="D57" s="29">
        <v>0</v>
      </c>
      <c r="E57" s="29">
        <v>0</v>
      </c>
      <c r="F57" s="29">
        <v>0</v>
      </c>
      <c r="G57" s="29">
        <v>0</v>
      </c>
      <c r="H57" s="29">
        <v>0</v>
      </c>
      <c r="I57" s="29">
        <v>0</v>
      </c>
      <c r="J57" s="29">
        <v>0</v>
      </c>
      <c r="K57" s="29">
        <v>0</v>
      </c>
      <c r="L57" s="29">
        <v>0</v>
      </c>
      <c r="M57" s="29">
        <v>0</v>
      </c>
      <c r="N57" s="29">
        <v>0</v>
      </c>
    </row>
    <row r="58" spans="1:16">
      <c r="A58" s="360" t="s">
        <v>63</v>
      </c>
      <c r="B58" s="29">
        <v>2812</v>
      </c>
      <c r="C58" s="29">
        <v>133</v>
      </c>
      <c r="D58" s="29">
        <v>32</v>
      </c>
      <c r="E58" s="29">
        <v>101</v>
      </c>
      <c r="F58" s="29">
        <v>16335</v>
      </c>
      <c r="G58" s="29">
        <v>4</v>
      </c>
      <c r="H58" s="29">
        <v>2125</v>
      </c>
      <c r="I58" s="29">
        <v>1290</v>
      </c>
      <c r="J58" s="29">
        <v>-3723</v>
      </c>
      <c r="K58" s="29">
        <v>324073</v>
      </c>
      <c r="L58" s="29">
        <v>9454273</v>
      </c>
      <c r="M58" s="29">
        <v>3433333</v>
      </c>
      <c r="N58" s="29">
        <v>13230788</v>
      </c>
    </row>
    <row r="59" spans="1:16">
      <c r="A59" s="360" t="s">
        <v>64</v>
      </c>
      <c r="B59" s="29">
        <v>549857</v>
      </c>
      <c r="C59" s="29">
        <v>1098849</v>
      </c>
      <c r="D59" s="29">
        <v>189368</v>
      </c>
      <c r="E59" s="29">
        <v>661107</v>
      </c>
      <c r="F59" s="29">
        <v>775840</v>
      </c>
      <c r="G59" s="29">
        <v>1396239</v>
      </c>
      <c r="H59" s="29">
        <v>4787634</v>
      </c>
      <c r="I59" s="29">
        <v>1135389</v>
      </c>
      <c r="J59" s="29">
        <v>763224</v>
      </c>
      <c r="K59" s="29">
        <v>664655</v>
      </c>
      <c r="L59" s="29">
        <v>9806864</v>
      </c>
      <c r="M59" s="29">
        <v>3433333</v>
      </c>
      <c r="N59" s="29">
        <v>25262358</v>
      </c>
      <c r="P59" s="364"/>
    </row>
    <row r="60" spans="1:16">
      <c r="A60" s="360" t="s">
        <v>65</v>
      </c>
      <c r="B60" s="29">
        <v>141</v>
      </c>
      <c r="C60" s="29">
        <v>261</v>
      </c>
      <c r="D60" s="29">
        <v>0</v>
      </c>
      <c r="E60" s="29">
        <v>4729</v>
      </c>
      <c r="F60" s="29">
        <v>5282</v>
      </c>
      <c r="G60" s="29">
        <v>3934</v>
      </c>
      <c r="H60" s="29">
        <v>0</v>
      </c>
      <c r="I60" s="29">
        <v>3564</v>
      </c>
      <c r="J60" s="29">
        <v>0</v>
      </c>
      <c r="K60" s="29">
        <v>1</v>
      </c>
      <c r="L60" s="29">
        <v>9453589</v>
      </c>
      <c r="M60" s="29">
        <v>0</v>
      </c>
      <c r="N60" s="29">
        <v>9471502</v>
      </c>
    </row>
    <row r="61" spans="1:16">
      <c r="A61" s="360" t="s">
        <v>66</v>
      </c>
      <c r="B61" s="29">
        <v>549715</v>
      </c>
      <c r="C61" s="29">
        <v>1098588</v>
      </c>
      <c r="D61" s="29">
        <v>189368</v>
      </c>
      <c r="E61" s="29">
        <v>656378</v>
      </c>
      <c r="F61" s="29">
        <v>770558</v>
      </c>
      <c r="G61" s="29">
        <v>1392305</v>
      </c>
      <c r="H61" s="29">
        <v>4787634</v>
      </c>
      <c r="I61" s="29">
        <v>1131825</v>
      </c>
      <c r="J61" s="29">
        <v>763224</v>
      </c>
      <c r="K61" s="29">
        <v>664654</v>
      </c>
      <c r="L61" s="29">
        <v>353275</v>
      </c>
      <c r="M61" s="29">
        <v>3433333</v>
      </c>
      <c r="N61" s="29">
        <v>15790856</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61"/>
  <sheetViews>
    <sheetView topLeftCell="A38" workbookViewId="0">
      <selection activeCell="O61" sqref="O61"/>
    </sheetView>
  </sheetViews>
  <sheetFormatPr defaultRowHeight="15"/>
  <cols>
    <col min="1" max="1" width="14.7109375" style="363" customWidth="1"/>
    <col min="2" max="13" width="10.85546875" style="363" customWidth="1"/>
    <col min="14" max="14" width="9.140625" style="363" customWidth="1"/>
    <col min="15" max="256" width="9.140625" style="363"/>
    <col min="257" max="257" width="14.7109375" style="363" customWidth="1"/>
    <col min="258" max="269" width="10.85546875" style="363" customWidth="1"/>
    <col min="270" max="270" width="9.140625" style="363" customWidth="1"/>
    <col min="271" max="512" width="9.140625" style="363"/>
    <col min="513" max="513" width="14.7109375" style="363" customWidth="1"/>
    <col min="514" max="525" width="10.85546875" style="363" customWidth="1"/>
    <col min="526" max="526" width="9.140625" style="363" customWidth="1"/>
    <col min="527" max="768" width="9.140625" style="363"/>
    <col min="769" max="769" width="14.7109375" style="363" customWidth="1"/>
    <col min="770" max="781" width="10.85546875" style="363" customWidth="1"/>
    <col min="782" max="782" width="9.140625" style="363" customWidth="1"/>
    <col min="783" max="1024" width="9.140625" style="363"/>
    <col min="1025" max="1025" width="14.7109375" style="363" customWidth="1"/>
    <col min="1026" max="1037" width="10.85546875" style="363" customWidth="1"/>
    <col min="1038" max="1038" width="9.140625" style="363" customWidth="1"/>
    <col min="1039" max="1280" width="9.140625" style="363"/>
    <col min="1281" max="1281" width="14.7109375" style="363" customWidth="1"/>
    <col min="1282" max="1293" width="10.85546875" style="363" customWidth="1"/>
    <col min="1294" max="1294" width="9.140625" style="363" customWidth="1"/>
    <col min="1295" max="1536" width="9.140625" style="363"/>
    <col min="1537" max="1537" width="14.7109375" style="363" customWidth="1"/>
    <col min="1538" max="1549" width="10.85546875" style="363" customWidth="1"/>
    <col min="1550" max="1550" width="9.140625" style="363" customWidth="1"/>
    <col min="1551" max="1792" width="9.140625" style="363"/>
    <col min="1793" max="1793" width="14.7109375" style="363" customWidth="1"/>
    <col min="1794" max="1805" width="10.85546875" style="363" customWidth="1"/>
    <col min="1806" max="1806" width="9.140625" style="363" customWidth="1"/>
    <col min="1807" max="2048" width="9.140625" style="363"/>
    <col min="2049" max="2049" width="14.7109375" style="363" customWidth="1"/>
    <col min="2050" max="2061" width="10.85546875" style="363" customWidth="1"/>
    <col min="2062" max="2062" width="9.140625" style="363" customWidth="1"/>
    <col min="2063" max="2304" width="9.140625" style="363"/>
    <col min="2305" max="2305" width="14.7109375" style="363" customWidth="1"/>
    <col min="2306" max="2317" width="10.85546875" style="363" customWidth="1"/>
    <col min="2318" max="2318" width="9.140625" style="363" customWidth="1"/>
    <col min="2319" max="2560" width="9.140625" style="363"/>
    <col min="2561" max="2561" width="14.7109375" style="363" customWidth="1"/>
    <col min="2562" max="2573" width="10.85546875" style="363" customWidth="1"/>
    <col min="2574" max="2574" width="9.140625" style="363" customWidth="1"/>
    <col min="2575" max="2816" width="9.140625" style="363"/>
    <col min="2817" max="2817" width="14.7109375" style="363" customWidth="1"/>
    <col min="2818" max="2829" width="10.85546875" style="363" customWidth="1"/>
    <col min="2830" max="2830" width="9.140625" style="363" customWidth="1"/>
    <col min="2831" max="3072" width="9.140625" style="363"/>
    <col min="3073" max="3073" width="14.7109375" style="363" customWidth="1"/>
    <col min="3074" max="3085" width="10.85546875" style="363" customWidth="1"/>
    <col min="3086" max="3086" width="9.140625" style="363" customWidth="1"/>
    <col min="3087" max="3328" width="9.140625" style="363"/>
    <col min="3329" max="3329" width="14.7109375" style="363" customWidth="1"/>
    <col min="3330" max="3341" width="10.85546875" style="363" customWidth="1"/>
    <col min="3342" max="3342" width="9.140625" style="363" customWidth="1"/>
    <col min="3343" max="3584" width="9.140625" style="363"/>
    <col min="3585" max="3585" width="14.7109375" style="363" customWidth="1"/>
    <col min="3586" max="3597" width="10.85546875" style="363" customWidth="1"/>
    <col min="3598" max="3598" width="9.140625" style="363" customWidth="1"/>
    <col min="3599" max="3840" width="9.140625" style="363"/>
    <col min="3841" max="3841" width="14.7109375" style="363" customWidth="1"/>
    <col min="3842" max="3853" width="10.85546875" style="363" customWidth="1"/>
    <col min="3854" max="3854" width="9.140625" style="363" customWidth="1"/>
    <col min="3855" max="4096" width="9.140625" style="363"/>
    <col min="4097" max="4097" width="14.7109375" style="363" customWidth="1"/>
    <col min="4098" max="4109" width="10.85546875" style="363" customWidth="1"/>
    <col min="4110" max="4110" width="9.140625" style="363" customWidth="1"/>
    <col min="4111" max="4352" width="9.140625" style="363"/>
    <col min="4353" max="4353" width="14.7109375" style="363" customWidth="1"/>
    <col min="4354" max="4365" width="10.85546875" style="363" customWidth="1"/>
    <col min="4366" max="4366" width="9.140625" style="363" customWidth="1"/>
    <col min="4367" max="4608" width="9.140625" style="363"/>
    <col min="4609" max="4609" width="14.7109375" style="363" customWidth="1"/>
    <col min="4610" max="4621" width="10.85546875" style="363" customWidth="1"/>
    <col min="4622" max="4622" width="9.140625" style="363" customWidth="1"/>
    <col min="4623" max="4864" width="9.140625" style="363"/>
    <col min="4865" max="4865" width="14.7109375" style="363" customWidth="1"/>
    <col min="4866" max="4877" width="10.85546875" style="363" customWidth="1"/>
    <col min="4878" max="4878" width="9.140625" style="363" customWidth="1"/>
    <col min="4879" max="5120" width="9.140625" style="363"/>
    <col min="5121" max="5121" width="14.7109375" style="363" customWidth="1"/>
    <col min="5122" max="5133" width="10.85546875" style="363" customWidth="1"/>
    <col min="5134" max="5134" width="9.140625" style="363" customWidth="1"/>
    <col min="5135" max="5376" width="9.140625" style="363"/>
    <col min="5377" max="5377" width="14.7109375" style="363" customWidth="1"/>
    <col min="5378" max="5389" width="10.85546875" style="363" customWidth="1"/>
    <col min="5390" max="5390" width="9.140625" style="363" customWidth="1"/>
    <col min="5391" max="5632" width="9.140625" style="363"/>
    <col min="5633" max="5633" width="14.7109375" style="363" customWidth="1"/>
    <col min="5634" max="5645" width="10.85546875" style="363" customWidth="1"/>
    <col min="5646" max="5646" width="9.140625" style="363" customWidth="1"/>
    <col min="5647" max="5888" width="9.140625" style="363"/>
    <col min="5889" max="5889" width="14.7109375" style="363" customWidth="1"/>
    <col min="5890" max="5901" width="10.85546875" style="363" customWidth="1"/>
    <col min="5902" max="5902" width="9.140625" style="363" customWidth="1"/>
    <col min="5903" max="6144" width="9.140625" style="363"/>
    <col min="6145" max="6145" width="14.7109375" style="363" customWidth="1"/>
    <col min="6146" max="6157" width="10.85546875" style="363" customWidth="1"/>
    <col min="6158" max="6158" width="9.140625" style="363" customWidth="1"/>
    <col min="6159" max="6400" width="9.140625" style="363"/>
    <col min="6401" max="6401" width="14.7109375" style="363" customWidth="1"/>
    <col min="6402" max="6413" width="10.85546875" style="363" customWidth="1"/>
    <col min="6414" max="6414" width="9.140625" style="363" customWidth="1"/>
    <col min="6415" max="6656" width="9.140625" style="363"/>
    <col min="6657" max="6657" width="14.7109375" style="363" customWidth="1"/>
    <col min="6658" max="6669" width="10.85546875" style="363" customWidth="1"/>
    <col min="6670" max="6670" width="9.140625" style="363" customWidth="1"/>
    <col min="6671" max="6912" width="9.140625" style="363"/>
    <col min="6913" max="6913" width="14.7109375" style="363" customWidth="1"/>
    <col min="6914" max="6925" width="10.85546875" style="363" customWidth="1"/>
    <col min="6926" max="6926" width="9.140625" style="363" customWidth="1"/>
    <col min="6927" max="7168" width="9.140625" style="363"/>
    <col min="7169" max="7169" width="14.7109375" style="363" customWidth="1"/>
    <col min="7170" max="7181" width="10.85546875" style="363" customWidth="1"/>
    <col min="7182" max="7182" width="9.140625" style="363" customWidth="1"/>
    <col min="7183" max="7424" width="9.140625" style="363"/>
    <col min="7425" max="7425" width="14.7109375" style="363" customWidth="1"/>
    <col min="7426" max="7437" width="10.85546875" style="363" customWidth="1"/>
    <col min="7438" max="7438" width="9.140625" style="363" customWidth="1"/>
    <col min="7439" max="7680" width="9.140625" style="363"/>
    <col min="7681" max="7681" width="14.7109375" style="363" customWidth="1"/>
    <col min="7682" max="7693" width="10.85546875" style="363" customWidth="1"/>
    <col min="7694" max="7694" width="9.140625" style="363" customWidth="1"/>
    <col min="7695" max="7936" width="9.140625" style="363"/>
    <col min="7937" max="7937" width="14.7109375" style="363" customWidth="1"/>
    <col min="7938" max="7949" width="10.85546875" style="363" customWidth="1"/>
    <col min="7950" max="7950" width="9.140625" style="363" customWidth="1"/>
    <col min="7951" max="8192" width="9.140625" style="363"/>
    <col min="8193" max="8193" width="14.7109375" style="363" customWidth="1"/>
    <col min="8194" max="8205" width="10.85546875" style="363" customWidth="1"/>
    <col min="8206" max="8206" width="9.140625" style="363" customWidth="1"/>
    <col min="8207" max="8448" width="9.140625" style="363"/>
    <col min="8449" max="8449" width="14.7109375" style="363" customWidth="1"/>
    <col min="8450" max="8461" width="10.85546875" style="363" customWidth="1"/>
    <col min="8462" max="8462" width="9.140625" style="363" customWidth="1"/>
    <col min="8463" max="8704" width="9.140625" style="363"/>
    <col min="8705" max="8705" width="14.7109375" style="363" customWidth="1"/>
    <col min="8706" max="8717" width="10.85546875" style="363" customWidth="1"/>
    <col min="8718" max="8718" width="9.140625" style="363" customWidth="1"/>
    <col min="8719" max="8960" width="9.140625" style="363"/>
    <col min="8961" max="8961" width="14.7109375" style="363" customWidth="1"/>
    <col min="8962" max="8973" width="10.85546875" style="363" customWidth="1"/>
    <col min="8974" max="8974" width="9.140625" style="363" customWidth="1"/>
    <col min="8975" max="9216" width="9.140625" style="363"/>
    <col min="9217" max="9217" width="14.7109375" style="363" customWidth="1"/>
    <col min="9218" max="9229" width="10.85546875" style="363" customWidth="1"/>
    <col min="9230" max="9230" width="9.140625" style="363" customWidth="1"/>
    <col min="9231" max="9472" width="9.140625" style="363"/>
    <col min="9473" max="9473" width="14.7109375" style="363" customWidth="1"/>
    <col min="9474" max="9485" width="10.85546875" style="363" customWidth="1"/>
    <col min="9486" max="9486" width="9.140625" style="363" customWidth="1"/>
    <col min="9487" max="9728" width="9.140625" style="363"/>
    <col min="9729" max="9729" width="14.7109375" style="363" customWidth="1"/>
    <col min="9730" max="9741" width="10.85546875" style="363" customWidth="1"/>
    <col min="9742" max="9742" width="9.140625" style="363" customWidth="1"/>
    <col min="9743" max="9984" width="9.140625" style="363"/>
    <col min="9985" max="9985" width="14.7109375" style="363" customWidth="1"/>
    <col min="9986" max="9997" width="10.85546875" style="363" customWidth="1"/>
    <col min="9998" max="9998" width="9.140625" style="363" customWidth="1"/>
    <col min="9999" max="10240" width="9.140625" style="363"/>
    <col min="10241" max="10241" width="14.7109375" style="363" customWidth="1"/>
    <col min="10242" max="10253" width="10.85546875" style="363" customWidth="1"/>
    <col min="10254" max="10254" width="9.140625" style="363" customWidth="1"/>
    <col min="10255" max="10496" width="9.140625" style="363"/>
    <col min="10497" max="10497" width="14.7109375" style="363" customWidth="1"/>
    <col min="10498" max="10509" width="10.85546875" style="363" customWidth="1"/>
    <col min="10510" max="10510" width="9.140625" style="363" customWidth="1"/>
    <col min="10511" max="10752" width="9.140625" style="363"/>
    <col min="10753" max="10753" width="14.7109375" style="363" customWidth="1"/>
    <col min="10754" max="10765" width="10.85546875" style="363" customWidth="1"/>
    <col min="10766" max="10766" width="9.140625" style="363" customWidth="1"/>
    <col min="10767" max="11008" width="9.140625" style="363"/>
    <col min="11009" max="11009" width="14.7109375" style="363" customWidth="1"/>
    <col min="11010" max="11021" width="10.85546875" style="363" customWidth="1"/>
    <col min="11022" max="11022" width="9.140625" style="363" customWidth="1"/>
    <col min="11023" max="11264" width="9.140625" style="363"/>
    <col min="11265" max="11265" width="14.7109375" style="363" customWidth="1"/>
    <col min="11266" max="11277" width="10.85546875" style="363" customWidth="1"/>
    <col min="11278" max="11278" width="9.140625" style="363" customWidth="1"/>
    <col min="11279" max="11520" width="9.140625" style="363"/>
    <col min="11521" max="11521" width="14.7109375" style="363" customWidth="1"/>
    <col min="11522" max="11533" width="10.85546875" style="363" customWidth="1"/>
    <col min="11534" max="11534" width="9.140625" style="363" customWidth="1"/>
    <col min="11535" max="11776" width="9.140625" style="363"/>
    <col min="11777" max="11777" width="14.7109375" style="363" customWidth="1"/>
    <col min="11778" max="11789" width="10.85546875" style="363" customWidth="1"/>
    <col min="11790" max="11790" width="9.140625" style="363" customWidth="1"/>
    <col min="11791" max="12032" width="9.140625" style="363"/>
    <col min="12033" max="12033" width="14.7109375" style="363" customWidth="1"/>
    <col min="12034" max="12045" width="10.85546875" style="363" customWidth="1"/>
    <col min="12046" max="12046" width="9.140625" style="363" customWidth="1"/>
    <col min="12047" max="12288" width="9.140625" style="363"/>
    <col min="12289" max="12289" width="14.7109375" style="363" customWidth="1"/>
    <col min="12290" max="12301" width="10.85546875" style="363" customWidth="1"/>
    <col min="12302" max="12302" width="9.140625" style="363" customWidth="1"/>
    <col min="12303" max="12544" width="9.140625" style="363"/>
    <col min="12545" max="12545" width="14.7109375" style="363" customWidth="1"/>
    <col min="12546" max="12557" width="10.85546875" style="363" customWidth="1"/>
    <col min="12558" max="12558" width="9.140625" style="363" customWidth="1"/>
    <col min="12559" max="12800" width="9.140625" style="363"/>
    <col min="12801" max="12801" width="14.7109375" style="363" customWidth="1"/>
    <col min="12802" max="12813" width="10.85546875" style="363" customWidth="1"/>
    <col min="12814" max="12814" width="9.140625" style="363" customWidth="1"/>
    <col min="12815" max="13056" width="9.140625" style="363"/>
    <col min="13057" max="13057" width="14.7109375" style="363" customWidth="1"/>
    <col min="13058" max="13069" width="10.85546875" style="363" customWidth="1"/>
    <col min="13070" max="13070" width="9.140625" style="363" customWidth="1"/>
    <col min="13071" max="13312" width="9.140625" style="363"/>
    <col min="13313" max="13313" width="14.7109375" style="363" customWidth="1"/>
    <col min="13314" max="13325" width="10.85546875" style="363" customWidth="1"/>
    <col min="13326" max="13326" width="9.140625" style="363" customWidth="1"/>
    <col min="13327" max="13568" width="9.140625" style="363"/>
    <col min="13569" max="13569" width="14.7109375" style="363" customWidth="1"/>
    <col min="13570" max="13581" width="10.85546875" style="363" customWidth="1"/>
    <col min="13582" max="13582" width="9.140625" style="363" customWidth="1"/>
    <col min="13583" max="13824" width="9.140625" style="363"/>
    <col min="13825" max="13825" width="14.7109375" style="363" customWidth="1"/>
    <col min="13826" max="13837" width="10.85546875" style="363" customWidth="1"/>
    <col min="13838" max="13838" width="9.140625" style="363" customWidth="1"/>
    <col min="13839" max="14080" width="9.140625" style="363"/>
    <col min="14081" max="14081" width="14.7109375" style="363" customWidth="1"/>
    <col min="14082" max="14093" width="10.85546875" style="363" customWidth="1"/>
    <col min="14094" max="14094" width="9.140625" style="363" customWidth="1"/>
    <col min="14095" max="14336" width="9.140625" style="363"/>
    <col min="14337" max="14337" width="14.7109375" style="363" customWidth="1"/>
    <col min="14338" max="14349" width="10.85546875" style="363" customWidth="1"/>
    <col min="14350" max="14350" width="9.140625" style="363" customWidth="1"/>
    <col min="14351" max="14592" width="9.140625" style="363"/>
    <col min="14593" max="14593" width="14.7109375" style="363" customWidth="1"/>
    <col min="14594" max="14605" width="10.85546875" style="363" customWidth="1"/>
    <col min="14606" max="14606" width="9.140625" style="363" customWidth="1"/>
    <col min="14607" max="14848" width="9.140625" style="363"/>
    <col min="14849" max="14849" width="14.7109375" style="363" customWidth="1"/>
    <col min="14850" max="14861" width="10.85546875" style="363" customWidth="1"/>
    <col min="14862" max="14862" width="9.140625" style="363" customWidth="1"/>
    <col min="14863" max="15104" width="9.140625" style="363"/>
    <col min="15105" max="15105" width="14.7109375" style="363" customWidth="1"/>
    <col min="15106" max="15117" width="10.85546875" style="363" customWidth="1"/>
    <col min="15118" max="15118" width="9.140625" style="363" customWidth="1"/>
    <col min="15119" max="15360" width="9.140625" style="363"/>
    <col min="15361" max="15361" width="14.7109375" style="363" customWidth="1"/>
    <col min="15362" max="15373" width="10.85546875" style="363" customWidth="1"/>
    <col min="15374" max="15374" width="9.140625" style="363" customWidth="1"/>
    <col min="15375" max="15616" width="9.140625" style="363"/>
    <col min="15617" max="15617" width="14.7109375" style="363" customWidth="1"/>
    <col min="15618" max="15629" width="10.85546875" style="363" customWidth="1"/>
    <col min="15630" max="15630" width="9.140625" style="363" customWidth="1"/>
    <col min="15631" max="15872" width="9.140625" style="363"/>
    <col min="15873" max="15873" width="14.7109375" style="363" customWidth="1"/>
    <col min="15874" max="15885" width="10.85546875" style="363" customWidth="1"/>
    <col min="15886" max="15886" width="9.140625" style="363" customWidth="1"/>
    <col min="15887" max="16128" width="9.140625" style="363"/>
    <col min="16129" max="16129" width="14.7109375" style="363" customWidth="1"/>
    <col min="16130" max="16141" width="10.85546875" style="363" customWidth="1"/>
    <col min="16142" max="16142" width="9.140625" style="363" customWidth="1"/>
    <col min="16143" max="16384" width="9.140625" style="363"/>
  </cols>
  <sheetData>
    <row r="1" spans="1:14">
      <c r="A1" s="365" t="s">
        <v>435</v>
      </c>
      <c r="B1" s="366"/>
      <c r="C1" s="366"/>
      <c r="D1" s="366"/>
      <c r="E1" s="366"/>
      <c r="F1" s="366"/>
      <c r="G1" s="366"/>
      <c r="H1" s="366"/>
      <c r="I1" s="366"/>
      <c r="J1" s="366"/>
      <c r="K1" s="366"/>
      <c r="L1" s="366"/>
      <c r="M1" s="366"/>
      <c r="N1" s="366"/>
    </row>
    <row r="2" spans="1:14">
      <c r="A2" s="365" t="s">
        <v>436</v>
      </c>
      <c r="B2" s="366"/>
      <c r="C2" s="366"/>
      <c r="D2" s="366"/>
      <c r="E2" s="366"/>
      <c r="F2" s="366"/>
      <c r="G2" s="366"/>
      <c r="H2" s="366"/>
      <c r="I2" s="366"/>
      <c r="J2" s="366"/>
      <c r="K2" s="366"/>
      <c r="L2" s="366"/>
      <c r="M2" s="366"/>
      <c r="N2" s="366"/>
    </row>
    <row r="3" spans="1:14">
      <c r="A3" s="362" t="s">
        <v>0</v>
      </c>
      <c r="B3" s="362" t="s">
        <v>1</v>
      </c>
      <c r="C3" s="362" t="s">
        <v>2</v>
      </c>
      <c r="D3" s="362" t="s">
        <v>3</v>
      </c>
      <c r="E3" s="362" t="s">
        <v>4</v>
      </c>
      <c r="F3" s="362" t="s">
        <v>5</v>
      </c>
      <c r="G3" s="362" t="s">
        <v>6</v>
      </c>
      <c r="H3" s="362" t="s">
        <v>7</v>
      </c>
      <c r="I3" s="362" t="s">
        <v>8</v>
      </c>
      <c r="J3" s="362" t="s">
        <v>9</v>
      </c>
      <c r="K3" s="362" t="s">
        <v>10</v>
      </c>
      <c r="L3" s="362" t="s">
        <v>11</v>
      </c>
      <c r="M3" s="362" t="s">
        <v>12</v>
      </c>
      <c r="N3" s="362" t="s">
        <v>13</v>
      </c>
    </row>
    <row r="4" spans="1:14">
      <c r="A4" s="362" t="s">
        <v>14</v>
      </c>
      <c r="B4" s="29">
        <v>310269</v>
      </c>
      <c r="C4" s="29">
        <v>552117</v>
      </c>
      <c r="D4" s="29">
        <v>80893</v>
      </c>
      <c r="E4" s="29">
        <v>164370</v>
      </c>
      <c r="F4" s="29">
        <v>227168</v>
      </c>
      <c r="G4" s="29">
        <v>436108</v>
      </c>
      <c r="H4" s="29">
        <v>519504</v>
      </c>
      <c r="I4" s="29">
        <v>855</v>
      </c>
      <c r="J4" s="29">
        <v>65318</v>
      </c>
      <c r="K4" s="29">
        <v>139940</v>
      </c>
      <c r="L4" s="28" t="s">
        <v>15</v>
      </c>
      <c r="M4" s="28" t="s">
        <v>15</v>
      </c>
      <c r="N4" s="29">
        <v>2496543</v>
      </c>
    </row>
    <row r="5" spans="1:14">
      <c r="A5" s="362" t="s">
        <v>16</v>
      </c>
      <c r="B5" s="29">
        <v>175762</v>
      </c>
      <c r="C5" s="29">
        <v>271549</v>
      </c>
      <c r="D5" s="29">
        <v>49676</v>
      </c>
      <c r="E5" s="29">
        <v>97245</v>
      </c>
      <c r="F5" s="29">
        <v>138964</v>
      </c>
      <c r="G5" s="29">
        <v>335071</v>
      </c>
      <c r="H5" s="29">
        <v>341626</v>
      </c>
      <c r="I5" s="29">
        <v>530</v>
      </c>
      <c r="J5" s="29">
        <v>39986</v>
      </c>
      <c r="K5" s="29">
        <v>82636</v>
      </c>
      <c r="L5" s="28" t="s">
        <v>15</v>
      </c>
      <c r="M5" s="28" t="s">
        <v>15</v>
      </c>
      <c r="N5" s="29">
        <v>1533045</v>
      </c>
    </row>
    <row r="6" spans="1:14">
      <c r="A6" s="362" t="s">
        <v>17</v>
      </c>
      <c r="B6" s="29">
        <v>37</v>
      </c>
      <c r="C6" s="29">
        <v>143</v>
      </c>
      <c r="D6" s="28" t="s">
        <v>15</v>
      </c>
      <c r="E6" s="29">
        <v>58</v>
      </c>
      <c r="F6" s="29">
        <v>61</v>
      </c>
      <c r="G6" s="29">
        <v>140</v>
      </c>
      <c r="H6" s="29">
        <v>18</v>
      </c>
      <c r="I6" s="28" t="s">
        <v>15</v>
      </c>
      <c r="J6" s="29">
        <v>0</v>
      </c>
      <c r="K6" s="29">
        <v>102</v>
      </c>
      <c r="L6" s="28" t="s">
        <v>15</v>
      </c>
      <c r="M6" s="28" t="s">
        <v>15</v>
      </c>
      <c r="N6" s="29">
        <v>559</v>
      </c>
    </row>
    <row r="7" spans="1:14">
      <c r="A7" s="362" t="s">
        <v>18</v>
      </c>
      <c r="B7" s="29">
        <v>37500</v>
      </c>
      <c r="C7" s="29">
        <v>39579</v>
      </c>
      <c r="D7" s="29">
        <v>10028</v>
      </c>
      <c r="E7" s="29">
        <v>22483</v>
      </c>
      <c r="F7" s="29">
        <v>21307</v>
      </c>
      <c r="G7" s="29">
        <v>84387</v>
      </c>
      <c r="H7" s="29">
        <v>68791</v>
      </c>
      <c r="I7" s="29">
        <v>91</v>
      </c>
      <c r="J7" s="29">
        <v>6812</v>
      </c>
      <c r="K7" s="29">
        <v>15477</v>
      </c>
      <c r="L7" s="28" t="s">
        <v>15</v>
      </c>
      <c r="M7" s="28" t="s">
        <v>15</v>
      </c>
      <c r="N7" s="29">
        <v>306454</v>
      </c>
    </row>
    <row r="8" spans="1:14">
      <c r="A8" s="362" t="s">
        <v>19</v>
      </c>
      <c r="B8" s="29">
        <v>17619</v>
      </c>
      <c r="C8" s="29">
        <v>37489</v>
      </c>
      <c r="D8" s="29">
        <v>9104</v>
      </c>
      <c r="E8" s="29">
        <v>13658</v>
      </c>
      <c r="F8" s="29">
        <v>18600</v>
      </c>
      <c r="G8" s="29">
        <v>35443</v>
      </c>
      <c r="H8" s="29">
        <v>37839</v>
      </c>
      <c r="I8" s="29">
        <v>63</v>
      </c>
      <c r="J8" s="29">
        <v>5084</v>
      </c>
      <c r="K8" s="29">
        <v>10121</v>
      </c>
      <c r="L8" s="28" t="s">
        <v>15</v>
      </c>
      <c r="M8" s="28" t="s">
        <v>15</v>
      </c>
      <c r="N8" s="29">
        <v>185018</v>
      </c>
    </row>
    <row r="9" spans="1:14">
      <c r="A9" s="362" t="s">
        <v>20</v>
      </c>
      <c r="B9" s="28" t="s">
        <v>15</v>
      </c>
      <c r="C9" s="28" t="s">
        <v>15</v>
      </c>
      <c r="D9" s="28" t="s">
        <v>15</v>
      </c>
      <c r="E9" s="28" t="s">
        <v>15</v>
      </c>
      <c r="F9" s="28" t="s">
        <v>15</v>
      </c>
      <c r="G9" s="28" t="s">
        <v>15</v>
      </c>
      <c r="H9" s="28" t="s">
        <v>15</v>
      </c>
      <c r="I9" s="28" t="s">
        <v>15</v>
      </c>
      <c r="J9" s="28" t="s">
        <v>15</v>
      </c>
      <c r="K9" s="28" t="s">
        <v>15</v>
      </c>
      <c r="L9" s="29">
        <v>409923</v>
      </c>
      <c r="M9" s="28" t="s">
        <v>15</v>
      </c>
      <c r="N9" s="29">
        <v>409923</v>
      </c>
    </row>
    <row r="10" spans="1:14">
      <c r="A10" s="362"/>
      <c r="B10" s="28"/>
      <c r="C10" s="28"/>
      <c r="D10" s="28"/>
      <c r="E10" s="28"/>
      <c r="F10" s="28"/>
      <c r="G10" s="28"/>
      <c r="H10" s="28"/>
      <c r="I10" s="28"/>
      <c r="J10" s="28"/>
      <c r="K10" s="28"/>
      <c r="L10" s="29"/>
      <c r="M10" s="28"/>
      <c r="N10" s="29"/>
    </row>
    <row r="11" spans="1:14">
      <c r="A11" s="362" t="s">
        <v>21</v>
      </c>
      <c r="B11" s="29">
        <v>836</v>
      </c>
      <c r="C11" s="28" t="s">
        <v>15</v>
      </c>
      <c r="D11" s="29">
        <v>41</v>
      </c>
      <c r="E11" s="28" t="s">
        <v>15</v>
      </c>
      <c r="F11" s="29">
        <v>667</v>
      </c>
      <c r="G11" s="29">
        <v>180984</v>
      </c>
      <c r="H11" s="29">
        <v>80167</v>
      </c>
      <c r="I11" s="29">
        <v>0</v>
      </c>
      <c r="J11" s="28" t="s">
        <v>15</v>
      </c>
      <c r="K11" s="28" t="s">
        <v>15</v>
      </c>
      <c r="L11" s="28" t="s">
        <v>15</v>
      </c>
      <c r="M11" s="28" t="s">
        <v>15</v>
      </c>
      <c r="N11" s="29">
        <v>262694</v>
      </c>
    </row>
    <row r="12" spans="1:14">
      <c r="A12" s="362" t="s">
        <v>22</v>
      </c>
      <c r="B12" s="28" t="s">
        <v>15</v>
      </c>
      <c r="C12" s="29">
        <v>84</v>
      </c>
      <c r="D12" s="29">
        <v>221</v>
      </c>
      <c r="E12" s="29">
        <v>475</v>
      </c>
      <c r="F12" s="29">
        <v>25</v>
      </c>
      <c r="G12" s="29">
        <v>3614</v>
      </c>
      <c r="H12" s="29">
        <v>6824</v>
      </c>
      <c r="I12" s="29">
        <v>1</v>
      </c>
      <c r="J12" s="29">
        <v>196</v>
      </c>
      <c r="K12" s="28" t="s">
        <v>15</v>
      </c>
      <c r="L12" s="28" t="s">
        <v>15</v>
      </c>
      <c r="M12" s="28" t="s">
        <v>15</v>
      </c>
      <c r="N12" s="29">
        <v>11439</v>
      </c>
    </row>
    <row r="13" spans="1:14">
      <c r="A13" s="362" t="s">
        <v>23</v>
      </c>
      <c r="B13" s="29">
        <v>643</v>
      </c>
      <c r="C13" s="29">
        <v>19798</v>
      </c>
      <c r="D13" s="29">
        <v>1514</v>
      </c>
      <c r="E13" s="29">
        <v>6481</v>
      </c>
      <c r="F13" s="29">
        <v>5882</v>
      </c>
      <c r="G13" s="29">
        <v>22513</v>
      </c>
      <c r="H13" s="29">
        <v>39592</v>
      </c>
      <c r="I13" s="29">
        <v>37</v>
      </c>
      <c r="J13" s="29">
        <v>230</v>
      </c>
      <c r="K13" s="29">
        <v>26</v>
      </c>
      <c r="L13" s="28" t="s">
        <v>15</v>
      </c>
      <c r="M13" s="28" t="s">
        <v>15</v>
      </c>
      <c r="N13" s="29">
        <v>96716</v>
      </c>
    </row>
    <row r="14" spans="1:14">
      <c r="A14" s="362" t="s">
        <v>24</v>
      </c>
      <c r="B14" s="29">
        <v>657</v>
      </c>
      <c r="C14" s="29">
        <v>43861</v>
      </c>
      <c r="D14" s="29">
        <v>837</v>
      </c>
      <c r="E14" s="29">
        <v>2823</v>
      </c>
      <c r="F14" s="29">
        <v>4542</v>
      </c>
      <c r="G14" s="29">
        <v>30546</v>
      </c>
      <c r="H14" s="29">
        <v>21195</v>
      </c>
      <c r="I14" s="29">
        <v>30</v>
      </c>
      <c r="J14" s="29">
        <v>5751</v>
      </c>
      <c r="K14" s="29">
        <v>11074</v>
      </c>
      <c r="L14" s="28" t="s">
        <v>15</v>
      </c>
      <c r="M14" s="28" t="s">
        <v>15</v>
      </c>
      <c r="N14" s="29">
        <v>121316</v>
      </c>
    </row>
    <row r="15" spans="1:14">
      <c r="A15" s="362" t="s">
        <v>25</v>
      </c>
      <c r="B15" s="29">
        <v>99</v>
      </c>
      <c r="C15" s="29">
        <v>8</v>
      </c>
      <c r="D15" s="28" t="s">
        <v>15</v>
      </c>
      <c r="E15" s="29">
        <v>104</v>
      </c>
      <c r="F15" s="29">
        <v>32</v>
      </c>
      <c r="G15" s="29">
        <v>76</v>
      </c>
      <c r="H15" s="29">
        <v>108</v>
      </c>
      <c r="I15" s="28" t="s">
        <v>15</v>
      </c>
      <c r="J15" s="29">
        <v>1158</v>
      </c>
      <c r="K15" s="29">
        <v>59</v>
      </c>
      <c r="L15" s="28" t="s">
        <v>15</v>
      </c>
      <c r="M15" s="28" t="s">
        <v>15</v>
      </c>
      <c r="N15" s="29">
        <v>1643</v>
      </c>
    </row>
    <row r="16" spans="1:14">
      <c r="A16" s="362" t="s">
        <v>26</v>
      </c>
      <c r="B16" s="29">
        <v>1006</v>
      </c>
      <c r="C16" s="29">
        <v>581</v>
      </c>
      <c r="D16" s="29">
        <v>256</v>
      </c>
      <c r="E16" s="29">
        <v>234</v>
      </c>
      <c r="F16" s="29">
        <v>457</v>
      </c>
      <c r="G16" s="29">
        <v>1147</v>
      </c>
      <c r="H16" s="29">
        <v>2532</v>
      </c>
      <c r="I16" s="29">
        <v>21</v>
      </c>
      <c r="J16" s="29">
        <v>215</v>
      </c>
      <c r="K16" s="29">
        <v>1406</v>
      </c>
      <c r="L16" s="28" t="s">
        <v>15</v>
      </c>
      <c r="M16" s="28" t="s">
        <v>15</v>
      </c>
      <c r="N16" s="29">
        <v>7855</v>
      </c>
    </row>
    <row r="17" spans="1:14">
      <c r="A17" s="362" t="s">
        <v>27</v>
      </c>
      <c r="B17" s="29">
        <v>7993</v>
      </c>
      <c r="C17" s="29">
        <v>42069</v>
      </c>
      <c r="D17" s="29">
        <v>1021</v>
      </c>
      <c r="E17" s="29">
        <v>4301</v>
      </c>
      <c r="F17" s="29">
        <v>32979</v>
      </c>
      <c r="G17" s="29">
        <v>1323</v>
      </c>
      <c r="H17" s="29">
        <v>42958</v>
      </c>
      <c r="I17" s="29">
        <v>17</v>
      </c>
      <c r="J17" s="29">
        <v>1459</v>
      </c>
      <c r="K17" s="29">
        <v>20388</v>
      </c>
      <c r="L17" s="28" t="s">
        <v>15</v>
      </c>
      <c r="M17" s="28" t="s">
        <v>15</v>
      </c>
      <c r="N17" s="29">
        <v>154509</v>
      </c>
    </row>
    <row r="18" spans="1:14">
      <c r="A18" s="362"/>
      <c r="B18" s="29"/>
      <c r="C18" s="29"/>
      <c r="D18" s="29"/>
      <c r="E18" s="29"/>
      <c r="F18" s="29"/>
      <c r="G18" s="29"/>
      <c r="H18" s="29"/>
      <c r="I18" s="29"/>
      <c r="J18" s="29"/>
      <c r="K18" s="29"/>
      <c r="L18" s="28"/>
      <c r="M18" s="28"/>
      <c r="N18" s="29"/>
    </row>
    <row r="19" spans="1:14">
      <c r="A19" s="362" t="s">
        <v>28</v>
      </c>
      <c r="B19" s="29">
        <v>2695</v>
      </c>
      <c r="C19" s="29">
        <v>743</v>
      </c>
      <c r="D19" s="29">
        <v>177</v>
      </c>
      <c r="E19" s="29">
        <v>68</v>
      </c>
      <c r="F19" s="29">
        <v>412</v>
      </c>
      <c r="G19" s="29">
        <v>392</v>
      </c>
      <c r="H19" s="29">
        <v>1857</v>
      </c>
      <c r="I19" s="28" t="s">
        <v>15</v>
      </c>
      <c r="J19" s="29">
        <v>77</v>
      </c>
      <c r="K19" s="29">
        <v>700</v>
      </c>
      <c r="L19" s="28" t="s">
        <v>15</v>
      </c>
      <c r="M19" s="28" t="s">
        <v>15</v>
      </c>
      <c r="N19" s="29">
        <v>7120</v>
      </c>
    </row>
    <row r="20" spans="1:14">
      <c r="A20" s="362" t="s">
        <v>29</v>
      </c>
      <c r="B20" s="29">
        <v>1291</v>
      </c>
      <c r="C20" s="29">
        <v>217</v>
      </c>
      <c r="D20" s="29">
        <v>156</v>
      </c>
      <c r="E20" s="29">
        <v>10</v>
      </c>
      <c r="F20" s="29">
        <v>284</v>
      </c>
      <c r="G20" s="29">
        <v>344</v>
      </c>
      <c r="H20" s="29">
        <v>132</v>
      </c>
      <c r="I20" s="28" t="s">
        <v>15</v>
      </c>
      <c r="J20" s="29">
        <v>21</v>
      </c>
      <c r="K20" s="29">
        <v>98</v>
      </c>
      <c r="L20" s="28" t="s">
        <v>15</v>
      </c>
      <c r="M20" s="28" t="s">
        <v>15</v>
      </c>
      <c r="N20" s="29">
        <v>2554</v>
      </c>
    </row>
    <row r="21" spans="1:14">
      <c r="A21" s="362" t="s">
        <v>30</v>
      </c>
      <c r="B21" s="29">
        <v>1695</v>
      </c>
      <c r="C21" s="29">
        <v>462</v>
      </c>
      <c r="D21" s="29">
        <v>232</v>
      </c>
      <c r="E21" s="29">
        <v>728</v>
      </c>
      <c r="F21" s="29">
        <v>276</v>
      </c>
      <c r="G21" s="29">
        <v>467</v>
      </c>
      <c r="H21" s="29">
        <v>628</v>
      </c>
      <c r="I21" s="28" t="s">
        <v>15</v>
      </c>
      <c r="J21" s="29">
        <v>457</v>
      </c>
      <c r="K21" s="29">
        <v>385</v>
      </c>
      <c r="L21" s="28" t="s">
        <v>15</v>
      </c>
      <c r="M21" s="28" t="s">
        <v>15</v>
      </c>
      <c r="N21" s="29">
        <v>5331</v>
      </c>
    </row>
    <row r="22" spans="1:14">
      <c r="A22" s="362" t="s">
        <v>31</v>
      </c>
      <c r="B22" s="29">
        <v>34436</v>
      </c>
      <c r="C22" s="29">
        <v>9105</v>
      </c>
      <c r="D22" s="29">
        <v>387</v>
      </c>
      <c r="E22" s="28" t="s">
        <v>15</v>
      </c>
      <c r="F22" s="29">
        <v>2985</v>
      </c>
      <c r="G22" s="29">
        <v>887</v>
      </c>
      <c r="H22" s="29">
        <v>6504</v>
      </c>
      <c r="I22" s="28" t="s">
        <v>15</v>
      </c>
      <c r="J22" s="29">
        <v>979</v>
      </c>
      <c r="K22" s="28" t="s">
        <v>15</v>
      </c>
      <c r="L22" s="28" t="s">
        <v>15</v>
      </c>
      <c r="M22" s="28" t="s">
        <v>15</v>
      </c>
      <c r="N22" s="29">
        <v>55283</v>
      </c>
    </row>
    <row r="23" spans="1:14">
      <c r="A23" s="362"/>
      <c r="B23" s="29"/>
      <c r="C23" s="29"/>
      <c r="D23" s="29"/>
      <c r="E23" s="28"/>
      <c r="F23" s="29"/>
      <c r="G23" s="29"/>
      <c r="H23" s="29"/>
      <c r="I23" s="28"/>
      <c r="J23" s="29"/>
      <c r="K23" s="28"/>
      <c r="L23" s="28"/>
      <c r="M23" s="28"/>
      <c r="N23" s="29"/>
    </row>
    <row r="24" spans="1:14">
      <c r="A24" s="362"/>
      <c r="B24" s="29"/>
      <c r="C24" s="29"/>
      <c r="D24" s="29"/>
      <c r="E24" s="28"/>
      <c r="F24" s="29"/>
      <c r="G24" s="29"/>
      <c r="H24" s="29"/>
      <c r="I24" s="28"/>
      <c r="J24" s="29"/>
      <c r="K24" s="28"/>
      <c r="L24" s="28"/>
      <c r="M24" s="28"/>
      <c r="N24" s="29"/>
    </row>
    <row r="25" spans="1:14">
      <c r="A25" s="362" t="s">
        <v>32</v>
      </c>
      <c r="B25" s="29">
        <v>420</v>
      </c>
      <c r="C25" s="29">
        <v>25</v>
      </c>
      <c r="D25" s="29">
        <v>19</v>
      </c>
      <c r="E25" s="28" t="s">
        <v>15</v>
      </c>
      <c r="F25" s="28" t="s">
        <v>15</v>
      </c>
      <c r="G25" s="28" t="s">
        <v>15</v>
      </c>
      <c r="H25" s="29">
        <v>2560</v>
      </c>
      <c r="I25" s="28" t="s">
        <v>15</v>
      </c>
      <c r="J25" s="28" t="s">
        <v>15</v>
      </c>
      <c r="K25" s="28" t="s">
        <v>15</v>
      </c>
      <c r="L25" s="28" t="s">
        <v>15</v>
      </c>
      <c r="M25" s="28" t="s">
        <v>15</v>
      </c>
      <c r="N25" s="29">
        <v>3024</v>
      </c>
    </row>
    <row r="26" spans="1:14">
      <c r="A26" s="362" t="s">
        <v>34</v>
      </c>
      <c r="B26" s="28" t="s">
        <v>15</v>
      </c>
      <c r="C26" s="28" t="s">
        <v>15</v>
      </c>
      <c r="D26" s="28" t="s">
        <v>15</v>
      </c>
      <c r="E26" s="28" t="s">
        <v>15</v>
      </c>
      <c r="F26" s="28" t="s">
        <v>15</v>
      </c>
      <c r="G26" s="28" t="s">
        <v>15</v>
      </c>
      <c r="H26" s="28" t="s">
        <v>15</v>
      </c>
      <c r="I26" s="28" t="s">
        <v>15</v>
      </c>
      <c r="J26" s="29">
        <v>43575</v>
      </c>
      <c r="K26" s="28" t="s">
        <v>15</v>
      </c>
      <c r="L26" s="28" t="s">
        <v>15</v>
      </c>
      <c r="M26" s="28" t="s">
        <v>15</v>
      </c>
      <c r="N26" s="29">
        <v>43575</v>
      </c>
    </row>
    <row r="27" spans="1:14">
      <c r="A27" s="362" t="s">
        <v>35</v>
      </c>
      <c r="B27" s="28" t="s">
        <v>15</v>
      </c>
      <c r="C27" s="28" t="s">
        <v>15</v>
      </c>
      <c r="D27" s="28" t="s">
        <v>15</v>
      </c>
      <c r="E27" s="28" t="s">
        <v>15</v>
      </c>
      <c r="F27" s="28" t="s">
        <v>15</v>
      </c>
      <c r="G27" s="28" t="s">
        <v>15</v>
      </c>
      <c r="H27" s="28" t="s">
        <v>15</v>
      </c>
      <c r="I27" s="28" t="s">
        <v>15</v>
      </c>
      <c r="J27" s="29">
        <v>530399</v>
      </c>
      <c r="K27" s="28" t="s">
        <v>15</v>
      </c>
      <c r="L27" s="28" t="s">
        <v>15</v>
      </c>
      <c r="M27" s="28" t="s">
        <v>15</v>
      </c>
      <c r="N27" s="29">
        <v>530399</v>
      </c>
    </row>
    <row r="28" spans="1:14">
      <c r="A28" s="362" t="s">
        <v>36</v>
      </c>
      <c r="B28" s="29">
        <v>2314</v>
      </c>
      <c r="C28" s="29">
        <v>1337</v>
      </c>
      <c r="D28" s="29">
        <v>64278</v>
      </c>
      <c r="E28" s="29">
        <v>88335</v>
      </c>
      <c r="F28" s="29">
        <v>41211</v>
      </c>
      <c r="G28" s="29">
        <v>3458</v>
      </c>
      <c r="H28" s="29">
        <v>4364</v>
      </c>
      <c r="I28" s="29">
        <v>20309</v>
      </c>
      <c r="J28" s="29">
        <v>90</v>
      </c>
      <c r="K28" s="29">
        <v>-11</v>
      </c>
      <c r="L28" s="28" t="s">
        <v>15</v>
      </c>
      <c r="M28" s="28" t="s">
        <v>15</v>
      </c>
      <c r="N28" s="29">
        <v>225685</v>
      </c>
    </row>
    <row r="29" spans="1:14">
      <c r="A29" s="362" t="s">
        <v>37</v>
      </c>
      <c r="B29" s="29">
        <v>1438</v>
      </c>
      <c r="C29" s="29">
        <v>35812</v>
      </c>
      <c r="D29" s="29">
        <v>15941</v>
      </c>
      <c r="E29" s="29">
        <v>13892</v>
      </c>
      <c r="F29" s="29">
        <v>56596</v>
      </c>
      <c r="G29" s="29">
        <v>9620</v>
      </c>
      <c r="H29" s="29">
        <v>7327</v>
      </c>
      <c r="I29" s="28" t="s">
        <v>15</v>
      </c>
      <c r="J29" s="29">
        <v>36140</v>
      </c>
      <c r="K29" s="29">
        <v>2854</v>
      </c>
      <c r="L29" s="28" t="s">
        <v>15</v>
      </c>
      <c r="M29" s="28" t="s">
        <v>15</v>
      </c>
      <c r="N29" s="29">
        <v>179621</v>
      </c>
    </row>
    <row r="30" spans="1:14">
      <c r="A30" s="362"/>
      <c r="B30" s="29"/>
      <c r="C30" s="29"/>
      <c r="D30" s="29"/>
      <c r="E30" s="29"/>
      <c r="F30" s="29"/>
      <c r="G30" s="29"/>
      <c r="H30" s="29"/>
      <c r="I30" s="28"/>
      <c r="J30" s="29"/>
      <c r="K30" s="29"/>
      <c r="L30" s="28"/>
      <c r="M30" s="28"/>
      <c r="N30" s="29"/>
    </row>
    <row r="31" spans="1:14">
      <c r="A31" s="362" t="s">
        <v>38</v>
      </c>
      <c r="B31" s="29">
        <v>72</v>
      </c>
      <c r="C31" s="28" t="s">
        <v>15</v>
      </c>
      <c r="D31" s="28" t="s">
        <v>15</v>
      </c>
      <c r="E31" s="29">
        <v>28</v>
      </c>
      <c r="F31" s="28" t="s">
        <v>15</v>
      </c>
      <c r="G31" s="29">
        <v>49108</v>
      </c>
      <c r="H31" s="28" t="s">
        <v>15</v>
      </c>
      <c r="I31" s="29">
        <v>1639170</v>
      </c>
      <c r="J31" s="29">
        <v>-743</v>
      </c>
      <c r="K31" s="29">
        <v>13</v>
      </c>
      <c r="L31" s="28" t="s">
        <v>15</v>
      </c>
      <c r="M31" s="28" t="s">
        <v>15</v>
      </c>
      <c r="N31" s="29">
        <v>1687649</v>
      </c>
    </row>
    <row r="32" spans="1:14">
      <c r="A32" s="362" t="s">
        <v>39</v>
      </c>
      <c r="B32" s="28" t="s">
        <v>15</v>
      </c>
      <c r="C32" s="29">
        <v>17876</v>
      </c>
      <c r="D32" s="29">
        <v>50</v>
      </c>
      <c r="E32" s="28" t="s">
        <v>15</v>
      </c>
      <c r="F32" s="29">
        <v>321</v>
      </c>
      <c r="G32" s="29">
        <v>8827</v>
      </c>
      <c r="H32" s="28" t="s">
        <v>15</v>
      </c>
      <c r="I32" s="28" t="s">
        <v>15</v>
      </c>
      <c r="J32" s="29">
        <v>4</v>
      </c>
      <c r="K32" s="29">
        <v>102</v>
      </c>
      <c r="L32" s="28" t="s">
        <v>15</v>
      </c>
      <c r="M32" s="28" t="s">
        <v>15</v>
      </c>
      <c r="N32" s="29">
        <v>27180</v>
      </c>
    </row>
    <row r="33" spans="1:14">
      <c r="A33" s="362" t="s">
        <v>41</v>
      </c>
      <c r="B33" s="29">
        <v>15730</v>
      </c>
      <c r="C33" s="29">
        <v>128528</v>
      </c>
      <c r="D33" s="29">
        <v>10364</v>
      </c>
      <c r="E33" s="29">
        <v>8543</v>
      </c>
      <c r="F33" s="29">
        <v>146935</v>
      </c>
      <c r="G33" s="29">
        <v>173860</v>
      </c>
      <c r="H33" s="29">
        <v>89793</v>
      </c>
      <c r="I33" s="28" t="s">
        <v>15</v>
      </c>
      <c r="J33" s="29">
        <v>98237</v>
      </c>
      <c r="K33" s="29">
        <v>10854</v>
      </c>
      <c r="L33" s="28" t="s">
        <v>15</v>
      </c>
      <c r="M33" s="28" t="s">
        <v>15</v>
      </c>
      <c r="N33" s="29">
        <v>682844</v>
      </c>
    </row>
    <row r="34" spans="1:14">
      <c r="A34" s="362" t="s">
        <v>42</v>
      </c>
      <c r="B34" s="28" t="s">
        <v>15</v>
      </c>
      <c r="C34" s="29">
        <v>11862</v>
      </c>
      <c r="D34" s="29">
        <v>-291</v>
      </c>
      <c r="E34" s="29">
        <v>-129786</v>
      </c>
      <c r="F34" s="29">
        <v>42785</v>
      </c>
      <c r="G34" s="29">
        <v>151</v>
      </c>
      <c r="H34" s="29">
        <v>-5118163</v>
      </c>
      <c r="I34" s="29">
        <v>2677</v>
      </c>
      <c r="J34" s="28" t="s">
        <v>15</v>
      </c>
      <c r="K34" s="29">
        <v>28513</v>
      </c>
      <c r="L34" s="28" t="s">
        <v>15</v>
      </c>
      <c r="M34" s="28" t="s">
        <v>15</v>
      </c>
      <c r="N34" s="29">
        <v>-5162252</v>
      </c>
    </row>
    <row r="35" spans="1:14">
      <c r="A35" s="362" t="s">
        <v>43</v>
      </c>
      <c r="B35" s="28" t="s">
        <v>15</v>
      </c>
      <c r="C35" s="28" t="s">
        <v>15</v>
      </c>
      <c r="D35" s="28" t="s">
        <v>15</v>
      </c>
      <c r="E35" s="29">
        <v>21973</v>
      </c>
      <c r="F35" s="28" t="s">
        <v>15</v>
      </c>
      <c r="G35" s="28" t="s">
        <v>15</v>
      </c>
      <c r="H35" s="28" t="s">
        <v>15</v>
      </c>
      <c r="I35" s="28" t="s">
        <v>15</v>
      </c>
      <c r="J35" s="28" t="s">
        <v>15</v>
      </c>
      <c r="K35" s="28" t="s">
        <v>15</v>
      </c>
      <c r="L35" s="28" t="s">
        <v>15</v>
      </c>
      <c r="M35" s="28" t="s">
        <v>15</v>
      </c>
      <c r="N35" s="29">
        <v>21973</v>
      </c>
    </row>
    <row r="36" spans="1:14">
      <c r="A36" s="362" t="s">
        <v>44</v>
      </c>
      <c r="B36" s="28" t="s">
        <v>15</v>
      </c>
      <c r="C36" s="28" t="s">
        <v>15</v>
      </c>
      <c r="D36" s="28" t="s">
        <v>15</v>
      </c>
      <c r="E36" s="29">
        <v>36572</v>
      </c>
      <c r="F36" s="29">
        <v>2</v>
      </c>
      <c r="G36" s="28" t="s">
        <v>15</v>
      </c>
      <c r="H36" s="28" t="s">
        <v>15</v>
      </c>
      <c r="I36" s="28" t="s">
        <v>15</v>
      </c>
      <c r="J36" s="28" t="s">
        <v>15</v>
      </c>
      <c r="K36" s="28" t="s">
        <v>15</v>
      </c>
      <c r="L36" s="28" t="s">
        <v>15</v>
      </c>
      <c r="M36" s="28" t="s">
        <v>15</v>
      </c>
      <c r="N36" s="29">
        <v>36574</v>
      </c>
    </row>
    <row r="37" spans="1:14">
      <c r="A37" s="362" t="s">
        <v>45</v>
      </c>
      <c r="B37" s="28" t="s">
        <v>15</v>
      </c>
      <c r="C37" s="28" t="s">
        <v>15</v>
      </c>
      <c r="D37" s="28" t="s">
        <v>15</v>
      </c>
      <c r="E37" s="28" t="s">
        <v>15</v>
      </c>
      <c r="F37" s="28" t="s">
        <v>15</v>
      </c>
      <c r="G37" s="28" t="s">
        <v>15</v>
      </c>
      <c r="H37" s="28" t="s">
        <v>15</v>
      </c>
      <c r="I37" s="29">
        <v>4280</v>
      </c>
      <c r="J37" s="28" t="s">
        <v>15</v>
      </c>
      <c r="K37" s="28" t="s">
        <v>15</v>
      </c>
      <c r="L37" s="28" t="s">
        <v>15</v>
      </c>
      <c r="M37" s="28" t="s">
        <v>15</v>
      </c>
      <c r="N37" s="29">
        <v>4280</v>
      </c>
    </row>
    <row r="38" spans="1:14">
      <c r="A38" s="362"/>
      <c r="B38" s="28"/>
      <c r="C38" s="28"/>
      <c r="D38" s="28"/>
      <c r="E38" s="28"/>
      <c r="F38" s="28"/>
      <c r="G38" s="28"/>
      <c r="H38" s="28"/>
      <c r="I38" s="29"/>
      <c r="J38" s="28"/>
      <c r="K38" s="28"/>
      <c r="L38" s="28"/>
      <c r="M38" s="28"/>
      <c r="N38" s="29"/>
    </row>
    <row r="39" spans="1:14">
      <c r="A39" s="362" t="s">
        <v>46</v>
      </c>
      <c r="B39" s="29">
        <v>32</v>
      </c>
      <c r="C39" s="28" t="s">
        <v>15</v>
      </c>
      <c r="D39" s="28" t="s">
        <v>15</v>
      </c>
      <c r="E39" s="28" t="s">
        <v>15</v>
      </c>
      <c r="F39" s="28" t="s">
        <v>15</v>
      </c>
      <c r="G39" s="28" t="s">
        <v>15</v>
      </c>
      <c r="H39" s="28" t="s">
        <v>15</v>
      </c>
      <c r="I39" s="28" t="s">
        <v>15</v>
      </c>
      <c r="J39" s="29">
        <v>14</v>
      </c>
      <c r="K39" s="28" t="s">
        <v>15</v>
      </c>
      <c r="L39" s="28" t="s">
        <v>15</v>
      </c>
      <c r="M39" s="28" t="s">
        <v>15</v>
      </c>
      <c r="N39" s="29">
        <v>45</v>
      </c>
    </row>
    <row r="40" spans="1:14">
      <c r="A40" s="362"/>
      <c r="B40" s="29"/>
      <c r="C40" s="28"/>
      <c r="D40" s="28"/>
      <c r="E40" s="28"/>
      <c r="F40" s="28"/>
      <c r="G40" s="28"/>
      <c r="H40" s="28"/>
      <c r="I40" s="28"/>
      <c r="J40" s="29"/>
      <c r="K40" s="28"/>
      <c r="L40" s="28"/>
      <c r="M40" s="28"/>
      <c r="N40" s="29"/>
    </row>
    <row r="41" spans="1:14">
      <c r="A41" s="362" t="s">
        <v>47</v>
      </c>
      <c r="B41" s="28" t="s">
        <v>15</v>
      </c>
      <c r="C41" s="28" t="s">
        <v>15</v>
      </c>
      <c r="D41" s="28" t="s">
        <v>15</v>
      </c>
      <c r="E41" s="28" t="s">
        <v>15</v>
      </c>
      <c r="F41" s="28" t="s">
        <v>15</v>
      </c>
      <c r="G41" s="28" t="s">
        <v>15</v>
      </c>
      <c r="H41" s="28" t="s">
        <v>15</v>
      </c>
      <c r="I41" s="29">
        <v>3240</v>
      </c>
      <c r="J41" s="28" t="s">
        <v>15</v>
      </c>
      <c r="K41" s="28" t="s">
        <v>15</v>
      </c>
      <c r="L41" s="28" t="s">
        <v>15</v>
      </c>
      <c r="M41" s="28" t="s">
        <v>15</v>
      </c>
      <c r="N41" s="29">
        <v>3240</v>
      </c>
    </row>
    <row r="42" spans="1:14">
      <c r="A42" s="362" t="s">
        <v>48</v>
      </c>
      <c r="B42" s="29">
        <v>1108</v>
      </c>
      <c r="C42" s="29">
        <v>961</v>
      </c>
      <c r="D42" s="29">
        <v>209</v>
      </c>
      <c r="E42" s="29">
        <v>1195</v>
      </c>
      <c r="F42" s="29">
        <v>1193</v>
      </c>
      <c r="G42" s="29">
        <v>2205</v>
      </c>
      <c r="H42" s="29">
        <v>2986</v>
      </c>
      <c r="I42" s="28" t="s">
        <v>15</v>
      </c>
      <c r="J42" s="29">
        <v>97</v>
      </c>
      <c r="K42" s="29">
        <v>454</v>
      </c>
      <c r="L42" s="28" t="s">
        <v>15</v>
      </c>
      <c r="M42" s="28" t="s">
        <v>15</v>
      </c>
      <c r="N42" s="29">
        <v>10407</v>
      </c>
    </row>
    <row r="43" spans="1:14">
      <c r="A43" s="362" t="s">
        <v>49</v>
      </c>
      <c r="B43" s="29">
        <v>441</v>
      </c>
      <c r="C43" s="29">
        <v>426</v>
      </c>
      <c r="D43" s="29">
        <v>84</v>
      </c>
      <c r="E43" s="29">
        <v>527</v>
      </c>
      <c r="F43" s="29">
        <v>347</v>
      </c>
      <c r="G43" s="29">
        <v>886</v>
      </c>
      <c r="H43" s="29">
        <v>1355</v>
      </c>
      <c r="I43" s="28" t="s">
        <v>15</v>
      </c>
      <c r="J43" s="29">
        <v>44</v>
      </c>
      <c r="K43" s="29">
        <v>140</v>
      </c>
      <c r="L43" s="28" t="s">
        <v>15</v>
      </c>
      <c r="M43" s="28" t="s">
        <v>15</v>
      </c>
      <c r="N43" s="29">
        <v>4249</v>
      </c>
    </row>
    <row r="44" spans="1:14">
      <c r="A44" s="362" t="s">
        <v>50</v>
      </c>
      <c r="B44" s="29">
        <v>792</v>
      </c>
      <c r="C44" s="29">
        <v>246</v>
      </c>
      <c r="D44" s="29">
        <v>27</v>
      </c>
      <c r="E44" s="29">
        <v>133</v>
      </c>
      <c r="F44" s="29">
        <v>152</v>
      </c>
      <c r="G44" s="29">
        <v>623</v>
      </c>
      <c r="H44" s="29">
        <v>1638</v>
      </c>
      <c r="I44" s="29">
        <v>3</v>
      </c>
      <c r="J44" s="29">
        <v>24</v>
      </c>
      <c r="K44" s="29">
        <v>74</v>
      </c>
      <c r="L44" s="28" t="s">
        <v>15</v>
      </c>
      <c r="M44" s="28" t="s">
        <v>15</v>
      </c>
      <c r="N44" s="29">
        <v>3712</v>
      </c>
    </row>
    <row r="45" spans="1:14">
      <c r="A45" s="362"/>
      <c r="B45" s="29"/>
      <c r="C45" s="29"/>
      <c r="D45" s="29"/>
      <c r="E45" s="29"/>
      <c r="F45" s="29"/>
      <c r="G45" s="29"/>
      <c r="H45" s="29"/>
      <c r="I45" s="29"/>
      <c r="J45" s="29"/>
      <c r="K45" s="29"/>
      <c r="L45" s="28"/>
      <c r="M45" s="28"/>
      <c r="N45" s="29"/>
    </row>
    <row r="46" spans="1:14">
      <c r="A46" s="362" t="s">
        <v>52</v>
      </c>
      <c r="B46" s="29">
        <v>1171</v>
      </c>
      <c r="C46" s="29">
        <v>33</v>
      </c>
      <c r="D46" s="29">
        <v>51</v>
      </c>
      <c r="E46" s="28" t="s">
        <v>15</v>
      </c>
      <c r="F46" s="28" t="s">
        <v>15</v>
      </c>
      <c r="G46" s="28" t="s">
        <v>15</v>
      </c>
      <c r="H46" s="29">
        <v>723</v>
      </c>
      <c r="I46" s="28" t="s">
        <v>15</v>
      </c>
      <c r="J46" s="29">
        <v>14</v>
      </c>
      <c r="K46" s="29">
        <v>30</v>
      </c>
      <c r="L46" s="28" t="s">
        <v>15</v>
      </c>
      <c r="M46" s="28" t="s">
        <v>15</v>
      </c>
      <c r="N46" s="29">
        <v>2021</v>
      </c>
    </row>
    <row r="47" spans="1:14">
      <c r="A47" s="362"/>
      <c r="B47" s="29"/>
      <c r="C47" s="29"/>
      <c r="D47" s="29"/>
      <c r="E47" s="28"/>
      <c r="F47" s="28"/>
      <c r="G47" s="28"/>
      <c r="H47" s="29"/>
      <c r="I47" s="28"/>
      <c r="J47" s="29"/>
      <c r="K47" s="29"/>
      <c r="L47" s="28"/>
      <c r="M47" s="28"/>
      <c r="N47" s="29"/>
    </row>
    <row r="48" spans="1:14">
      <c r="A48" s="362" t="s">
        <v>54</v>
      </c>
      <c r="B48" s="29">
        <v>80</v>
      </c>
      <c r="C48" s="28" t="s">
        <v>15</v>
      </c>
      <c r="D48" s="28" t="s">
        <v>15</v>
      </c>
      <c r="E48" s="28" t="s">
        <v>15</v>
      </c>
      <c r="F48" s="28" t="s">
        <v>15</v>
      </c>
      <c r="G48" s="28" t="s">
        <v>15</v>
      </c>
      <c r="H48" s="28" t="s">
        <v>15</v>
      </c>
      <c r="I48" s="28" t="s">
        <v>15</v>
      </c>
      <c r="J48" s="28" t="s">
        <v>15</v>
      </c>
      <c r="K48" s="28" t="s">
        <v>15</v>
      </c>
      <c r="L48" s="28" t="s">
        <v>15</v>
      </c>
      <c r="M48" s="28" t="s">
        <v>15</v>
      </c>
      <c r="N48" s="29">
        <v>80</v>
      </c>
    </row>
    <row r="49" spans="1:14">
      <c r="A49" s="362" t="s">
        <v>55</v>
      </c>
      <c r="B49" s="28" t="s">
        <v>15</v>
      </c>
      <c r="C49" s="28" t="s">
        <v>15</v>
      </c>
      <c r="D49" s="28" t="s">
        <v>15</v>
      </c>
      <c r="E49" s="28" t="s">
        <v>15</v>
      </c>
      <c r="F49" s="28" t="s">
        <v>15</v>
      </c>
      <c r="G49" s="28" t="s">
        <v>15</v>
      </c>
      <c r="H49" s="28" t="s">
        <v>15</v>
      </c>
      <c r="I49" s="29">
        <v>5136</v>
      </c>
      <c r="J49" s="28" t="s">
        <v>15</v>
      </c>
      <c r="K49" s="28" t="s">
        <v>15</v>
      </c>
      <c r="L49" s="28" t="s">
        <v>15</v>
      </c>
      <c r="M49" s="28" t="s">
        <v>15</v>
      </c>
      <c r="N49" s="29">
        <v>5136</v>
      </c>
    </row>
    <row r="50" spans="1:14">
      <c r="A50" s="362" t="s">
        <v>56</v>
      </c>
      <c r="B50" s="28" t="s">
        <v>15</v>
      </c>
      <c r="C50" s="28" t="s">
        <v>15</v>
      </c>
      <c r="D50" s="28" t="s">
        <v>15</v>
      </c>
      <c r="E50" s="28" t="s">
        <v>15</v>
      </c>
      <c r="F50" s="28" t="s">
        <v>15</v>
      </c>
      <c r="G50" s="28" t="s">
        <v>15</v>
      </c>
      <c r="H50" s="28" t="s">
        <v>15</v>
      </c>
      <c r="I50" s="29">
        <v>62529</v>
      </c>
      <c r="J50" s="28" t="s">
        <v>15</v>
      </c>
      <c r="K50" s="28" t="s">
        <v>15</v>
      </c>
      <c r="L50" s="28" t="s">
        <v>15</v>
      </c>
      <c r="M50" s="28" t="s">
        <v>15</v>
      </c>
      <c r="N50" s="29">
        <v>62529</v>
      </c>
    </row>
    <row r="51" spans="1:14">
      <c r="A51" s="362" t="s">
        <v>57</v>
      </c>
      <c r="B51" s="28" t="s">
        <v>15</v>
      </c>
      <c r="C51" s="28" t="s">
        <v>15</v>
      </c>
      <c r="D51" s="29">
        <v>16437</v>
      </c>
      <c r="E51" s="29">
        <v>131661</v>
      </c>
      <c r="F51" s="29">
        <v>561</v>
      </c>
      <c r="G51" s="28" t="s">
        <v>15</v>
      </c>
      <c r="H51" s="28" t="s">
        <v>15</v>
      </c>
      <c r="I51" s="28" t="s">
        <v>15</v>
      </c>
      <c r="J51" s="28" t="s">
        <v>15</v>
      </c>
      <c r="K51" s="28" t="s">
        <v>15</v>
      </c>
      <c r="L51" s="28" t="s">
        <v>15</v>
      </c>
      <c r="M51" s="28" t="s">
        <v>15</v>
      </c>
      <c r="N51" s="29">
        <v>148658</v>
      </c>
    </row>
    <row r="52" spans="1:14">
      <c r="A52" s="362" t="s">
        <v>58</v>
      </c>
      <c r="B52" s="28" t="s">
        <v>15</v>
      </c>
      <c r="C52" s="28" t="s">
        <v>15</v>
      </c>
      <c r="D52" s="29">
        <v>20234</v>
      </c>
      <c r="E52" s="29">
        <v>149865</v>
      </c>
      <c r="F52" s="29">
        <v>532</v>
      </c>
      <c r="G52" s="28" t="s">
        <v>15</v>
      </c>
      <c r="H52" s="28" t="s">
        <v>15</v>
      </c>
      <c r="I52" s="28" t="s">
        <v>15</v>
      </c>
      <c r="J52" s="28" t="s">
        <v>15</v>
      </c>
      <c r="K52" s="28" t="s">
        <v>15</v>
      </c>
      <c r="L52" s="28" t="s">
        <v>15</v>
      </c>
      <c r="M52" s="28" t="s">
        <v>15</v>
      </c>
      <c r="N52" s="29">
        <v>170631</v>
      </c>
    </row>
    <row r="53" spans="1:14">
      <c r="A53" s="362" t="s">
        <v>59</v>
      </c>
      <c r="B53" s="29">
        <v>648</v>
      </c>
      <c r="C53" s="29">
        <v>9579</v>
      </c>
      <c r="D53" s="29">
        <v>395</v>
      </c>
      <c r="E53" s="29">
        <v>414</v>
      </c>
      <c r="F53" s="29">
        <v>4938</v>
      </c>
      <c r="G53" s="29">
        <v>5791</v>
      </c>
      <c r="H53" s="29">
        <v>3484</v>
      </c>
      <c r="I53" s="28" t="s">
        <v>15</v>
      </c>
      <c r="J53" s="29">
        <v>8690</v>
      </c>
      <c r="K53" s="29">
        <v>269</v>
      </c>
      <c r="L53" s="28" t="s">
        <v>15</v>
      </c>
      <c r="M53" s="28" t="s">
        <v>15</v>
      </c>
      <c r="N53" s="29">
        <v>34209</v>
      </c>
    </row>
    <row r="54" spans="1:14">
      <c r="A54" s="362" t="s">
        <v>60</v>
      </c>
      <c r="B54" s="29">
        <v>648</v>
      </c>
      <c r="C54" s="29">
        <v>9579</v>
      </c>
      <c r="D54" s="29">
        <v>395</v>
      </c>
      <c r="E54" s="29">
        <v>414</v>
      </c>
      <c r="F54" s="29">
        <v>4938</v>
      </c>
      <c r="G54" s="29">
        <v>5791</v>
      </c>
      <c r="H54" s="29">
        <v>3484</v>
      </c>
      <c r="I54" s="28" t="s">
        <v>15</v>
      </c>
      <c r="J54" s="29">
        <v>8690</v>
      </c>
      <c r="K54" s="29">
        <v>269</v>
      </c>
      <c r="L54" s="28" t="s">
        <v>15</v>
      </c>
      <c r="M54" s="28" t="s">
        <v>15</v>
      </c>
      <c r="N54" s="29">
        <v>34209</v>
      </c>
    </row>
    <row r="55" spans="1:14">
      <c r="A55" s="362"/>
      <c r="B55" s="29"/>
      <c r="C55" s="29"/>
      <c r="D55" s="29"/>
      <c r="E55" s="29"/>
      <c r="F55" s="29"/>
      <c r="G55" s="29"/>
      <c r="H55" s="29"/>
      <c r="I55" s="28"/>
      <c r="J55" s="29"/>
      <c r="K55" s="29"/>
      <c r="L55" s="28"/>
      <c r="M55" s="28"/>
      <c r="N55" s="29"/>
    </row>
    <row r="56" spans="1:14">
      <c r="A56" s="362" t="s">
        <v>61</v>
      </c>
      <c r="B56" s="29">
        <v>163</v>
      </c>
      <c r="C56" s="29">
        <v>1880</v>
      </c>
      <c r="D56" s="29">
        <v>2796</v>
      </c>
      <c r="E56" s="29">
        <v>2680</v>
      </c>
      <c r="F56" s="29">
        <v>17941</v>
      </c>
      <c r="G56" s="29">
        <v>15920</v>
      </c>
      <c r="H56" s="29">
        <v>3689</v>
      </c>
      <c r="I56" s="29">
        <v>265</v>
      </c>
      <c r="J56" s="29">
        <v>709</v>
      </c>
      <c r="K56" s="29">
        <v>63</v>
      </c>
      <c r="L56" s="28" t="s">
        <v>15</v>
      </c>
      <c r="M56" s="28" t="s">
        <v>15</v>
      </c>
      <c r="N56" s="29">
        <v>46104</v>
      </c>
    </row>
    <row r="57" spans="1:14">
      <c r="A57" s="362" t="s">
        <v>62</v>
      </c>
      <c r="B57" s="29">
        <v>0</v>
      </c>
      <c r="C57" s="29">
        <v>0</v>
      </c>
      <c r="D57" s="29">
        <v>0</v>
      </c>
      <c r="E57" s="29">
        <v>0</v>
      </c>
      <c r="F57" s="29">
        <v>0</v>
      </c>
      <c r="G57" s="29">
        <v>0</v>
      </c>
      <c r="H57" s="29">
        <v>0</v>
      </c>
      <c r="I57" s="29">
        <v>0</v>
      </c>
      <c r="J57" s="29">
        <v>0</v>
      </c>
      <c r="K57" s="29">
        <v>0</v>
      </c>
      <c r="L57" s="29">
        <v>0</v>
      </c>
      <c r="M57" s="29">
        <v>0</v>
      </c>
      <c r="N57" s="29">
        <v>0</v>
      </c>
    </row>
    <row r="58" spans="1:14">
      <c r="A58" s="362" t="s">
        <v>63</v>
      </c>
      <c r="B58" s="29">
        <v>7674</v>
      </c>
      <c r="C58" s="29">
        <v>46</v>
      </c>
      <c r="D58" s="29">
        <v>16</v>
      </c>
      <c r="E58" s="28" t="s">
        <v>15</v>
      </c>
      <c r="F58" s="29">
        <v>228791</v>
      </c>
      <c r="G58" s="29">
        <v>0</v>
      </c>
      <c r="H58" s="29">
        <v>3535</v>
      </c>
      <c r="I58" s="29">
        <v>332</v>
      </c>
      <c r="J58" s="29">
        <v>-1518</v>
      </c>
      <c r="K58" s="29">
        <v>49473</v>
      </c>
      <c r="L58" s="29">
        <v>10114697</v>
      </c>
      <c r="M58" s="29">
        <v>2743500</v>
      </c>
      <c r="N58" s="29">
        <v>13146545</v>
      </c>
    </row>
    <row r="59" spans="1:14">
      <c r="A59" s="362" t="s">
        <v>64</v>
      </c>
      <c r="B59" s="29">
        <v>625267</v>
      </c>
      <c r="C59" s="29">
        <v>1235994</v>
      </c>
      <c r="D59" s="29">
        <v>285545</v>
      </c>
      <c r="E59" s="29">
        <v>639485</v>
      </c>
      <c r="F59" s="29">
        <v>1001883</v>
      </c>
      <c r="G59" s="29">
        <v>1409684</v>
      </c>
      <c r="H59" s="29">
        <v>-3822951</v>
      </c>
      <c r="I59" s="29">
        <v>1739587</v>
      </c>
      <c r="J59" s="29">
        <v>852207</v>
      </c>
      <c r="K59" s="29">
        <v>375507</v>
      </c>
      <c r="L59" s="29">
        <v>10524620</v>
      </c>
      <c r="M59" s="29">
        <v>2743500</v>
      </c>
      <c r="N59" s="29">
        <v>17610328</v>
      </c>
    </row>
    <row r="60" spans="1:14">
      <c r="A60" s="362" t="s">
        <v>65</v>
      </c>
      <c r="B60" s="29">
        <v>1218</v>
      </c>
      <c r="C60" s="29">
        <v>44754</v>
      </c>
      <c r="D60" s="29">
        <v>0</v>
      </c>
      <c r="E60" s="29">
        <v>4316</v>
      </c>
      <c r="F60" s="29">
        <v>17613</v>
      </c>
      <c r="G60" s="29">
        <v>3126</v>
      </c>
      <c r="H60" s="29">
        <v>11</v>
      </c>
      <c r="I60" s="29">
        <v>216921</v>
      </c>
      <c r="J60" s="29">
        <v>0</v>
      </c>
      <c r="K60" s="29">
        <v>0</v>
      </c>
      <c r="L60" s="29">
        <v>10113272</v>
      </c>
      <c r="M60" s="29">
        <v>0</v>
      </c>
      <c r="N60" s="29">
        <v>10401231</v>
      </c>
    </row>
    <row r="61" spans="1:14">
      <c r="A61" s="362" t="s">
        <v>66</v>
      </c>
      <c r="B61" s="29">
        <v>624049</v>
      </c>
      <c r="C61" s="29">
        <v>1191241</v>
      </c>
      <c r="D61" s="29">
        <v>285545</v>
      </c>
      <c r="E61" s="29">
        <v>635169</v>
      </c>
      <c r="F61" s="29">
        <v>984270</v>
      </c>
      <c r="G61" s="29">
        <v>1406558</v>
      </c>
      <c r="H61" s="29">
        <v>-3822961</v>
      </c>
      <c r="I61" s="29">
        <v>1522665</v>
      </c>
      <c r="J61" s="29">
        <v>852207</v>
      </c>
      <c r="K61" s="29">
        <v>375507</v>
      </c>
      <c r="L61" s="29">
        <v>411348</v>
      </c>
      <c r="M61" s="29">
        <v>2743500</v>
      </c>
      <c r="N61" s="29">
        <v>7209097</v>
      </c>
    </row>
  </sheetData>
  <mergeCells count="2">
    <mergeCell ref="A1:N1"/>
    <mergeCell ref="A2:N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DN135"/>
  <sheetViews>
    <sheetView view="pageBreakPreview" zoomScale="134" zoomScaleNormal="100" zoomScaleSheetLayoutView="134" workbookViewId="0">
      <pane xSplit="2" ySplit="4" topLeftCell="BH80" activePane="bottomRight" state="frozen"/>
      <selection pane="topRight" activeCell="C1" sqref="C1"/>
      <selection pane="bottomLeft" activeCell="A6" sqref="A6"/>
      <selection pane="bottomRight" activeCell="BJ82" sqref="BJ82"/>
    </sheetView>
  </sheetViews>
  <sheetFormatPr defaultRowHeight="15.75"/>
  <cols>
    <col min="1" max="1" width="10.5703125" style="130" customWidth="1"/>
    <col min="2" max="2" width="38.5703125" bestFit="1" customWidth="1"/>
    <col min="3" max="3" width="12.140625" style="251" customWidth="1"/>
    <col min="4" max="4" width="11.5703125" style="251" customWidth="1"/>
    <col min="5" max="5" width="16.5703125" style="251" customWidth="1"/>
    <col min="6" max="6" width="11.7109375" style="251" customWidth="1"/>
    <col min="7" max="7" width="12.140625" style="251" customWidth="1"/>
    <col min="8" max="8" width="11.42578125" style="251" customWidth="1"/>
    <col min="9" max="9" width="11.85546875" style="251" bestFit="1" customWidth="1"/>
    <col min="10" max="10" width="11" style="251" customWidth="1"/>
    <col min="11" max="11" width="12.140625" style="251" customWidth="1"/>
    <col min="12" max="13" width="12" style="251" bestFit="1" customWidth="1"/>
    <col min="14" max="14" width="10.5703125" style="251" customWidth="1"/>
    <col min="15" max="15" width="11.85546875" style="251" bestFit="1" customWidth="1"/>
    <col min="16" max="16" width="12" style="251" bestFit="1" customWidth="1"/>
    <col min="17" max="18" width="11.85546875" style="251" bestFit="1" customWidth="1"/>
    <col min="19" max="19" width="12" style="251" bestFit="1" customWidth="1"/>
    <col min="20" max="20" width="11.85546875" style="251" customWidth="1"/>
    <col min="21" max="21" width="11.85546875" style="251" bestFit="1" customWidth="1"/>
    <col min="22" max="22" width="9.7109375" style="252" customWidth="1"/>
    <col min="23" max="23" width="12" style="251" bestFit="1" customWidth="1"/>
    <col min="24" max="24" width="10.140625" style="251" customWidth="1"/>
    <col min="25" max="25" width="13.7109375" style="251" bestFit="1" customWidth="1"/>
    <col min="26" max="26" width="12.42578125" style="251" customWidth="1"/>
    <col min="27" max="27" width="11.85546875" style="251" customWidth="1"/>
    <col min="28" max="28" width="10.28515625" style="251" customWidth="1"/>
    <col min="29" max="29" width="12.7109375" style="252" customWidth="1"/>
    <col min="30" max="30" width="11.85546875" style="253" bestFit="1" customWidth="1"/>
    <col min="31" max="31" width="10.5703125" style="251" bestFit="1" customWidth="1"/>
    <col min="32" max="32" width="12" style="251" bestFit="1" customWidth="1"/>
    <col min="33" max="33" width="13.7109375" style="251" customWidth="1"/>
    <col min="34" max="34" width="9.42578125" style="251" bestFit="1" customWidth="1"/>
    <col min="35" max="35" width="12" style="251" customWidth="1"/>
    <col min="36" max="36" width="12.42578125" style="251" customWidth="1"/>
    <col min="37" max="37" width="12.85546875" style="251" customWidth="1"/>
    <col min="38" max="38" width="12.140625" style="251" customWidth="1"/>
    <col min="39" max="39" width="14.140625" style="251" customWidth="1"/>
    <col min="40" max="40" width="11.5703125" style="251" customWidth="1"/>
    <col min="41" max="41" width="11" style="252" customWidth="1"/>
    <col min="42" max="42" width="12.7109375" style="251" customWidth="1"/>
    <col min="43" max="43" width="10.7109375" style="252" customWidth="1"/>
    <col min="44" max="44" width="9.7109375" style="251" bestFit="1" customWidth="1"/>
    <col min="45" max="45" width="9.140625" style="251"/>
    <col min="46" max="46" width="11.7109375" style="251" customWidth="1"/>
    <col min="47" max="47" width="10.85546875" style="251" customWidth="1"/>
    <col min="48" max="48" width="9.140625" style="251"/>
    <col min="49" max="49" width="11.85546875" style="251" customWidth="1"/>
    <col min="50" max="50" width="11.28515625" style="251" customWidth="1"/>
    <col min="51" max="51" width="12.28515625" style="251" customWidth="1"/>
    <col min="52" max="52" width="11.140625" style="251" customWidth="1"/>
    <col min="53" max="53" width="10.28515625" style="251" customWidth="1"/>
    <col min="54" max="54" width="14" style="252" customWidth="1"/>
    <col min="55" max="55" width="13.28515625" style="251" customWidth="1"/>
    <col min="56" max="56" width="11" style="251" customWidth="1"/>
    <col min="57" max="57" width="12.7109375" style="251" customWidth="1"/>
    <col min="58" max="58" width="14" style="251" customWidth="1"/>
    <col min="59" max="59" width="16.28515625" style="251" customWidth="1"/>
    <col min="60" max="60" width="16.28515625" style="252" customWidth="1"/>
    <col min="61" max="61" width="16.28515625" style="253" customWidth="1"/>
    <col min="62" max="62" width="13.28515625" style="251" customWidth="1"/>
    <col min="63" max="63" width="13.5703125" style="254" customWidth="1"/>
    <col min="64" max="64" width="11.28515625" customWidth="1"/>
    <col min="65" max="65" width="11.42578125" customWidth="1"/>
  </cols>
  <sheetData>
    <row r="1" spans="1:90">
      <c r="A1" s="119"/>
      <c r="B1" s="186"/>
      <c r="C1" s="367" t="s">
        <v>429</v>
      </c>
      <c r="D1" s="367"/>
      <c r="E1" s="367"/>
      <c r="F1" s="367"/>
      <c r="G1" s="367"/>
      <c r="H1" s="367"/>
      <c r="I1" s="367"/>
      <c r="J1" s="367"/>
      <c r="K1" s="367"/>
      <c r="L1" s="1"/>
      <c r="M1" s="1"/>
      <c r="N1" s="1"/>
      <c r="O1" s="1"/>
      <c r="P1" s="1"/>
      <c r="Q1" s="1"/>
      <c r="R1" s="1"/>
      <c r="S1" s="1"/>
      <c r="T1" s="1"/>
      <c r="U1" s="1"/>
      <c r="V1" s="174"/>
      <c r="W1" s="1"/>
      <c r="X1" s="1"/>
      <c r="Y1" s="1"/>
      <c r="Z1" s="1"/>
      <c r="AA1" s="1"/>
      <c r="AB1" s="1"/>
      <c r="AC1" s="174"/>
      <c r="AD1" s="213"/>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13"/>
      <c r="BJ1" s="1"/>
      <c r="BK1" s="46"/>
      <c r="BO1" s="249">
        <v>-7106</v>
      </c>
      <c r="BP1" s="249" t="s">
        <v>239</v>
      </c>
    </row>
    <row r="2" spans="1:90">
      <c r="A2" s="119"/>
      <c r="B2" s="1"/>
      <c r="C2" s="1"/>
      <c r="D2" s="1"/>
      <c r="E2" s="1"/>
      <c r="F2" s="1"/>
      <c r="G2" s="1"/>
      <c r="H2" s="1"/>
      <c r="I2" s="1"/>
      <c r="J2" s="1"/>
      <c r="K2" s="1"/>
      <c r="L2" s="1"/>
      <c r="M2" s="368" t="s">
        <v>67</v>
      </c>
      <c r="N2" s="368"/>
      <c r="O2" s="368"/>
      <c r="P2" s="1"/>
      <c r="Q2" s="1"/>
      <c r="R2" s="1"/>
      <c r="S2" s="1"/>
      <c r="T2" s="1"/>
      <c r="U2" s="1"/>
      <c r="V2" s="174"/>
      <c r="W2" s="1"/>
      <c r="X2" s="1"/>
      <c r="Y2" s="1"/>
      <c r="Z2" s="1"/>
      <c r="AA2" s="1"/>
      <c r="AB2" s="1"/>
      <c r="AC2" s="174"/>
      <c r="AD2" s="213"/>
      <c r="AE2" s="1"/>
      <c r="AF2" s="1"/>
      <c r="AG2" s="1"/>
      <c r="AH2" s="1"/>
      <c r="AI2" s="1"/>
      <c r="AJ2" s="1"/>
      <c r="AK2" s="1"/>
      <c r="AL2" s="1"/>
      <c r="AM2" s="1"/>
      <c r="AN2" s="1"/>
      <c r="AO2" s="174"/>
      <c r="AP2" s="1"/>
      <c r="AQ2" s="368" t="s">
        <v>67</v>
      </c>
      <c r="AR2" s="368"/>
      <c r="AS2" s="368"/>
      <c r="AT2" s="1"/>
      <c r="AU2" s="1"/>
      <c r="AV2" s="1"/>
      <c r="AW2" s="2"/>
      <c r="AX2" s="1"/>
      <c r="AY2" s="1"/>
      <c r="AZ2" s="1"/>
      <c r="BA2" s="1"/>
      <c r="BB2" s="174"/>
      <c r="BC2" s="1"/>
      <c r="BD2" s="1"/>
      <c r="BE2" s="1"/>
      <c r="BF2" s="1"/>
      <c r="BG2" s="1"/>
      <c r="BH2" s="174"/>
      <c r="BI2" s="368" t="s">
        <v>67</v>
      </c>
      <c r="BJ2" s="368"/>
      <c r="BK2" s="368"/>
      <c r="BO2" s="249">
        <v>-406251</v>
      </c>
      <c r="BP2" s="249" t="s">
        <v>240</v>
      </c>
    </row>
    <row r="3" spans="1:90" ht="37.5" customHeight="1">
      <c r="A3" s="39"/>
      <c r="B3" s="3"/>
      <c r="C3" s="3" t="s">
        <v>68</v>
      </c>
      <c r="D3" s="3" t="s">
        <v>69</v>
      </c>
      <c r="E3" s="3" t="s">
        <v>70</v>
      </c>
      <c r="F3" s="3" t="s">
        <v>71</v>
      </c>
      <c r="G3" s="3" t="s">
        <v>72</v>
      </c>
      <c r="H3" s="3" t="s">
        <v>73</v>
      </c>
      <c r="I3" s="3" t="s">
        <v>74</v>
      </c>
      <c r="J3" s="3" t="s">
        <v>75</v>
      </c>
      <c r="K3" s="3" t="s">
        <v>76</v>
      </c>
      <c r="L3" s="3" t="s">
        <v>77</v>
      </c>
      <c r="M3" s="3" t="s">
        <v>78</v>
      </c>
      <c r="N3" s="3" t="s">
        <v>79</v>
      </c>
      <c r="O3" s="3" t="s">
        <v>80</v>
      </c>
      <c r="P3" s="3" t="s">
        <v>81</v>
      </c>
      <c r="Q3" s="3" t="s">
        <v>82</v>
      </c>
      <c r="R3" s="3" t="s">
        <v>83</v>
      </c>
      <c r="S3" s="3" t="s">
        <v>84</v>
      </c>
      <c r="T3" s="3" t="s">
        <v>85</v>
      </c>
      <c r="U3" s="3" t="s">
        <v>101</v>
      </c>
      <c r="V3" s="39" t="s">
        <v>86</v>
      </c>
      <c r="W3" s="3" t="s">
        <v>87</v>
      </c>
      <c r="X3" s="3" t="s">
        <v>88</v>
      </c>
      <c r="Y3" s="3" t="s">
        <v>89</v>
      </c>
      <c r="Z3" s="3" t="s">
        <v>90</v>
      </c>
      <c r="AA3" s="3" t="s">
        <v>91</v>
      </c>
      <c r="AB3" s="3" t="s">
        <v>296</v>
      </c>
      <c r="AC3" s="39" t="s">
        <v>117</v>
      </c>
      <c r="AD3" s="214" t="s">
        <v>92</v>
      </c>
      <c r="AE3" s="3" t="s">
        <v>93</v>
      </c>
      <c r="AF3" s="3" t="s">
        <v>94</v>
      </c>
      <c r="AG3" s="3" t="s">
        <v>95</v>
      </c>
      <c r="AH3" s="3" t="s">
        <v>96</v>
      </c>
      <c r="AI3" s="3" t="s">
        <v>97</v>
      </c>
      <c r="AJ3" s="3" t="s">
        <v>98</v>
      </c>
      <c r="AK3" s="3" t="s">
        <v>99</v>
      </c>
      <c r="AL3" s="3" t="s">
        <v>100</v>
      </c>
      <c r="AM3" s="3" t="s">
        <v>102</v>
      </c>
      <c r="AN3" s="3" t="s">
        <v>103</v>
      </c>
      <c r="AO3" s="39" t="s">
        <v>104</v>
      </c>
      <c r="AP3" s="3" t="s">
        <v>105</v>
      </c>
      <c r="AQ3" s="39" t="s">
        <v>106</v>
      </c>
      <c r="AR3" s="3" t="s">
        <v>107</v>
      </c>
      <c r="AS3" s="3" t="s">
        <v>108</v>
      </c>
      <c r="AT3" s="3" t="s">
        <v>109</v>
      </c>
      <c r="AU3" s="39" t="s">
        <v>110</v>
      </c>
      <c r="AV3" s="39" t="s">
        <v>111</v>
      </c>
      <c r="AW3" s="39" t="s">
        <v>112</v>
      </c>
      <c r="AX3" s="3" t="s">
        <v>113</v>
      </c>
      <c r="AY3" s="3" t="s">
        <v>114</v>
      </c>
      <c r="AZ3" s="3" t="s">
        <v>115</v>
      </c>
      <c r="BA3" s="3" t="s">
        <v>116</v>
      </c>
      <c r="BB3" s="39" t="s">
        <v>118</v>
      </c>
      <c r="BC3" s="3" t="s">
        <v>119</v>
      </c>
      <c r="BD3" s="3" t="s">
        <v>120</v>
      </c>
      <c r="BE3" s="3" t="s">
        <v>121</v>
      </c>
      <c r="BF3" s="3" t="s">
        <v>122</v>
      </c>
      <c r="BG3" s="3" t="s">
        <v>123</v>
      </c>
      <c r="BH3" s="39" t="s">
        <v>142</v>
      </c>
      <c r="BI3" s="214" t="s">
        <v>124</v>
      </c>
      <c r="BJ3" s="3" t="s">
        <v>125</v>
      </c>
      <c r="BK3" s="47" t="s">
        <v>126</v>
      </c>
      <c r="BO3" s="249">
        <v>-70336</v>
      </c>
      <c r="BP3" s="249" t="s">
        <v>241</v>
      </c>
    </row>
    <row r="4" spans="1:90" s="130" customFormat="1">
      <c r="A4" s="128" t="s">
        <v>205</v>
      </c>
      <c r="B4" s="128" t="s">
        <v>127</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5"/>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5" t="s">
        <v>128</v>
      </c>
      <c r="BJ4" s="128">
        <v>98</v>
      </c>
      <c r="BK4" s="135"/>
      <c r="BO4" s="249">
        <v>-133564</v>
      </c>
      <c r="BP4" s="249" t="s">
        <v>242</v>
      </c>
    </row>
    <row r="5" spans="1:90" s="265" customFormat="1">
      <c r="A5" s="8" t="s">
        <v>129</v>
      </c>
      <c r="B5" s="11" t="s">
        <v>430</v>
      </c>
      <c r="C5" s="266">
        <v>1230156</v>
      </c>
      <c r="D5" s="120">
        <v>713227</v>
      </c>
      <c r="E5" s="120">
        <v>0</v>
      </c>
      <c r="F5" s="120">
        <v>173032</v>
      </c>
      <c r="G5" s="120">
        <v>73336</v>
      </c>
      <c r="H5" s="120">
        <v>0</v>
      </c>
      <c r="I5" s="120">
        <v>0</v>
      </c>
      <c r="J5" s="120">
        <v>1110</v>
      </c>
      <c r="K5" s="120">
        <v>96</v>
      </c>
      <c r="L5" s="120">
        <v>1779</v>
      </c>
      <c r="M5" s="120">
        <v>5067</v>
      </c>
      <c r="N5" s="120">
        <v>7568</v>
      </c>
      <c r="O5" s="120">
        <v>12415</v>
      </c>
      <c r="P5" s="120">
        <v>42512</v>
      </c>
      <c r="Q5" s="120">
        <v>0</v>
      </c>
      <c r="R5" s="120">
        <v>10759</v>
      </c>
      <c r="S5" s="120">
        <v>0</v>
      </c>
      <c r="T5" s="120">
        <v>0</v>
      </c>
      <c r="U5" s="120"/>
      <c r="V5" s="267">
        <v>0</v>
      </c>
      <c r="W5" s="120">
        <v>535</v>
      </c>
      <c r="X5" s="120">
        <v>232</v>
      </c>
      <c r="Y5" s="120">
        <v>6267</v>
      </c>
      <c r="Z5" s="120">
        <v>534</v>
      </c>
      <c r="AA5" s="120">
        <v>322</v>
      </c>
      <c r="AB5" s="120">
        <v>178</v>
      </c>
      <c r="AC5" s="267">
        <v>0</v>
      </c>
      <c r="AD5" s="121">
        <f>SUM(C5:AC5)</f>
        <v>2279125</v>
      </c>
      <c r="AE5" s="120">
        <v>9643</v>
      </c>
      <c r="AF5" s="120">
        <v>3906</v>
      </c>
      <c r="AG5" s="120">
        <v>39097</v>
      </c>
      <c r="AH5" s="120">
        <v>0</v>
      </c>
      <c r="AI5" s="120">
        <v>0</v>
      </c>
      <c r="AJ5" s="120">
        <v>2936</v>
      </c>
      <c r="AK5" s="120">
        <v>2816</v>
      </c>
      <c r="AL5" s="120">
        <v>10247</v>
      </c>
      <c r="AM5" s="120">
        <v>730</v>
      </c>
      <c r="AN5" s="120">
        <v>0</v>
      </c>
      <c r="AO5" s="267">
        <v>45876</v>
      </c>
      <c r="AP5" s="120">
        <v>1</v>
      </c>
      <c r="AQ5" s="267">
        <v>0</v>
      </c>
      <c r="AR5" s="120">
        <v>0</v>
      </c>
      <c r="AS5" s="120">
        <v>0</v>
      </c>
      <c r="AT5" s="120">
        <v>0</v>
      </c>
      <c r="AU5" s="120">
        <v>0</v>
      </c>
      <c r="AV5" s="120">
        <v>0</v>
      </c>
      <c r="AW5" s="120">
        <v>4649</v>
      </c>
      <c r="AX5" s="120">
        <v>10691</v>
      </c>
      <c r="AY5" s="120">
        <v>1938</v>
      </c>
      <c r="AZ5" s="120">
        <v>0</v>
      </c>
      <c r="BA5" s="120">
        <v>0</v>
      </c>
      <c r="BB5" s="267">
        <v>0</v>
      </c>
      <c r="BC5" s="120">
        <v>3355</v>
      </c>
      <c r="BD5" s="120">
        <v>3449</v>
      </c>
      <c r="BE5" s="120">
        <v>5</v>
      </c>
      <c r="BF5" s="120">
        <v>1535</v>
      </c>
      <c r="BG5" s="120">
        <v>56629</v>
      </c>
      <c r="BH5" s="120">
        <f>SUM(AE5:BG5)</f>
        <v>197503</v>
      </c>
      <c r="BI5" s="125">
        <f>AD5+BH5</f>
        <v>2476628</v>
      </c>
      <c r="BJ5" s="120">
        <v>3927</v>
      </c>
      <c r="BK5" s="269">
        <f>BI5-BJ5</f>
        <v>2472701</v>
      </c>
      <c r="BL5" s="120">
        <v>87126</v>
      </c>
      <c r="BM5" s="120">
        <v>0</v>
      </c>
      <c r="BN5" s="120">
        <v>0</v>
      </c>
      <c r="BO5" s="120">
        <v>6542</v>
      </c>
      <c r="BP5" s="120">
        <v>6199</v>
      </c>
      <c r="BQ5" s="120">
        <v>14614</v>
      </c>
      <c r="BR5" s="120">
        <v>1648</v>
      </c>
      <c r="BS5" s="120">
        <v>0</v>
      </c>
      <c r="BT5" s="267">
        <v>97846</v>
      </c>
      <c r="BU5" s="120">
        <v>2</v>
      </c>
      <c r="BV5" s="267">
        <v>0</v>
      </c>
      <c r="BW5" s="120">
        <v>0</v>
      </c>
      <c r="BX5" s="120">
        <v>0</v>
      </c>
      <c r="BY5" s="120">
        <v>0</v>
      </c>
      <c r="BZ5" s="120">
        <v>0</v>
      </c>
      <c r="CA5" s="120">
        <v>0</v>
      </c>
      <c r="CB5" s="120">
        <v>9728</v>
      </c>
      <c r="CC5" s="120">
        <v>26490</v>
      </c>
      <c r="CD5" s="120">
        <v>4706</v>
      </c>
      <c r="CE5" s="120">
        <v>0</v>
      </c>
      <c r="CF5" s="120">
        <v>0</v>
      </c>
      <c r="CG5" s="267">
        <v>0</v>
      </c>
      <c r="CH5" s="120">
        <v>7341</v>
      </c>
      <c r="CI5" s="120">
        <v>7381</v>
      </c>
      <c r="CJ5" s="120">
        <v>10</v>
      </c>
      <c r="CK5" s="120">
        <v>3652</v>
      </c>
      <c r="CL5" s="120">
        <v>60974</v>
      </c>
    </row>
    <row r="6" spans="1:90" s="41" customFormat="1">
      <c r="A6" s="134" t="s">
        <v>129</v>
      </c>
      <c r="B6" s="210" t="s">
        <v>424</v>
      </c>
      <c r="C6" s="266">
        <v>233730</v>
      </c>
      <c r="D6" s="120">
        <v>135513</v>
      </c>
      <c r="E6" s="120">
        <v>0</v>
      </c>
      <c r="F6" s="120">
        <v>32876</v>
      </c>
      <c r="G6" s="120">
        <v>13934</v>
      </c>
      <c r="H6" s="120">
        <v>0</v>
      </c>
      <c r="I6" s="120">
        <v>0</v>
      </c>
      <c r="J6" s="120">
        <v>211</v>
      </c>
      <c r="K6" s="120">
        <v>18</v>
      </c>
      <c r="L6" s="120">
        <v>338</v>
      </c>
      <c r="M6" s="120">
        <v>963</v>
      </c>
      <c r="N6" s="120">
        <v>1438</v>
      </c>
      <c r="O6" s="120">
        <v>2359</v>
      </c>
      <c r="P6" s="120">
        <v>8077</v>
      </c>
      <c r="Q6" s="120">
        <v>0</v>
      </c>
      <c r="R6" s="120">
        <v>2044</v>
      </c>
      <c r="S6" s="120">
        <v>0</v>
      </c>
      <c r="T6" s="120">
        <v>0</v>
      </c>
      <c r="U6" s="120"/>
      <c r="V6" s="267">
        <v>0</v>
      </c>
      <c r="W6" s="120">
        <v>102</v>
      </c>
      <c r="X6" s="120">
        <v>44</v>
      </c>
      <c r="Y6" s="120">
        <v>1191</v>
      </c>
      <c r="Z6" s="120">
        <v>101</v>
      </c>
      <c r="AA6" s="120">
        <v>61</v>
      </c>
      <c r="AB6" s="120">
        <v>34</v>
      </c>
      <c r="AC6" s="267">
        <v>0</v>
      </c>
      <c r="AD6" s="121">
        <f t="shared" ref="AD6" si="0">SUM(C6:AC6)</f>
        <v>433034</v>
      </c>
      <c r="AE6" s="120">
        <v>2314</v>
      </c>
      <c r="AF6" s="120">
        <v>937</v>
      </c>
      <c r="AG6" s="120">
        <v>9383</v>
      </c>
      <c r="AH6" s="120">
        <v>0</v>
      </c>
      <c r="AI6" s="120">
        <v>0</v>
      </c>
      <c r="AJ6" s="120">
        <v>705</v>
      </c>
      <c r="AK6" s="120">
        <v>676</v>
      </c>
      <c r="AL6" s="120">
        <v>2459</v>
      </c>
      <c r="AM6" s="120">
        <v>175</v>
      </c>
      <c r="AN6" s="120">
        <v>0</v>
      </c>
      <c r="AO6" s="267">
        <v>11010</v>
      </c>
      <c r="AP6" s="120">
        <v>0</v>
      </c>
      <c r="AQ6" s="267">
        <v>0</v>
      </c>
      <c r="AR6" s="120">
        <v>0</v>
      </c>
      <c r="AS6" s="120">
        <v>0</v>
      </c>
      <c r="AT6" s="120">
        <v>0</v>
      </c>
      <c r="AU6" s="120">
        <v>0</v>
      </c>
      <c r="AV6" s="120">
        <v>0</v>
      </c>
      <c r="AW6" s="120">
        <v>0</v>
      </c>
      <c r="AX6" s="120">
        <v>2566</v>
      </c>
      <c r="AY6" s="120">
        <v>0</v>
      </c>
      <c r="AZ6" s="120">
        <v>0</v>
      </c>
      <c r="BA6" s="120">
        <v>0</v>
      </c>
      <c r="BB6" s="267">
        <v>0</v>
      </c>
      <c r="BC6" s="120">
        <v>805</v>
      </c>
      <c r="BD6" s="120">
        <v>828</v>
      </c>
      <c r="BE6" s="120">
        <v>1</v>
      </c>
      <c r="BF6" s="120">
        <v>368</v>
      </c>
      <c r="BG6" s="120">
        <v>13591</v>
      </c>
      <c r="BH6" s="120">
        <f>SUM(AE6:BG6)</f>
        <v>45818</v>
      </c>
      <c r="BI6" s="125">
        <f>AD6+BH6</f>
        <v>478852</v>
      </c>
      <c r="BJ6" s="120">
        <v>941</v>
      </c>
      <c r="BK6" s="269">
        <f>BI6-BJ6</f>
        <v>477911</v>
      </c>
      <c r="BL6" s="120">
        <v>87126</v>
      </c>
      <c r="BM6" s="120">
        <v>0</v>
      </c>
      <c r="BN6" s="120">
        <v>0</v>
      </c>
      <c r="BO6" s="120">
        <v>6542</v>
      </c>
      <c r="BP6" s="120">
        <v>6199</v>
      </c>
      <c r="BQ6" s="120">
        <v>14614</v>
      </c>
      <c r="BR6" s="120">
        <v>1648</v>
      </c>
      <c r="BS6" s="120">
        <v>0</v>
      </c>
      <c r="BT6" s="267">
        <v>97846</v>
      </c>
      <c r="BU6" s="120">
        <v>2</v>
      </c>
      <c r="BV6" s="267">
        <v>0</v>
      </c>
      <c r="BW6" s="120">
        <v>0</v>
      </c>
      <c r="BX6" s="120">
        <v>0</v>
      </c>
      <c r="BY6" s="120">
        <v>0</v>
      </c>
      <c r="BZ6" s="120">
        <v>0</v>
      </c>
      <c r="CA6" s="120">
        <v>0</v>
      </c>
      <c r="CB6" s="120">
        <v>9728</v>
      </c>
      <c r="CC6" s="120">
        <v>26490</v>
      </c>
      <c r="CD6" s="120">
        <v>4706</v>
      </c>
      <c r="CE6" s="120">
        <v>0</v>
      </c>
      <c r="CF6" s="120">
        <v>0</v>
      </c>
      <c r="CG6" s="267">
        <v>0</v>
      </c>
      <c r="CH6" s="120">
        <v>7341</v>
      </c>
      <c r="CI6" s="120">
        <v>7381</v>
      </c>
      <c r="CJ6" s="120">
        <v>10</v>
      </c>
      <c r="CK6" s="120">
        <v>3652</v>
      </c>
      <c r="CL6" s="120">
        <v>60974</v>
      </c>
    </row>
    <row r="7" spans="1:90">
      <c r="A7" s="128"/>
      <c r="B7" s="12" t="s">
        <v>425</v>
      </c>
      <c r="C7" s="9">
        <f>IF('Upto Month COPPY'!$B$4="",0,'Upto Month COPPY'!$B$4)</f>
        <v>294663</v>
      </c>
      <c r="D7" s="9">
        <f>IF('Upto Month COPPY'!$B$5="",0,'Upto Month COPPY'!$B$5)</f>
        <v>143504</v>
      </c>
      <c r="E7" s="9">
        <f>IF('Upto Month COPPY'!$B$6="",0,'Upto Month COPPY'!$B$6)</f>
        <v>127</v>
      </c>
      <c r="F7" s="9">
        <f>IF('Upto Month COPPY'!$B$7="",0,'Upto Month COPPY'!$B$7)</f>
        <v>34424</v>
      </c>
      <c r="G7" s="9">
        <f>IF('Upto Month COPPY'!$B$8="",0,'Upto Month COPPY'!$B$8)</f>
        <v>15434</v>
      </c>
      <c r="H7" s="9">
        <f>IF('Upto Month COPPY'!$B$9="",0,'Upto Month COPPY'!$B$9)</f>
        <v>0</v>
      </c>
      <c r="I7" s="9">
        <f>IF('Upto Month COPPY'!$B$10="",0,'Upto Month COPPY'!$B$10)</f>
        <v>0</v>
      </c>
      <c r="J7" s="9">
        <f>IF('Upto Month COPPY'!$B$11="",0,'Upto Month COPPY'!$B$11)</f>
        <v>450</v>
      </c>
      <c r="K7" s="9">
        <f>IF('Upto Month COPPY'!$B$12="",0,'Upto Month COPPY'!$B$12)</f>
        <v>38</v>
      </c>
      <c r="L7" s="9">
        <f>IF('Upto Month COPPY'!$B$13="",0,'Upto Month COPPY'!$B$13)</f>
        <v>637</v>
      </c>
      <c r="M7" s="9">
        <f>IF('Upto Month COPPY'!$B$14="",0,'Upto Month COPPY'!$B$14)</f>
        <v>777</v>
      </c>
      <c r="N7" s="9">
        <f>IF('Upto Month COPPY'!$B$15="",0,'Upto Month COPPY'!$B$15)</f>
        <v>184</v>
      </c>
      <c r="O7" s="9">
        <f>IF('Upto Month COPPY'!$B$16="",0,'Upto Month COPPY'!$B$16)</f>
        <v>2959</v>
      </c>
      <c r="P7" s="9">
        <f>IF('Upto Month COPPY'!$B$17="",0,'Upto Month COPPY'!$B$17)</f>
        <v>12652</v>
      </c>
      <c r="Q7" s="9">
        <f>IF('Upto Month COPPY'!$B$18="",0,'Upto Month COPPY'!$B$18)</f>
        <v>0</v>
      </c>
      <c r="R7" s="9">
        <f>IF('Upto Month COPPY'!$B$21="",0,'Upto Month COPPY'!$B$21)</f>
        <v>4333</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225</v>
      </c>
      <c r="X7" s="9">
        <f>IF('Upto Month COPPY'!$B$40="",0,'Upto Month COPPY'!$B$40)</f>
        <v>0</v>
      </c>
      <c r="Y7" s="9">
        <f>IF('Upto Month COPPY'!$B$42="",0,'Upto Month COPPY'!$B$42)</f>
        <v>509</v>
      </c>
      <c r="Z7" s="9">
        <f>IF('Upto Month COPPY'!$B$43="",0,'Upto Month COPPY'!$B$43)</f>
        <v>181</v>
      </c>
      <c r="AA7" s="9">
        <f>IF('Upto Month COPPY'!$B$44="",0,'Upto Month COPPY'!$B$44)</f>
        <v>179</v>
      </c>
      <c r="AB7" s="9">
        <f>IF('Upto Month COPPY'!$B$48="",0,'Upto Month COPPY'!$B$48)</f>
        <v>41</v>
      </c>
      <c r="AC7" s="9">
        <f>IF('Upto Month COPPY'!$B$51="",0,'Upto Month COPPY'!$B$51)</f>
        <v>0</v>
      </c>
      <c r="AD7" s="221">
        <f t="shared" ref="AD7:AD8" si="1">SUM(C7:AC7)</f>
        <v>511317</v>
      </c>
      <c r="AE7" s="9">
        <f>IF('Upto Month COPPY'!$B$19="",0,'Upto Month COPPY'!$B$19)</f>
        <v>2115</v>
      </c>
      <c r="AF7" s="9">
        <f>IF('Upto Month COPPY'!$B$20="",0,'Upto Month COPPY'!$B$20)</f>
        <v>1055</v>
      </c>
      <c r="AG7" s="9">
        <f>IF('Upto Month COPPY'!$B$22="",0,'Upto Month COPPY'!$B$22)</f>
        <v>8460</v>
      </c>
      <c r="AH7" s="9">
        <f>IF('Upto Month COPPY'!$B$23="",0,'Upto Month COPPY'!$B$23)</f>
        <v>0</v>
      </c>
      <c r="AI7" s="9">
        <f>IF('Upto Month COPPY'!$B$24="",0,'Upto Month COPPY'!$B$24)</f>
        <v>0</v>
      </c>
      <c r="AJ7" s="9">
        <f>IF('Upto Month COPPY'!$B$25="",0,'Upto Month COPPY'!$B$25)</f>
        <v>560</v>
      </c>
      <c r="AK7" s="9">
        <f>IF('Upto Month COPPY'!$B$28="",0,'Upto Month COPPY'!$B$28)</f>
        <v>1517</v>
      </c>
      <c r="AL7" s="9">
        <f>IF('Upto Month COPPY'!$B$29="",0,'Upto Month COPPY'!$B$29)</f>
        <v>2653</v>
      </c>
      <c r="AM7" s="9">
        <f>IF('Upto Month COPPY'!$B$31="",0,'Upto Month COPPY'!$B$31)</f>
        <v>0</v>
      </c>
      <c r="AN7" s="9">
        <f>IF('Upto Month COPPY'!$B$32="",0,'Upto Month COPPY'!$B$32)</f>
        <v>0</v>
      </c>
      <c r="AO7" s="9">
        <f>IF('Upto Month COPPY'!$B$33="",0,'Upto Month COPPY'!$B$33)</f>
        <v>12033</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2245</v>
      </c>
      <c r="AX7" s="9">
        <f>IF('Upto Month COPPY'!$B$46="",0,'Upto Month COPPY'!$B$46)</f>
        <v>2076</v>
      </c>
      <c r="AY7" s="9">
        <f>IF('Upto Month COPPY'!$B$47="",0,'Upto Month COPPY'!$B$47)</f>
        <v>1041</v>
      </c>
      <c r="AZ7" s="9">
        <f>IF('Upto Month COPPY'!$B$49="",0,'Upto Month COPPY'!$B$49)</f>
        <v>0</v>
      </c>
      <c r="BA7" s="9">
        <f>IF('Upto Month COPPY'!$B$50="",0,'Upto Month COPPY'!$B$50)</f>
        <v>0</v>
      </c>
      <c r="BB7" s="9">
        <f>IF('Upto Month COPPY'!$B$52="",0,'Upto Month COPPY'!$B$52)</f>
        <v>0</v>
      </c>
      <c r="BC7" s="9">
        <f>IF('Upto Month COPPY'!$B$53="",0,'Upto Month COPPY'!$B$53)</f>
        <v>923</v>
      </c>
      <c r="BD7" s="9">
        <f>IF('Upto Month COPPY'!$B$54="",0,'Upto Month COPPY'!$B$54)</f>
        <v>923</v>
      </c>
      <c r="BE7" s="9">
        <f>IF('Upto Month COPPY'!$B$55="",0,'Upto Month COPPY'!$B$55)</f>
        <v>0</v>
      </c>
      <c r="BF7" s="9">
        <f>IF('Upto Month COPPY'!$B$56="",0,'Upto Month COPPY'!$B$56)</f>
        <v>129</v>
      </c>
      <c r="BG7" s="9">
        <f>IF('Upto Month COPPY'!$B$58="",0,'Upto Month COPPY'!$B$58)</f>
        <v>2812</v>
      </c>
      <c r="BH7" s="9">
        <f>SUM(AE7:BG7)</f>
        <v>38542</v>
      </c>
      <c r="BI7" s="274">
        <f>AD7+BH7</f>
        <v>549859</v>
      </c>
      <c r="BJ7" s="9">
        <f>IF('Upto Month COPPY'!$B$60="",0,'Upto Month COPPY'!$B$60)</f>
        <v>141</v>
      </c>
      <c r="BK7" s="49">
        <f t="shared" ref="BK7" si="2">BI7-BJ7</f>
        <v>549718</v>
      </c>
      <c r="BL7">
        <f>'Upto Month COPPY'!$B$61</f>
        <v>549715</v>
      </c>
      <c r="BM7" s="30">
        <f t="shared" ref="BM7:BM11" si="3">BK7-AD7</f>
        <v>38401</v>
      </c>
      <c r="BO7" s="249">
        <v>-184</v>
      </c>
      <c r="BP7" s="249" t="s">
        <v>245</v>
      </c>
    </row>
    <row r="8" spans="1:90">
      <c r="A8" s="128"/>
      <c r="B8" s="180" t="s">
        <v>426</v>
      </c>
      <c r="C8" s="9">
        <f>IF('Upto Month Current'!$B$4="",0,'Upto Month Current'!$B$4)</f>
        <v>310269</v>
      </c>
      <c r="D8" s="9">
        <f>IF('Upto Month Current'!$B$5="",0,'Upto Month Current'!$B$5)</f>
        <v>175762</v>
      </c>
      <c r="E8" s="9">
        <f>IF('Upto Month Current'!$B$6="",0,'Upto Month Current'!$B$6)</f>
        <v>37</v>
      </c>
      <c r="F8" s="9">
        <f>IF('Upto Month Current'!$B$7="",0,'Upto Month Current'!$B$7)</f>
        <v>37500</v>
      </c>
      <c r="G8" s="9">
        <f>IF('Upto Month Current'!$B$8="",0,'Upto Month Current'!$B$8)</f>
        <v>17619</v>
      </c>
      <c r="H8" s="9">
        <f>IF('Upto Month Current'!$B$9="",0,'Upto Month Current'!$B$9)</f>
        <v>0</v>
      </c>
      <c r="I8" s="9">
        <f>IF('Upto Month Current'!$B$10="",0,'Upto Month Current'!$B$10)</f>
        <v>0</v>
      </c>
      <c r="J8" s="9">
        <f>IF('Upto Month Current'!$B$11="",0,'Upto Month Current'!$B$11)</f>
        <v>836</v>
      </c>
      <c r="K8" s="9">
        <f>IF('Upto Month Current'!$B$12="",0,'Upto Month Current'!$B$12)</f>
        <v>0</v>
      </c>
      <c r="L8" s="9">
        <f>IF('Upto Month Current'!$B$13="",0,'Upto Month Current'!$B$13)</f>
        <v>643</v>
      </c>
      <c r="M8" s="9">
        <f>IF('Upto Month Current'!$B$14="",0,'Upto Month Current'!$B$14)</f>
        <v>657</v>
      </c>
      <c r="N8" s="9">
        <f>IF('Upto Month Current'!$B$15="",0,'Upto Month Current'!$B$15)</f>
        <v>99</v>
      </c>
      <c r="O8" s="9">
        <f>IF('Upto Month Current'!$B$16="",0,'Upto Month Current'!$B$16)</f>
        <v>1006</v>
      </c>
      <c r="P8" s="9">
        <f>IF('Upto Month Current'!$B$17="",0,'Upto Month Current'!$B$17)</f>
        <v>7993</v>
      </c>
      <c r="Q8" s="9">
        <f>IF('Upto Month Current'!$B$18="",0,'Upto Month Current'!$B$18)</f>
        <v>0</v>
      </c>
      <c r="R8" s="9">
        <f>IF('Upto Month Current'!$B$21="",0,'Upto Month Current'!$B$21)</f>
        <v>1695</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32</v>
      </c>
      <c r="X8" s="9">
        <f>IF('Upto Month Current'!$B$40="",0,'Upto Month Current'!$B$40)</f>
        <v>0</v>
      </c>
      <c r="Y8" s="9">
        <f>IF('Upto Month Current'!$B$42="",0,'Upto Month Current'!$B$42)</f>
        <v>1108</v>
      </c>
      <c r="Z8" s="9">
        <f>IF('Upto Month Current'!$B$43="",0,'Upto Month Current'!$B$43)</f>
        <v>441</v>
      </c>
      <c r="AA8" s="9">
        <f>IF('Upto Month Current'!$B$44="",0,'Upto Month Current'!$B$44)</f>
        <v>792</v>
      </c>
      <c r="AB8" s="9">
        <f>IF('Upto Month Current'!$B$48="",0,'Upto Month Current'!$B$48)</f>
        <v>80</v>
      </c>
      <c r="AC8" s="9">
        <f>IF('Upto Month Current'!$B$51="",0,'Upto Month Current'!$B$51)</f>
        <v>0</v>
      </c>
      <c r="AD8" s="221">
        <f t="shared" si="1"/>
        <v>556569</v>
      </c>
      <c r="AE8" s="9">
        <f>IF('Upto Month Current'!$B$19="",0,'Upto Month Current'!$B$19)</f>
        <v>2695</v>
      </c>
      <c r="AF8" s="9">
        <f>IF('Upto Month Current'!$B$20="",0,'Upto Month Current'!$B$20)</f>
        <v>1291</v>
      </c>
      <c r="AG8" s="9">
        <f>IF('Upto Month Current'!$B$22="",0,'Upto Month Current'!$B$22)</f>
        <v>34436</v>
      </c>
      <c r="AH8" s="9">
        <f>IF('Upto Month Current'!$B$23="",0,'Upto Month Current'!$B$23)</f>
        <v>0</v>
      </c>
      <c r="AI8" s="9">
        <f>IF('Upto Month Current'!$B$24="",0,'Upto Month Current'!$B$24)</f>
        <v>0</v>
      </c>
      <c r="AJ8" s="9">
        <f>IF('Upto Month Current'!$B$25="",0,'Upto Month Current'!$B$25)</f>
        <v>420</v>
      </c>
      <c r="AK8" s="9">
        <f>IF('Upto Month Current'!$B$28="",0,'Upto Month Current'!$B$28)</f>
        <v>2314</v>
      </c>
      <c r="AL8" s="9">
        <f>IF('Upto Month Current'!$B$29="",0,'Upto Month Current'!$B$29)</f>
        <v>1438</v>
      </c>
      <c r="AM8" s="9">
        <f>IF('Upto Month Current'!$B$31="",0,'Upto Month Current'!$B$31)</f>
        <v>72</v>
      </c>
      <c r="AN8" s="9">
        <f>IF('Upto Month Current'!$B$32="",0,'Upto Month Current'!$B$32)</f>
        <v>0</v>
      </c>
      <c r="AO8" s="9">
        <f>IF('Upto Month Current'!$B$33="",0,'Upto Month Current'!$B$33)</f>
        <v>15730</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1171</v>
      </c>
      <c r="AY8" s="9">
        <f>IF('Upto Month Current'!$B$47="",0,'Upto Month Current'!$B$47)</f>
        <v>0</v>
      </c>
      <c r="AZ8" s="9">
        <f>IF('Upto Month Current'!$B$49="",0,'Upto Month Current'!$B$49)</f>
        <v>0</v>
      </c>
      <c r="BA8" s="9">
        <f>IF('Upto Month Current'!$B$50="",0,'Upto Month Current'!$B$50)</f>
        <v>0</v>
      </c>
      <c r="BB8" s="9">
        <f>IF('Upto Month Current'!$B$52="",0,'Upto Month Current'!$B$52)</f>
        <v>0</v>
      </c>
      <c r="BC8" s="9">
        <f>IF('Upto Month Current'!$B$53="",0,'Upto Month Current'!$B$53)</f>
        <v>648</v>
      </c>
      <c r="BD8" s="9">
        <f>IF('Upto Month Current'!$B$54="",0,'Upto Month Current'!$B$54)</f>
        <v>648</v>
      </c>
      <c r="BE8" s="9">
        <f>IF('Upto Month Current'!$B$55="",0,'Upto Month Current'!$B$55)</f>
        <v>0</v>
      </c>
      <c r="BF8" s="9">
        <f>IF('Upto Month Current'!$B$56="",0,'Upto Month Current'!$B$56)</f>
        <v>163</v>
      </c>
      <c r="BG8" s="9">
        <f>IF('Upto Month Current'!$B$58="",0,'Upto Month Current'!$B$58)</f>
        <v>7674</v>
      </c>
      <c r="BH8" s="9">
        <f>SUM(AE8:BG8)</f>
        <v>68700</v>
      </c>
      <c r="BI8" s="274">
        <f>AD8+BH8</f>
        <v>625269</v>
      </c>
      <c r="BJ8" s="9">
        <f>IF('Upto Month Current'!$B$60="",0,'Upto Month Current'!$B$60)</f>
        <v>1218</v>
      </c>
      <c r="BK8" s="49">
        <f t="shared" ref="BK8" si="4">BI8-BJ8</f>
        <v>624051</v>
      </c>
      <c r="BL8">
        <f>'Upto Month Current'!$B$61</f>
        <v>624049</v>
      </c>
      <c r="BM8" s="30">
        <f t="shared" si="3"/>
        <v>67482</v>
      </c>
      <c r="BO8" s="249">
        <v>-495057</v>
      </c>
      <c r="BP8" s="249" t="s">
        <v>246</v>
      </c>
    </row>
    <row r="9" spans="1:90">
      <c r="A9" s="128"/>
      <c r="B9" s="5" t="s">
        <v>130</v>
      </c>
      <c r="C9" s="11">
        <f>C8-C6</f>
        <v>76539</v>
      </c>
      <c r="D9" s="11">
        <f t="shared" ref="D9:BK9" si="5">D8-D6</f>
        <v>40249</v>
      </c>
      <c r="E9" s="11">
        <f t="shared" si="5"/>
        <v>37</v>
      </c>
      <c r="F9" s="11">
        <f t="shared" si="5"/>
        <v>4624</v>
      </c>
      <c r="G9" s="11">
        <f t="shared" si="5"/>
        <v>3685</v>
      </c>
      <c r="H9" s="11">
        <f t="shared" si="5"/>
        <v>0</v>
      </c>
      <c r="I9" s="11">
        <f t="shared" si="5"/>
        <v>0</v>
      </c>
      <c r="J9" s="11">
        <f t="shared" si="5"/>
        <v>625</v>
      </c>
      <c r="K9" s="11">
        <f t="shared" si="5"/>
        <v>-18</v>
      </c>
      <c r="L9" s="11">
        <f t="shared" si="5"/>
        <v>305</v>
      </c>
      <c r="M9" s="11">
        <f t="shared" si="5"/>
        <v>-306</v>
      </c>
      <c r="N9" s="11">
        <f t="shared" si="5"/>
        <v>-1339</v>
      </c>
      <c r="O9" s="11">
        <f t="shared" si="5"/>
        <v>-1353</v>
      </c>
      <c r="P9" s="11">
        <f t="shared" si="5"/>
        <v>-84</v>
      </c>
      <c r="Q9" s="11">
        <f t="shared" si="5"/>
        <v>0</v>
      </c>
      <c r="R9" s="11">
        <f t="shared" si="5"/>
        <v>-349</v>
      </c>
      <c r="S9" s="11">
        <f t="shared" si="5"/>
        <v>0</v>
      </c>
      <c r="T9" s="11">
        <f t="shared" si="5"/>
        <v>0</v>
      </c>
      <c r="U9" s="11">
        <f t="shared" ref="U9" si="6">U8-U6</f>
        <v>0</v>
      </c>
      <c r="V9" s="9">
        <f t="shared" si="5"/>
        <v>0</v>
      </c>
      <c r="W9" s="11">
        <f t="shared" si="5"/>
        <v>-70</v>
      </c>
      <c r="X9" s="11">
        <f t="shared" si="5"/>
        <v>-44</v>
      </c>
      <c r="Y9" s="11">
        <f t="shared" si="5"/>
        <v>-83</v>
      </c>
      <c r="Z9" s="11">
        <f t="shared" si="5"/>
        <v>340</v>
      </c>
      <c r="AA9" s="11">
        <f t="shared" si="5"/>
        <v>731</v>
      </c>
      <c r="AB9" s="11">
        <f t="shared" ref="AB9" si="7">AB8-AB6</f>
        <v>46</v>
      </c>
      <c r="AC9" s="9">
        <f t="shared" ref="AC9" si="8">AC8-AC6</f>
        <v>0</v>
      </c>
      <c r="AD9" s="216">
        <f t="shared" si="5"/>
        <v>123535</v>
      </c>
      <c r="AE9" s="11">
        <f t="shared" si="5"/>
        <v>381</v>
      </c>
      <c r="AF9" s="11">
        <f t="shared" si="5"/>
        <v>354</v>
      </c>
      <c r="AG9" s="11">
        <f t="shared" si="5"/>
        <v>25053</v>
      </c>
      <c r="AH9" s="11">
        <f t="shared" si="5"/>
        <v>0</v>
      </c>
      <c r="AI9" s="11">
        <f t="shared" si="5"/>
        <v>0</v>
      </c>
      <c r="AJ9" s="11">
        <f t="shared" si="5"/>
        <v>-285</v>
      </c>
      <c r="AK9" s="11">
        <f t="shared" si="5"/>
        <v>1638</v>
      </c>
      <c r="AL9" s="11">
        <f t="shared" si="5"/>
        <v>-1021</v>
      </c>
      <c r="AM9" s="11">
        <f t="shared" si="5"/>
        <v>-103</v>
      </c>
      <c r="AN9" s="11">
        <f t="shared" si="5"/>
        <v>0</v>
      </c>
      <c r="AO9" s="9">
        <f t="shared" si="5"/>
        <v>4720</v>
      </c>
      <c r="AP9" s="11">
        <f t="shared" si="5"/>
        <v>0</v>
      </c>
      <c r="AQ9" s="9">
        <f t="shared" si="5"/>
        <v>0</v>
      </c>
      <c r="AR9" s="11">
        <f t="shared" si="5"/>
        <v>0</v>
      </c>
      <c r="AS9" s="11">
        <f t="shared" si="5"/>
        <v>0</v>
      </c>
      <c r="AT9" s="11">
        <f t="shared" si="5"/>
        <v>0</v>
      </c>
      <c r="AU9" s="11">
        <f t="shared" si="5"/>
        <v>0</v>
      </c>
      <c r="AV9" s="11">
        <f t="shared" si="5"/>
        <v>0</v>
      </c>
      <c r="AW9" s="11">
        <f t="shared" si="5"/>
        <v>0</v>
      </c>
      <c r="AX9" s="11">
        <f t="shared" si="5"/>
        <v>-1395</v>
      </c>
      <c r="AY9" s="11">
        <f t="shared" si="5"/>
        <v>0</v>
      </c>
      <c r="AZ9" s="11">
        <f t="shared" si="5"/>
        <v>0</v>
      </c>
      <c r="BA9" s="11">
        <f t="shared" si="5"/>
        <v>0</v>
      </c>
      <c r="BB9" s="9">
        <f t="shared" si="5"/>
        <v>0</v>
      </c>
      <c r="BC9" s="11">
        <f t="shared" si="5"/>
        <v>-157</v>
      </c>
      <c r="BD9" s="11">
        <f t="shared" si="5"/>
        <v>-180</v>
      </c>
      <c r="BE9" s="11">
        <f t="shared" si="5"/>
        <v>-1</v>
      </c>
      <c r="BF9" s="11">
        <f t="shared" si="5"/>
        <v>-205</v>
      </c>
      <c r="BG9" s="11">
        <f t="shared" si="5"/>
        <v>-5917</v>
      </c>
      <c r="BH9" s="9">
        <f t="shared" si="5"/>
        <v>22882</v>
      </c>
      <c r="BI9" s="9">
        <f t="shared" si="5"/>
        <v>146417</v>
      </c>
      <c r="BJ9" s="11">
        <f t="shared" si="5"/>
        <v>277</v>
      </c>
      <c r="BK9" s="49">
        <f t="shared" si="5"/>
        <v>146140</v>
      </c>
      <c r="BM9" s="30">
        <f t="shared" si="3"/>
        <v>22605</v>
      </c>
      <c r="BO9" s="249">
        <v>-6393</v>
      </c>
      <c r="BP9" s="249" t="s">
        <v>247</v>
      </c>
    </row>
    <row r="10" spans="1:90">
      <c r="A10" s="128"/>
      <c r="B10" s="5" t="s">
        <v>131</v>
      </c>
      <c r="C10" s="13">
        <f>C9/C6</f>
        <v>0.32746759080990889</v>
      </c>
      <c r="D10" s="13">
        <f t="shared" ref="D10:BM10" si="9">D9/D6</f>
        <v>0.29701209478057455</v>
      </c>
      <c r="E10" s="13">
        <v>0</v>
      </c>
      <c r="F10" s="13">
        <f t="shared" si="9"/>
        <v>0.14064971407713833</v>
      </c>
      <c r="G10" s="13">
        <f t="shared" si="9"/>
        <v>0.26446103057269987</v>
      </c>
      <c r="H10" s="13" t="e">
        <f t="shared" si="9"/>
        <v>#DIV/0!</v>
      </c>
      <c r="I10" s="13" t="e">
        <f t="shared" si="9"/>
        <v>#DIV/0!</v>
      </c>
      <c r="J10" s="13">
        <f t="shared" si="9"/>
        <v>2.9620853080568721</v>
      </c>
      <c r="K10" s="13">
        <f t="shared" si="9"/>
        <v>-1</v>
      </c>
      <c r="L10" s="13">
        <f t="shared" si="9"/>
        <v>0.90236686390532539</v>
      </c>
      <c r="M10" s="13">
        <f t="shared" si="9"/>
        <v>-0.31775700934579437</v>
      </c>
      <c r="N10" s="13">
        <f t="shared" si="9"/>
        <v>-0.93115438108484005</v>
      </c>
      <c r="O10" s="13">
        <f t="shared" si="9"/>
        <v>-0.57354811360746083</v>
      </c>
      <c r="P10" s="13">
        <f t="shared" si="9"/>
        <v>-1.0399900953324255E-2</v>
      </c>
      <c r="Q10" s="13" t="e">
        <f t="shared" si="9"/>
        <v>#DIV/0!</v>
      </c>
      <c r="R10" s="13">
        <f t="shared" si="9"/>
        <v>-0.17074363992172212</v>
      </c>
      <c r="S10" s="13" t="e">
        <f t="shared" si="9"/>
        <v>#DIV/0!</v>
      </c>
      <c r="T10" s="13" t="e">
        <f t="shared" si="9"/>
        <v>#DIV/0!</v>
      </c>
      <c r="U10" s="13" t="e">
        <f t="shared" ref="U10" si="10">U9/U6</f>
        <v>#DIV/0!</v>
      </c>
      <c r="V10" s="160" t="e">
        <f t="shared" si="9"/>
        <v>#DIV/0!</v>
      </c>
      <c r="W10" s="13">
        <f t="shared" si="9"/>
        <v>-0.68627450980392157</v>
      </c>
      <c r="X10" s="13">
        <f t="shared" si="9"/>
        <v>-1</v>
      </c>
      <c r="Y10" s="13">
        <f t="shared" si="9"/>
        <v>-6.9689336691855577E-2</v>
      </c>
      <c r="Z10" s="13">
        <f t="shared" si="9"/>
        <v>3.3663366336633662</v>
      </c>
      <c r="AA10" s="13">
        <f t="shared" si="9"/>
        <v>11.983606557377049</v>
      </c>
      <c r="AB10" s="13">
        <f t="shared" ref="AB10" si="11">AB9/AB6</f>
        <v>1.3529411764705883</v>
      </c>
      <c r="AC10" s="160" t="e">
        <f t="shared" ref="AC10" si="12">AC9/AC6</f>
        <v>#DIV/0!</v>
      </c>
      <c r="AD10" s="217">
        <f t="shared" si="9"/>
        <v>0.28527783037821508</v>
      </c>
      <c r="AE10" s="13">
        <f t="shared" si="9"/>
        <v>0.16464995678478825</v>
      </c>
      <c r="AF10" s="13">
        <f t="shared" si="9"/>
        <v>0.37780149413020275</v>
      </c>
      <c r="AG10" s="13">
        <f t="shared" si="9"/>
        <v>2.6700415645315996</v>
      </c>
      <c r="AH10" s="13" t="e">
        <f t="shared" si="9"/>
        <v>#DIV/0!</v>
      </c>
      <c r="AI10" s="13" t="e">
        <f t="shared" si="9"/>
        <v>#DIV/0!</v>
      </c>
      <c r="AJ10" s="13">
        <f t="shared" si="9"/>
        <v>-0.40425531914893614</v>
      </c>
      <c r="AK10" s="13">
        <f t="shared" si="9"/>
        <v>2.4230769230769229</v>
      </c>
      <c r="AL10" s="13">
        <f t="shared" si="9"/>
        <v>-0.41520943472956484</v>
      </c>
      <c r="AM10" s="13">
        <f t="shared" si="9"/>
        <v>-0.58857142857142852</v>
      </c>
      <c r="AN10" s="13" t="e">
        <f t="shared" si="9"/>
        <v>#DIV/0!</v>
      </c>
      <c r="AO10" s="160">
        <f t="shared" si="9"/>
        <v>0.42870118074477748</v>
      </c>
      <c r="AP10" s="13" t="e">
        <f t="shared" si="9"/>
        <v>#DIV/0!</v>
      </c>
      <c r="AQ10" s="160" t="e">
        <f t="shared" si="9"/>
        <v>#DIV/0!</v>
      </c>
      <c r="AR10" s="13" t="e">
        <f t="shared" si="9"/>
        <v>#DIV/0!</v>
      </c>
      <c r="AS10" s="13" t="e">
        <f t="shared" si="9"/>
        <v>#DIV/0!</v>
      </c>
      <c r="AT10" s="13" t="e">
        <f t="shared" si="9"/>
        <v>#DIV/0!</v>
      </c>
      <c r="AU10" s="13" t="e">
        <f t="shared" si="9"/>
        <v>#DIV/0!</v>
      </c>
      <c r="AV10" s="13" t="e">
        <f t="shared" si="9"/>
        <v>#DIV/0!</v>
      </c>
      <c r="AW10" s="13" t="e">
        <f t="shared" si="9"/>
        <v>#DIV/0!</v>
      </c>
      <c r="AX10" s="13">
        <f t="shared" si="9"/>
        <v>-0.54364770070148094</v>
      </c>
      <c r="AY10" s="13" t="e">
        <f t="shared" si="9"/>
        <v>#DIV/0!</v>
      </c>
      <c r="AZ10" s="13" t="e">
        <f t="shared" si="9"/>
        <v>#DIV/0!</v>
      </c>
      <c r="BA10" s="13" t="e">
        <f t="shared" si="9"/>
        <v>#DIV/0!</v>
      </c>
      <c r="BB10" s="160" t="e">
        <f t="shared" si="9"/>
        <v>#DIV/0!</v>
      </c>
      <c r="BC10" s="13">
        <f t="shared" si="9"/>
        <v>-0.19503105590062111</v>
      </c>
      <c r="BD10" s="13">
        <f t="shared" si="9"/>
        <v>-0.21739130434782608</v>
      </c>
      <c r="BE10" s="13">
        <f t="shared" si="9"/>
        <v>-1</v>
      </c>
      <c r="BF10" s="13">
        <f t="shared" si="9"/>
        <v>-0.55706521739130432</v>
      </c>
      <c r="BG10" s="13">
        <f t="shared" si="9"/>
        <v>-0.43536163637701419</v>
      </c>
      <c r="BH10" s="160">
        <f t="shared" si="9"/>
        <v>0.49941071194726966</v>
      </c>
      <c r="BI10" s="160">
        <f t="shared" si="9"/>
        <v>0.30576670871166872</v>
      </c>
      <c r="BJ10" s="13">
        <f t="shared" si="9"/>
        <v>0.29436769394261425</v>
      </c>
      <c r="BK10" s="50">
        <f t="shared" si="9"/>
        <v>0.30578915321053501</v>
      </c>
      <c r="BM10" s="160" t="e">
        <f t="shared" si="9"/>
        <v>#DIV/0!</v>
      </c>
      <c r="BO10" s="249">
        <v>0</v>
      </c>
      <c r="BP10" s="249" t="s">
        <v>248</v>
      </c>
    </row>
    <row r="11" spans="1:90">
      <c r="A11" s="128"/>
      <c r="B11" s="5" t="s">
        <v>132</v>
      </c>
      <c r="C11" s="11">
        <f>C8-C7</f>
        <v>15606</v>
      </c>
      <c r="D11" s="11">
        <f t="shared" ref="D11:BK11" si="13">D8-D7</f>
        <v>32258</v>
      </c>
      <c r="E11" s="11">
        <f t="shared" si="13"/>
        <v>-90</v>
      </c>
      <c r="F11" s="11">
        <f t="shared" si="13"/>
        <v>3076</v>
      </c>
      <c r="G11" s="11">
        <f t="shared" si="13"/>
        <v>2185</v>
      </c>
      <c r="H11" s="11">
        <f t="shared" si="13"/>
        <v>0</v>
      </c>
      <c r="I11" s="11">
        <f t="shared" si="13"/>
        <v>0</v>
      </c>
      <c r="J11" s="11">
        <f t="shared" si="13"/>
        <v>386</v>
      </c>
      <c r="K11" s="11">
        <f t="shared" si="13"/>
        <v>-38</v>
      </c>
      <c r="L11" s="11">
        <f t="shared" si="13"/>
        <v>6</v>
      </c>
      <c r="M11" s="11">
        <f t="shared" si="13"/>
        <v>-120</v>
      </c>
      <c r="N11" s="11">
        <f t="shared" si="13"/>
        <v>-85</v>
      </c>
      <c r="O11" s="11">
        <f t="shared" si="13"/>
        <v>-1953</v>
      </c>
      <c r="P11" s="11">
        <f t="shared" si="13"/>
        <v>-4659</v>
      </c>
      <c r="Q11" s="11">
        <f t="shared" si="13"/>
        <v>0</v>
      </c>
      <c r="R11" s="11">
        <f t="shared" si="13"/>
        <v>-2638</v>
      </c>
      <c r="S11" s="11">
        <f t="shared" si="13"/>
        <v>0</v>
      </c>
      <c r="T11" s="11">
        <f t="shared" si="13"/>
        <v>0</v>
      </c>
      <c r="U11" s="11">
        <f t="shared" ref="U11" si="14">U8-U7</f>
        <v>0</v>
      </c>
      <c r="V11" s="9">
        <f t="shared" si="13"/>
        <v>0</v>
      </c>
      <c r="W11" s="11">
        <f t="shared" si="13"/>
        <v>-193</v>
      </c>
      <c r="X11" s="11">
        <f t="shared" si="13"/>
        <v>0</v>
      </c>
      <c r="Y11" s="11">
        <f t="shared" si="13"/>
        <v>599</v>
      </c>
      <c r="Z11" s="11">
        <f t="shared" si="13"/>
        <v>260</v>
      </c>
      <c r="AA11" s="11">
        <f t="shared" si="13"/>
        <v>613</v>
      </c>
      <c r="AB11" s="11">
        <f t="shared" ref="AB11" si="15">AB8-AB7</f>
        <v>39</v>
      </c>
      <c r="AC11" s="9">
        <f t="shared" ref="AC11" si="16">AC8-AC7</f>
        <v>0</v>
      </c>
      <c r="AD11" s="216">
        <f t="shared" si="13"/>
        <v>45252</v>
      </c>
      <c r="AE11" s="11">
        <f t="shared" si="13"/>
        <v>580</v>
      </c>
      <c r="AF11" s="11">
        <f t="shared" si="13"/>
        <v>236</v>
      </c>
      <c r="AG11" s="11">
        <f t="shared" si="13"/>
        <v>25976</v>
      </c>
      <c r="AH11" s="11">
        <f t="shared" si="13"/>
        <v>0</v>
      </c>
      <c r="AI11" s="11">
        <f t="shared" si="13"/>
        <v>0</v>
      </c>
      <c r="AJ11" s="11">
        <f t="shared" si="13"/>
        <v>-140</v>
      </c>
      <c r="AK11" s="11">
        <f t="shared" si="13"/>
        <v>797</v>
      </c>
      <c r="AL11" s="11">
        <f t="shared" si="13"/>
        <v>-1215</v>
      </c>
      <c r="AM11" s="11">
        <f t="shared" si="13"/>
        <v>72</v>
      </c>
      <c r="AN11" s="11">
        <f t="shared" si="13"/>
        <v>0</v>
      </c>
      <c r="AO11" s="9">
        <f t="shared" si="13"/>
        <v>3697</v>
      </c>
      <c r="AP11" s="11">
        <f t="shared" si="13"/>
        <v>0</v>
      </c>
      <c r="AQ11" s="9">
        <f t="shared" si="13"/>
        <v>0</v>
      </c>
      <c r="AR11" s="11">
        <f t="shared" si="13"/>
        <v>0</v>
      </c>
      <c r="AS11" s="11">
        <f t="shared" si="13"/>
        <v>0</v>
      </c>
      <c r="AT11" s="11">
        <f t="shared" si="13"/>
        <v>0</v>
      </c>
      <c r="AU11" s="11">
        <f t="shared" si="13"/>
        <v>0</v>
      </c>
      <c r="AV11" s="11">
        <f t="shared" si="13"/>
        <v>0</v>
      </c>
      <c r="AW11" s="11">
        <f t="shared" si="13"/>
        <v>-2245</v>
      </c>
      <c r="AX11" s="11">
        <f t="shared" si="13"/>
        <v>-905</v>
      </c>
      <c r="AY11" s="11">
        <f t="shared" si="13"/>
        <v>-1041</v>
      </c>
      <c r="AZ11" s="11">
        <f t="shared" si="13"/>
        <v>0</v>
      </c>
      <c r="BA11" s="11">
        <f t="shared" si="13"/>
        <v>0</v>
      </c>
      <c r="BB11" s="9">
        <f t="shared" si="13"/>
        <v>0</v>
      </c>
      <c r="BC11" s="11">
        <f t="shared" si="13"/>
        <v>-275</v>
      </c>
      <c r="BD11" s="11">
        <f t="shared" si="13"/>
        <v>-275</v>
      </c>
      <c r="BE11" s="11">
        <f t="shared" si="13"/>
        <v>0</v>
      </c>
      <c r="BF11" s="11">
        <f t="shared" si="13"/>
        <v>34</v>
      </c>
      <c r="BG11" s="11">
        <f t="shared" si="13"/>
        <v>4862</v>
      </c>
      <c r="BH11" s="9">
        <f t="shared" si="13"/>
        <v>30158</v>
      </c>
      <c r="BI11" s="9">
        <f t="shared" si="13"/>
        <v>75410</v>
      </c>
      <c r="BJ11" s="11">
        <f t="shared" si="13"/>
        <v>1077</v>
      </c>
      <c r="BK11" s="49">
        <f t="shared" si="13"/>
        <v>74333</v>
      </c>
      <c r="BM11" s="30">
        <f t="shared" si="3"/>
        <v>29081</v>
      </c>
      <c r="BO11" s="249">
        <v>-21057</v>
      </c>
      <c r="BP11" s="249" t="s">
        <v>250</v>
      </c>
    </row>
    <row r="12" spans="1:90">
      <c r="A12" s="128"/>
      <c r="B12" s="5" t="s">
        <v>133</v>
      </c>
      <c r="C12" s="13">
        <f>C11/C7</f>
        <v>5.296219749340772E-2</v>
      </c>
      <c r="D12" s="13">
        <f t="shared" ref="D12:BM12" si="17">D11/D7</f>
        <v>0.22478815921507414</v>
      </c>
      <c r="E12" s="13">
        <f t="shared" si="17"/>
        <v>-0.70866141732283461</v>
      </c>
      <c r="F12" s="13">
        <f t="shared" si="17"/>
        <v>8.9356263072275163E-2</v>
      </c>
      <c r="G12" s="13">
        <f t="shared" si="17"/>
        <v>0.14157055850719191</v>
      </c>
      <c r="H12" s="13" t="e">
        <f t="shared" si="17"/>
        <v>#DIV/0!</v>
      </c>
      <c r="I12" s="13" t="e">
        <f t="shared" si="17"/>
        <v>#DIV/0!</v>
      </c>
      <c r="J12" s="13">
        <f t="shared" si="17"/>
        <v>0.85777777777777775</v>
      </c>
      <c r="K12" s="13">
        <f t="shared" si="17"/>
        <v>-1</v>
      </c>
      <c r="L12" s="13">
        <f t="shared" si="17"/>
        <v>9.4191522762951327E-3</v>
      </c>
      <c r="M12" s="13">
        <f t="shared" si="17"/>
        <v>-0.15444015444015444</v>
      </c>
      <c r="N12" s="13">
        <f t="shared" si="17"/>
        <v>-0.46195652173913043</v>
      </c>
      <c r="O12" s="13">
        <f t="shared" si="17"/>
        <v>-0.66002027712064881</v>
      </c>
      <c r="P12" s="13">
        <f t="shared" si="17"/>
        <v>-0.36824217515017388</v>
      </c>
      <c r="Q12" s="13" t="e">
        <f t="shared" si="17"/>
        <v>#DIV/0!</v>
      </c>
      <c r="R12" s="13">
        <f t="shared" si="17"/>
        <v>-0.60881606277405953</v>
      </c>
      <c r="S12" s="13" t="e">
        <f t="shared" si="17"/>
        <v>#DIV/0!</v>
      </c>
      <c r="T12" s="13" t="e">
        <f t="shared" si="17"/>
        <v>#DIV/0!</v>
      </c>
      <c r="U12" s="13" t="e">
        <f t="shared" ref="U12" si="18">U11/U7</f>
        <v>#DIV/0!</v>
      </c>
      <c r="V12" s="160" t="e">
        <f t="shared" si="17"/>
        <v>#DIV/0!</v>
      </c>
      <c r="W12" s="13">
        <f t="shared" si="17"/>
        <v>-0.85777777777777775</v>
      </c>
      <c r="X12" s="13" t="e">
        <f t="shared" si="17"/>
        <v>#DIV/0!</v>
      </c>
      <c r="Y12" s="13">
        <f t="shared" si="17"/>
        <v>1.1768172888015718</v>
      </c>
      <c r="Z12" s="13">
        <f t="shared" si="17"/>
        <v>1.4364640883977902</v>
      </c>
      <c r="AA12" s="13">
        <f t="shared" si="17"/>
        <v>3.4245810055865924</v>
      </c>
      <c r="AB12" s="13">
        <f t="shared" ref="AB12" si="19">AB11/AB7</f>
        <v>0.95121951219512191</v>
      </c>
      <c r="AC12" s="160" t="e">
        <f t="shared" ref="AC12" si="20">AC11/AC7</f>
        <v>#DIV/0!</v>
      </c>
      <c r="AD12" s="217">
        <f t="shared" si="17"/>
        <v>8.8500871279460686E-2</v>
      </c>
      <c r="AE12" s="13">
        <f t="shared" si="17"/>
        <v>0.27423167848699764</v>
      </c>
      <c r="AF12" s="13">
        <f t="shared" si="17"/>
        <v>0.22369668246445498</v>
      </c>
      <c r="AG12" s="13">
        <f t="shared" si="17"/>
        <v>3.0704491725768324</v>
      </c>
      <c r="AH12" s="13" t="e">
        <f t="shared" si="17"/>
        <v>#DIV/0!</v>
      </c>
      <c r="AI12" s="13" t="e">
        <f t="shared" si="17"/>
        <v>#DIV/0!</v>
      </c>
      <c r="AJ12" s="13">
        <f t="shared" si="17"/>
        <v>-0.25</v>
      </c>
      <c r="AK12" s="13">
        <f t="shared" si="17"/>
        <v>0.52537903757415949</v>
      </c>
      <c r="AL12" s="13">
        <f t="shared" si="17"/>
        <v>-0.45797210704862418</v>
      </c>
      <c r="AM12" s="13" t="e">
        <f t="shared" si="17"/>
        <v>#DIV/0!</v>
      </c>
      <c r="AN12" s="13" t="e">
        <f t="shared" si="17"/>
        <v>#DIV/0!</v>
      </c>
      <c r="AO12" s="160">
        <f t="shared" si="17"/>
        <v>0.30723842765727583</v>
      </c>
      <c r="AP12" s="13" t="e">
        <f t="shared" si="17"/>
        <v>#DIV/0!</v>
      </c>
      <c r="AQ12" s="160" t="e">
        <f t="shared" si="17"/>
        <v>#DIV/0!</v>
      </c>
      <c r="AR12" s="13" t="e">
        <f t="shared" si="17"/>
        <v>#DIV/0!</v>
      </c>
      <c r="AS12" s="13" t="e">
        <f t="shared" si="17"/>
        <v>#DIV/0!</v>
      </c>
      <c r="AT12" s="13" t="e">
        <f t="shared" si="17"/>
        <v>#DIV/0!</v>
      </c>
      <c r="AU12" s="13" t="e">
        <f t="shared" si="17"/>
        <v>#DIV/0!</v>
      </c>
      <c r="AV12" s="13" t="e">
        <f t="shared" si="17"/>
        <v>#DIV/0!</v>
      </c>
      <c r="AW12" s="13">
        <f t="shared" si="17"/>
        <v>-1</v>
      </c>
      <c r="AX12" s="13">
        <f t="shared" si="17"/>
        <v>-0.43593448940269752</v>
      </c>
      <c r="AY12" s="13">
        <f t="shared" si="17"/>
        <v>-1</v>
      </c>
      <c r="AZ12" s="13" t="e">
        <f t="shared" si="17"/>
        <v>#DIV/0!</v>
      </c>
      <c r="BA12" s="13" t="e">
        <f t="shared" si="17"/>
        <v>#DIV/0!</v>
      </c>
      <c r="BB12" s="160" t="e">
        <f t="shared" si="17"/>
        <v>#DIV/0!</v>
      </c>
      <c r="BC12" s="13">
        <f t="shared" si="17"/>
        <v>-0.29794149512459372</v>
      </c>
      <c r="BD12" s="13">
        <f t="shared" si="17"/>
        <v>-0.29794149512459372</v>
      </c>
      <c r="BE12" s="13" t="e">
        <f t="shared" si="17"/>
        <v>#DIV/0!</v>
      </c>
      <c r="BF12" s="13">
        <f t="shared" si="17"/>
        <v>0.26356589147286824</v>
      </c>
      <c r="BG12" s="13">
        <f t="shared" si="17"/>
        <v>1.7290184921763869</v>
      </c>
      <c r="BH12" s="160">
        <f t="shared" si="17"/>
        <v>0.78247107052047116</v>
      </c>
      <c r="BI12" s="160">
        <f t="shared" si="17"/>
        <v>0.13714424970765232</v>
      </c>
      <c r="BJ12" s="13">
        <f t="shared" si="17"/>
        <v>7.6382978723404253</v>
      </c>
      <c r="BK12" s="50">
        <f t="shared" si="17"/>
        <v>0.13522024019588225</v>
      </c>
      <c r="BM12" s="14">
        <f t="shared" si="17"/>
        <v>0.75729798703158768</v>
      </c>
      <c r="BO12" s="249">
        <v>-70288640</v>
      </c>
      <c r="BP12" s="249" t="s">
        <v>249</v>
      </c>
    </row>
    <row r="13" spans="1:90">
      <c r="A13" s="128"/>
      <c r="B13" s="5" t="s">
        <v>431</v>
      </c>
      <c r="C13" s="126">
        <f>C8/C5</f>
        <v>0.2522192307317121</v>
      </c>
      <c r="D13" s="126">
        <f t="shared" ref="D13:BM13" si="21">D8/D5</f>
        <v>0.24643206160170605</v>
      </c>
      <c r="E13" s="126" t="e">
        <f t="shared" si="21"/>
        <v>#DIV/0!</v>
      </c>
      <c r="F13" s="126">
        <f t="shared" si="21"/>
        <v>0.21672291830412871</v>
      </c>
      <c r="G13" s="126">
        <f t="shared" si="21"/>
        <v>0.24025035453256247</v>
      </c>
      <c r="H13" s="126" t="e">
        <f t="shared" si="21"/>
        <v>#DIV/0!</v>
      </c>
      <c r="I13" s="126" t="e">
        <f t="shared" si="21"/>
        <v>#DIV/0!</v>
      </c>
      <c r="J13" s="126">
        <f t="shared" si="21"/>
        <v>0.75315315315315312</v>
      </c>
      <c r="K13" s="126">
        <f t="shared" si="21"/>
        <v>0</v>
      </c>
      <c r="L13" s="126">
        <f t="shared" si="21"/>
        <v>0.36143901068015738</v>
      </c>
      <c r="M13" s="126">
        <f t="shared" si="21"/>
        <v>0.12966252220248667</v>
      </c>
      <c r="N13" s="126">
        <f t="shared" si="21"/>
        <v>1.308139534883721E-2</v>
      </c>
      <c r="O13" s="126">
        <f t="shared" si="21"/>
        <v>8.1031010873942808E-2</v>
      </c>
      <c r="P13" s="126">
        <f t="shared" si="21"/>
        <v>0.1880175009409108</v>
      </c>
      <c r="Q13" s="126" t="e">
        <f t="shared" si="21"/>
        <v>#DIV/0!</v>
      </c>
      <c r="R13" s="126">
        <f t="shared" si="21"/>
        <v>0.15754252253926945</v>
      </c>
      <c r="S13" s="126" t="e">
        <f t="shared" si="21"/>
        <v>#DIV/0!</v>
      </c>
      <c r="T13" s="126" t="e">
        <f t="shared" si="21"/>
        <v>#DIV/0!</v>
      </c>
      <c r="U13" s="126" t="e">
        <f t="shared" si="21"/>
        <v>#DIV/0!</v>
      </c>
      <c r="V13" s="175" t="e">
        <f t="shared" si="21"/>
        <v>#DIV/0!</v>
      </c>
      <c r="W13" s="126">
        <f t="shared" si="21"/>
        <v>5.9813084112149535E-2</v>
      </c>
      <c r="X13" s="126">
        <f t="shared" si="21"/>
        <v>0</v>
      </c>
      <c r="Y13" s="126">
        <f t="shared" si="21"/>
        <v>0.17679910643050903</v>
      </c>
      <c r="Z13" s="126">
        <f t="shared" si="21"/>
        <v>0.8258426966292135</v>
      </c>
      <c r="AA13" s="126">
        <f t="shared" si="21"/>
        <v>2.4596273291925468</v>
      </c>
      <c r="AB13" s="126">
        <f t="shared" ref="AB13" si="22">AB8/AB5</f>
        <v>0.449438202247191</v>
      </c>
      <c r="AC13" s="175" t="e">
        <f t="shared" si="21"/>
        <v>#DIV/0!</v>
      </c>
      <c r="AD13" s="218">
        <f t="shared" si="21"/>
        <v>0.24420292875555311</v>
      </c>
      <c r="AE13" s="126">
        <f t="shared" si="21"/>
        <v>0.27947734107642852</v>
      </c>
      <c r="AF13" s="126">
        <f t="shared" si="21"/>
        <v>0.33051715309779828</v>
      </c>
      <c r="AG13" s="126">
        <f t="shared" si="21"/>
        <v>0.88078369184336391</v>
      </c>
      <c r="AH13" s="126" t="e">
        <f t="shared" si="21"/>
        <v>#DIV/0!</v>
      </c>
      <c r="AI13" s="126" t="e">
        <f t="shared" si="21"/>
        <v>#DIV/0!</v>
      </c>
      <c r="AJ13" s="126">
        <f t="shared" si="21"/>
        <v>0.14305177111716622</v>
      </c>
      <c r="AK13" s="126">
        <f t="shared" si="21"/>
        <v>0.82173295454545459</v>
      </c>
      <c r="AL13" s="126">
        <f t="shared" si="21"/>
        <v>0.14033375622133307</v>
      </c>
      <c r="AM13" s="126">
        <f t="shared" si="21"/>
        <v>9.8630136986301367E-2</v>
      </c>
      <c r="AN13" s="126" t="e">
        <f t="shared" si="21"/>
        <v>#DIV/0!</v>
      </c>
      <c r="AO13" s="175">
        <f t="shared" si="21"/>
        <v>0.34288080913767549</v>
      </c>
      <c r="AP13" s="126">
        <f t="shared" si="21"/>
        <v>0</v>
      </c>
      <c r="AQ13" s="175" t="e">
        <f t="shared" si="21"/>
        <v>#DIV/0!</v>
      </c>
      <c r="AR13" s="126" t="e">
        <f t="shared" si="21"/>
        <v>#DIV/0!</v>
      </c>
      <c r="AS13" s="126" t="e">
        <f t="shared" si="21"/>
        <v>#DIV/0!</v>
      </c>
      <c r="AT13" s="126" t="e">
        <f t="shared" si="21"/>
        <v>#DIV/0!</v>
      </c>
      <c r="AU13" s="126" t="e">
        <f t="shared" si="21"/>
        <v>#DIV/0!</v>
      </c>
      <c r="AV13" s="126" t="e">
        <f t="shared" si="21"/>
        <v>#DIV/0!</v>
      </c>
      <c r="AW13" s="126">
        <f t="shared" si="21"/>
        <v>0</v>
      </c>
      <c r="AX13" s="126">
        <f t="shared" si="21"/>
        <v>0.10953138153587129</v>
      </c>
      <c r="AY13" s="126">
        <f t="shared" si="21"/>
        <v>0</v>
      </c>
      <c r="AZ13" s="126" t="e">
        <f t="shared" si="21"/>
        <v>#DIV/0!</v>
      </c>
      <c r="BA13" s="126" t="e">
        <f t="shared" si="21"/>
        <v>#DIV/0!</v>
      </c>
      <c r="BB13" s="175" t="e">
        <f t="shared" si="21"/>
        <v>#DIV/0!</v>
      </c>
      <c r="BC13" s="126">
        <f t="shared" si="21"/>
        <v>0.1931445603576751</v>
      </c>
      <c r="BD13" s="126">
        <f t="shared" si="21"/>
        <v>0.18788054508553204</v>
      </c>
      <c r="BE13" s="126">
        <f t="shared" si="21"/>
        <v>0</v>
      </c>
      <c r="BF13" s="126">
        <f t="shared" si="21"/>
        <v>0.10618892508143322</v>
      </c>
      <c r="BG13" s="126">
        <f t="shared" si="21"/>
        <v>0.13551360610288016</v>
      </c>
      <c r="BH13" s="175">
        <f t="shared" si="21"/>
        <v>0.3478428175774545</v>
      </c>
      <c r="BI13" s="175">
        <f t="shared" si="21"/>
        <v>0.25246787163837281</v>
      </c>
      <c r="BJ13" s="126">
        <f t="shared" si="21"/>
        <v>0.31016042780748665</v>
      </c>
      <c r="BK13" s="126">
        <f t="shared" si="21"/>
        <v>0.25237624767410211</v>
      </c>
      <c r="BM13" s="126" t="e">
        <f t="shared" si="21"/>
        <v>#DIV/0!</v>
      </c>
    </row>
    <row r="14" spans="1:90" s="178" customFormat="1">
      <c r="A14" s="128"/>
      <c r="B14" s="5" t="s">
        <v>432</v>
      </c>
      <c r="C14" s="11">
        <f>C5-C8</f>
        <v>919887</v>
      </c>
      <c r="D14" s="11">
        <f>D5-D8</f>
        <v>537465</v>
      </c>
      <c r="E14" s="11">
        <f>E5-E8</f>
        <v>-37</v>
      </c>
      <c r="F14" s="11">
        <f>F5-F8</f>
        <v>135532</v>
      </c>
      <c r="G14" s="11">
        <f t="shared" ref="G14:BM14" si="23">G5-G8</f>
        <v>55717</v>
      </c>
      <c r="H14" s="11">
        <f t="shared" si="23"/>
        <v>0</v>
      </c>
      <c r="I14" s="11">
        <f t="shared" si="23"/>
        <v>0</v>
      </c>
      <c r="J14" s="11">
        <f t="shared" si="23"/>
        <v>274</v>
      </c>
      <c r="K14" s="11">
        <f t="shared" si="23"/>
        <v>96</v>
      </c>
      <c r="L14" s="11">
        <f t="shared" si="23"/>
        <v>1136</v>
      </c>
      <c r="M14" s="11">
        <f t="shared" si="23"/>
        <v>4410</v>
      </c>
      <c r="N14" s="11">
        <f t="shared" si="23"/>
        <v>7469</v>
      </c>
      <c r="O14" s="11">
        <f t="shared" si="23"/>
        <v>11409</v>
      </c>
      <c r="P14" s="11">
        <f t="shared" si="23"/>
        <v>34519</v>
      </c>
      <c r="Q14" s="11">
        <f t="shared" si="23"/>
        <v>0</v>
      </c>
      <c r="R14" s="11">
        <f t="shared" si="23"/>
        <v>9064</v>
      </c>
      <c r="S14" s="11">
        <f t="shared" si="23"/>
        <v>0</v>
      </c>
      <c r="T14" s="11">
        <f t="shared" si="23"/>
        <v>0</v>
      </c>
      <c r="U14" s="11">
        <f t="shared" si="23"/>
        <v>0</v>
      </c>
      <c r="V14" s="9">
        <f t="shared" si="23"/>
        <v>0</v>
      </c>
      <c r="W14" s="11">
        <f t="shared" si="23"/>
        <v>503</v>
      </c>
      <c r="X14" s="11">
        <f t="shared" si="23"/>
        <v>232</v>
      </c>
      <c r="Y14" s="11">
        <f t="shared" si="23"/>
        <v>5159</v>
      </c>
      <c r="Z14" s="11">
        <f t="shared" si="23"/>
        <v>93</v>
      </c>
      <c r="AA14" s="11">
        <f t="shared" si="23"/>
        <v>-470</v>
      </c>
      <c r="AB14" s="11">
        <f t="shared" ref="AB14" si="24">AB5-AB8</f>
        <v>98</v>
      </c>
      <c r="AC14" s="9">
        <f t="shared" si="23"/>
        <v>0</v>
      </c>
      <c r="AD14" s="216">
        <f t="shared" si="23"/>
        <v>1722556</v>
      </c>
      <c r="AE14" s="11">
        <f t="shared" si="23"/>
        <v>6948</v>
      </c>
      <c r="AF14" s="11">
        <f t="shared" si="23"/>
        <v>2615</v>
      </c>
      <c r="AG14" s="11">
        <f t="shared" si="23"/>
        <v>4661</v>
      </c>
      <c r="AH14" s="11">
        <f t="shared" si="23"/>
        <v>0</v>
      </c>
      <c r="AI14" s="11">
        <f t="shared" si="23"/>
        <v>0</v>
      </c>
      <c r="AJ14" s="11">
        <f t="shared" si="23"/>
        <v>2516</v>
      </c>
      <c r="AK14" s="11">
        <f t="shared" si="23"/>
        <v>502</v>
      </c>
      <c r="AL14" s="11">
        <f t="shared" si="23"/>
        <v>8809</v>
      </c>
      <c r="AM14" s="11">
        <f t="shared" si="23"/>
        <v>658</v>
      </c>
      <c r="AN14" s="11">
        <f t="shared" si="23"/>
        <v>0</v>
      </c>
      <c r="AO14" s="9">
        <f t="shared" si="23"/>
        <v>30146</v>
      </c>
      <c r="AP14" s="11">
        <f t="shared" si="23"/>
        <v>1</v>
      </c>
      <c r="AQ14" s="9">
        <f t="shared" si="23"/>
        <v>0</v>
      </c>
      <c r="AR14" s="11">
        <f t="shared" si="23"/>
        <v>0</v>
      </c>
      <c r="AS14" s="11">
        <f t="shared" si="23"/>
        <v>0</v>
      </c>
      <c r="AT14" s="11">
        <f t="shared" si="23"/>
        <v>0</v>
      </c>
      <c r="AU14" s="11">
        <f t="shared" si="23"/>
        <v>0</v>
      </c>
      <c r="AV14" s="11">
        <f t="shared" si="23"/>
        <v>0</v>
      </c>
      <c r="AW14" s="11">
        <f t="shared" si="23"/>
        <v>4649</v>
      </c>
      <c r="AX14" s="11">
        <f t="shared" si="23"/>
        <v>9520</v>
      </c>
      <c r="AY14" s="11">
        <f t="shared" si="23"/>
        <v>1938</v>
      </c>
      <c r="AZ14" s="11">
        <f t="shared" si="23"/>
        <v>0</v>
      </c>
      <c r="BA14" s="11">
        <f t="shared" si="23"/>
        <v>0</v>
      </c>
      <c r="BB14" s="9">
        <f t="shared" si="23"/>
        <v>0</v>
      </c>
      <c r="BC14" s="11">
        <f t="shared" si="23"/>
        <v>2707</v>
      </c>
      <c r="BD14" s="11">
        <f t="shared" si="23"/>
        <v>2801</v>
      </c>
      <c r="BE14" s="11">
        <f t="shared" si="23"/>
        <v>5</v>
      </c>
      <c r="BF14" s="11">
        <f t="shared" si="23"/>
        <v>1372</v>
      </c>
      <c r="BG14" s="11">
        <f t="shared" si="23"/>
        <v>48955</v>
      </c>
      <c r="BH14" s="11">
        <f t="shared" si="23"/>
        <v>128803</v>
      </c>
      <c r="BI14" s="9">
        <f t="shared" si="23"/>
        <v>1851359</v>
      </c>
      <c r="BJ14" s="11">
        <f t="shared" si="23"/>
        <v>2709</v>
      </c>
      <c r="BK14" s="11">
        <f t="shared" si="23"/>
        <v>1848650</v>
      </c>
      <c r="BL14" s="11">
        <f t="shared" si="23"/>
        <v>-536923</v>
      </c>
      <c r="BM14" s="11">
        <f t="shared" si="23"/>
        <v>-67482</v>
      </c>
    </row>
    <row r="15" spans="1:90">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9"/>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9"/>
      <c r="BJ15" s="5"/>
      <c r="BK15" s="48"/>
    </row>
    <row r="16" spans="1:90" s="265" customFormat="1">
      <c r="A16" s="15" t="s">
        <v>134</v>
      </c>
      <c r="B16" s="11" t="s">
        <v>430</v>
      </c>
      <c r="C16" s="266">
        <v>2459255</v>
      </c>
      <c r="D16" s="120">
        <v>1425788</v>
      </c>
      <c r="E16" s="120">
        <v>0</v>
      </c>
      <c r="F16" s="120">
        <v>233579</v>
      </c>
      <c r="G16" s="120">
        <v>186972</v>
      </c>
      <c r="H16" s="120">
        <v>0</v>
      </c>
      <c r="I16" s="120">
        <v>0</v>
      </c>
      <c r="J16" s="120">
        <v>0</v>
      </c>
      <c r="K16" s="120">
        <v>0</v>
      </c>
      <c r="L16" s="120">
        <v>58561</v>
      </c>
      <c r="M16" s="120">
        <v>245256</v>
      </c>
      <c r="N16" s="120">
        <v>271</v>
      </c>
      <c r="O16" s="120">
        <v>5901</v>
      </c>
      <c r="P16" s="120">
        <v>176491</v>
      </c>
      <c r="Q16" s="120">
        <v>0</v>
      </c>
      <c r="R16" s="120">
        <v>4203</v>
      </c>
      <c r="S16" s="120">
        <v>0</v>
      </c>
      <c r="T16" s="120">
        <v>0</v>
      </c>
      <c r="U16" s="120">
        <v>0</v>
      </c>
      <c r="V16" s="267">
        <v>0</v>
      </c>
      <c r="W16" s="120">
        <v>0</v>
      </c>
      <c r="X16" s="120">
        <v>0</v>
      </c>
      <c r="Y16" s="120">
        <v>3832</v>
      </c>
      <c r="Z16" s="120">
        <v>2063</v>
      </c>
      <c r="AA16" s="267">
        <v>1441</v>
      </c>
      <c r="AB16" s="267">
        <v>3122</v>
      </c>
      <c r="AC16" s="267">
        <v>0</v>
      </c>
      <c r="AD16" s="121">
        <f t="shared" ref="AD16" si="25">SUM(C16:AC16)</f>
        <v>4806735</v>
      </c>
      <c r="AE16" s="120">
        <v>2211</v>
      </c>
      <c r="AF16" s="120">
        <v>316</v>
      </c>
      <c r="AG16" s="120">
        <v>20101</v>
      </c>
      <c r="AH16" s="120">
        <v>0</v>
      </c>
      <c r="AI16" s="120">
        <v>0</v>
      </c>
      <c r="AJ16" s="120">
        <v>73</v>
      </c>
      <c r="AK16" s="120">
        <v>45582</v>
      </c>
      <c r="AL16" s="120">
        <v>147165</v>
      </c>
      <c r="AM16" s="120">
        <v>0</v>
      </c>
      <c r="AN16" s="120">
        <v>101593</v>
      </c>
      <c r="AO16" s="267">
        <v>568317</v>
      </c>
      <c r="AP16" s="120">
        <v>111326</v>
      </c>
      <c r="AQ16" s="267">
        <v>0</v>
      </c>
      <c r="AR16" s="120">
        <v>0</v>
      </c>
      <c r="AS16" s="120">
        <v>0</v>
      </c>
      <c r="AT16" s="120">
        <v>0</v>
      </c>
      <c r="AU16" s="120">
        <v>0</v>
      </c>
      <c r="AV16" s="120">
        <v>0</v>
      </c>
      <c r="AW16" s="120">
        <v>1135</v>
      </c>
      <c r="AX16" s="120">
        <v>1086</v>
      </c>
      <c r="AY16" s="120">
        <v>78</v>
      </c>
      <c r="AZ16" s="120">
        <v>0</v>
      </c>
      <c r="BA16" s="120">
        <v>0</v>
      </c>
      <c r="BB16" s="267">
        <v>0</v>
      </c>
      <c r="BC16" s="120">
        <v>29792</v>
      </c>
      <c r="BD16" s="120">
        <v>30223</v>
      </c>
      <c r="BE16" s="120">
        <v>0</v>
      </c>
      <c r="BF16" s="120">
        <v>13988</v>
      </c>
      <c r="BG16" s="120">
        <v>3799</v>
      </c>
      <c r="BH16" s="120">
        <f t="shared" ref="BH16" si="26">SUM(AE16:BG16)</f>
        <v>1076785</v>
      </c>
      <c r="BI16" s="125">
        <f>AD16+BH16</f>
        <v>5883520</v>
      </c>
      <c r="BJ16" s="268">
        <v>21663</v>
      </c>
      <c r="BK16" s="275">
        <f t="shared" ref="BK16" si="27">BI16-BJ16</f>
        <v>5861857</v>
      </c>
    </row>
    <row r="17" spans="1:65" s="41" customFormat="1">
      <c r="A17" s="134" t="s">
        <v>134</v>
      </c>
      <c r="B17" s="210" t="s">
        <v>424</v>
      </c>
      <c r="C17" s="266">
        <v>467258</v>
      </c>
      <c r="D17" s="120">
        <v>270900</v>
      </c>
      <c r="E17" s="120">
        <v>0</v>
      </c>
      <c r="F17" s="120">
        <v>44380</v>
      </c>
      <c r="G17" s="120">
        <v>35525</v>
      </c>
      <c r="H17" s="120">
        <v>0</v>
      </c>
      <c r="I17" s="120">
        <v>0</v>
      </c>
      <c r="J17" s="120">
        <v>0</v>
      </c>
      <c r="K17" s="120">
        <v>0</v>
      </c>
      <c r="L17" s="120">
        <v>11127</v>
      </c>
      <c r="M17" s="120">
        <v>46599</v>
      </c>
      <c r="N17" s="120">
        <v>51</v>
      </c>
      <c r="O17" s="120">
        <v>1121</v>
      </c>
      <c r="P17" s="120">
        <v>33533</v>
      </c>
      <c r="Q17" s="120">
        <v>0</v>
      </c>
      <c r="R17" s="120">
        <v>799</v>
      </c>
      <c r="S17" s="120">
        <v>0</v>
      </c>
      <c r="T17" s="120">
        <v>0</v>
      </c>
      <c r="U17" s="120">
        <v>0</v>
      </c>
      <c r="V17" s="267">
        <v>0</v>
      </c>
      <c r="W17" s="120">
        <v>0</v>
      </c>
      <c r="X17" s="120">
        <v>0</v>
      </c>
      <c r="Y17" s="120">
        <v>728</v>
      </c>
      <c r="Z17" s="120">
        <v>392</v>
      </c>
      <c r="AA17" s="267">
        <v>274</v>
      </c>
      <c r="AB17" s="267">
        <v>593</v>
      </c>
      <c r="AC17" s="267">
        <v>0</v>
      </c>
      <c r="AD17" s="121">
        <f t="shared" ref="AD17" si="28">SUM(C17:AC17)</f>
        <v>913280</v>
      </c>
      <c r="AE17" s="120">
        <v>531</v>
      </c>
      <c r="AF17" s="120">
        <v>76</v>
      </c>
      <c r="AG17" s="120">
        <v>4824</v>
      </c>
      <c r="AH17" s="120">
        <v>0</v>
      </c>
      <c r="AI17" s="120">
        <v>0</v>
      </c>
      <c r="AJ17" s="120">
        <v>18</v>
      </c>
      <c r="AK17" s="120">
        <v>10940</v>
      </c>
      <c r="AL17" s="120">
        <v>35320</v>
      </c>
      <c r="AM17" s="120">
        <v>0</v>
      </c>
      <c r="AN17" s="120">
        <v>24382</v>
      </c>
      <c r="AO17" s="267">
        <v>136396</v>
      </c>
      <c r="AP17" s="120">
        <v>26718</v>
      </c>
      <c r="AQ17" s="267">
        <v>0</v>
      </c>
      <c r="AR17" s="120">
        <v>0</v>
      </c>
      <c r="AS17" s="120">
        <v>0</v>
      </c>
      <c r="AT17" s="120">
        <v>0</v>
      </c>
      <c r="AU17" s="120">
        <v>0</v>
      </c>
      <c r="AV17" s="120">
        <v>0</v>
      </c>
      <c r="AW17" s="120">
        <v>0</v>
      </c>
      <c r="AX17" s="120">
        <v>261</v>
      </c>
      <c r="AY17" s="120">
        <v>0</v>
      </c>
      <c r="AZ17" s="120">
        <v>0</v>
      </c>
      <c r="BA17" s="120">
        <v>0</v>
      </c>
      <c r="BB17" s="267">
        <v>0</v>
      </c>
      <c r="BC17" s="120">
        <v>7150</v>
      </c>
      <c r="BD17" s="120">
        <v>7254</v>
      </c>
      <c r="BE17" s="120">
        <v>0</v>
      </c>
      <c r="BF17" s="120">
        <v>3357</v>
      </c>
      <c r="BG17" s="120">
        <v>912</v>
      </c>
      <c r="BH17" s="120">
        <f t="shared" ref="BH17" si="29">SUM(AE17:BG17)</f>
        <v>258139</v>
      </c>
      <c r="BI17" s="125">
        <f>AD17+BH17</f>
        <v>1171419</v>
      </c>
      <c r="BJ17" s="268">
        <v>5201</v>
      </c>
      <c r="BK17" s="275">
        <f t="shared" ref="BK17" si="30">BI17-BJ17</f>
        <v>1166218</v>
      </c>
      <c r="BM17" s="211"/>
    </row>
    <row r="18" spans="1:65">
      <c r="A18" s="128"/>
      <c r="B18" s="12" t="s">
        <v>425</v>
      </c>
      <c r="C18" s="9">
        <f>IF('Upto Month COPPY'!$C$4="",0,'Upto Month COPPY'!$C$4)</f>
        <v>465330</v>
      </c>
      <c r="D18" s="9">
        <f>IF('Upto Month COPPY'!$C$5="",0,'Upto Month COPPY'!$C$5)</f>
        <v>213181</v>
      </c>
      <c r="E18" s="9">
        <f>IF('Upto Month COPPY'!$C$6="",0,'Upto Month COPPY'!$C$6)</f>
        <v>221</v>
      </c>
      <c r="F18" s="9">
        <f>IF('Upto Month COPPY'!$C$7="",0,'Upto Month COPPY'!$C$7)</f>
        <v>34264</v>
      </c>
      <c r="G18" s="9">
        <f>IF('Upto Month COPPY'!$C$8="",0,'Upto Month COPPY'!$C$8)</f>
        <v>32400</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31048</v>
      </c>
      <c r="M18" s="9">
        <f>IF('Upto Month COPPY'!$C$14="",0,'Upto Month COPPY'!$C$14)</f>
        <v>44597</v>
      </c>
      <c r="N18" s="9">
        <f>IF('Upto Month COPPY'!$C$15="",0,'Upto Month COPPY'!$C$15)</f>
        <v>58</v>
      </c>
      <c r="O18" s="9">
        <f>IF('Upto Month COPPY'!$C$16="",0,'Upto Month COPPY'!$C$16)</f>
        <v>1104</v>
      </c>
      <c r="P18" s="9">
        <f>IF('Upto Month COPPY'!$C$17="",0,'Upto Month COPPY'!$C$17)</f>
        <v>62315</v>
      </c>
      <c r="Q18" s="9">
        <f>IF('Upto Month COPPY'!$C$18="",0,'Upto Month COPPY'!$C$18)</f>
        <v>0</v>
      </c>
      <c r="R18" s="9">
        <f>IF('Upto Month COPPY'!$C$21="",0,'Upto Month COPPY'!$C$21)</f>
        <v>1363</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596</v>
      </c>
      <c r="Z18" s="9">
        <f>IF('Upto Month COPPY'!$C$43="",0,'Upto Month COPPY'!$C$43)</f>
        <v>139</v>
      </c>
      <c r="AA18" s="9">
        <f>IF('Upto Month COPPY'!$C$44="",0,'Upto Month COPPY'!$C$44)</f>
        <v>299</v>
      </c>
      <c r="AB18" s="9">
        <f>IF('Upto Month COPPY'!$C$48="",0,'Upto Month COPPY'!$C$48)</f>
        <v>0</v>
      </c>
      <c r="AC18" s="9">
        <f>IF('Upto Month COPPY'!$C$51="",0,'Upto Month COPPY'!$C$51)</f>
        <v>0</v>
      </c>
      <c r="AD18" s="221">
        <f t="shared" ref="AD18:AD19" si="31">SUM(C18:AC18)</f>
        <v>886915</v>
      </c>
      <c r="AE18" s="9">
        <f>IF('Upto Month COPPY'!$C$19="",0,'Upto Month COPPY'!$C$19)</f>
        <v>367</v>
      </c>
      <c r="AF18" s="9">
        <f>IF('Upto Month COPPY'!$C$20="",0,'Upto Month COPPY'!$C$20)</f>
        <v>93</v>
      </c>
      <c r="AG18" s="9">
        <f>IF('Upto Month COPPY'!$C$22="",0,'Upto Month COPPY'!$C$22)</f>
        <v>4520</v>
      </c>
      <c r="AH18" s="9">
        <f>IF('Upto Month COPPY'!$C$23="",0,'Upto Month COPPY'!$C$23)</f>
        <v>0</v>
      </c>
      <c r="AI18" s="9">
        <f>IF('Upto Month COPPY'!$C$24="",0,'Upto Month COPPY'!$C$24)</f>
        <v>0</v>
      </c>
      <c r="AJ18" s="9">
        <f>IF('Upto Month COPPY'!$C$25="",0,'Upto Month COPPY'!$C$25)</f>
        <v>0</v>
      </c>
      <c r="AK18" s="9">
        <f>IF('Upto Month COPPY'!$C$28="",0,'Upto Month COPPY'!$C$28)</f>
        <v>-2109</v>
      </c>
      <c r="AL18" s="9">
        <f>IF('Upto Month COPPY'!$C$29="",0,'Upto Month COPPY'!$C$29)</f>
        <v>45350</v>
      </c>
      <c r="AM18" s="9">
        <f>IF('Upto Month COPPY'!$C$31="",0,'Upto Month COPPY'!$C$31)</f>
        <v>0</v>
      </c>
      <c r="AN18" s="9">
        <f>IF('Upto Month COPPY'!$C$32="",0,'Upto Month COPPY'!$C$32)</f>
        <v>14373</v>
      </c>
      <c r="AO18" s="9">
        <f>IF('Upto Month COPPY'!$C$33="",0,'Upto Month COPPY'!$C$33)</f>
        <v>129560</v>
      </c>
      <c r="AP18" s="9">
        <f>IF('Upto Month COPPY'!$C$34="",0,'Upto Month COPPY'!$C$34)</f>
        <v>499</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67</v>
      </c>
      <c r="AX18" s="9">
        <f>IF('Upto Month COPPY'!$C$46="",0,'Upto Month COPPY'!$C$46)</f>
        <v>30</v>
      </c>
      <c r="AY18" s="9">
        <f>IF('Upto Month COPPY'!$C$47="",0,'Upto Month COPPY'!$C$47)</f>
        <v>82</v>
      </c>
      <c r="AZ18" s="9">
        <f>IF('Upto Month COPPY'!$C$49="",0,'Upto Month COPPY'!$C$49)</f>
        <v>0</v>
      </c>
      <c r="BA18" s="9">
        <f>IF('Upto Month COPPY'!$C$50="",0,'Upto Month COPPY'!$C$50)</f>
        <v>0</v>
      </c>
      <c r="BB18" s="9">
        <f>IF('Upto Month COPPY'!$C$52="",0,'Upto Month COPPY'!$C$52)</f>
        <v>0</v>
      </c>
      <c r="BC18" s="9">
        <f>IF('Upto Month COPPY'!$C$53="",0,'Upto Month COPPY'!$C$53)</f>
        <v>8495</v>
      </c>
      <c r="BD18" s="9">
        <f>IF('Upto Month COPPY'!$C$54="",0,'Upto Month COPPY'!$C$54)</f>
        <v>8495</v>
      </c>
      <c r="BE18" s="9">
        <f>IF('Upto Month COPPY'!$C$55="",0,'Upto Month COPPY'!$C$55)</f>
        <v>0</v>
      </c>
      <c r="BF18" s="9">
        <f>IF('Upto Month COPPY'!$C$56="",0,'Upto Month COPPY'!$C$56)</f>
        <v>1978</v>
      </c>
      <c r="BG18" s="9">
        <f>IF('Upto Month COPPY'!$C$58="",0,'Upto Month COPPY'!$C$58)</f>
        <v>133</v>
      </c>
      <c r="BH18" s="9">
        <f>SUM(AE18:BG18)</f>
        <v>211933</v>
      </c>
      <c r="BI18" s="274">
        <f>AD18+BH18</f>
        <v>1098848</v>
      </c>
      <c r="BJ18" s="9">
        <f>IF('Upto Month COPPY'!$C$60="",0,'Upto Month COPPY'!$C$60)</f>
        <v>261</v>
      </c>
      <c r="BK18" s="49">
        <f t="shared" ref="BK18:BK19" si="32">BI18-BJ18</f>
        <v>1098587</v>
      </c>
      <c r="BL18">
        <f>'Upto Month COPPY'!$C$61</f>
        <v>1098588</v>
      </c>
      <c r="BM18" s="30">
        <f t="shared" ref="BM18:BM22" si="33">BK18-AD18</f>
        <v>211672</v>
      </c>
    </row>
    <row r="19" spans="1:65">
      <c r="A19" s="128"/>
      <c r="B19" s="180" t="s">
        <v>426</v>
      </c>
      <c r="C19" s="9">
        <f>IF('Upto Month Current'!$C$4="",0,'Upto Month Current'!$C$4)</f>
        <v>552117</v>
      </c>
      <c r="D19" s="9">
        <f>IF('Upto Month Current'!$C$5="",0,'Upto Month Current'!$C$5)</f>
        <v>271549</v>
      </c>
      <c r="E19" s="9">
        <f>IF('Upto Month Current'!$C$6="",0,'Upto Month Current'!$C$6)</f>
        <v>143</v>
      </c>
      <c r="F19" s="9">
        <f>IF('Upto Month Current'!$C$7="",0,'Upto Month Current'!$C$7)</f>
        <v>39579</v>
      </c>
      <c r="G19" s="9">
        <f>IF('Upto Month Current'!$C$8="",0,'Upto Month Current'!$C$8)</f>
        <v>37489</v>
      </c>
      <c r="H19" s="9">
        <f>IF('Upto Month Current'!$C$9="",0,'Upto Month Current'!$C$9)</f>
        <v>0</v>
      </c>
      <c r="I19" s="9">
        <f>IF('Upto Month Current'!$C$10="",0,'Upto Month Current'!$C$10)</f>
        <v>0</v>
      </c>
      <c r="J19" s="9">
        <f>IF('Upto Month Current'!$C$11="",0,'Upto Month Current'!$C$11)</f>
        <v>0</v>
      </c>
      <c r="K19" s="9">
        <f>IF('Upto Month Current'!$C$12="",0,'Upto Month Current'!$C$12)</f>
        <v>84</v>
      </c>
      <c r="L19" s="9">
        <f>IF('Upto Month Current'!$C$13="",0,'Upto Month Current'!$C$13)</f>
        <v>19798</v>
      </c>
      <c r="M19" s="9">
        <f>IF('Upto Month Current'!$C$14="",0,'Upto Month Current'!$C$14)</f>
        <v>43861</v>
      </c>
      <c r="N19" s="9">
        <f>IF('Upto Month Current'!$C$15="",0,'Upto Month Current'!$C$15)</f>
        <v>8</v>
      </c>
      <c r="O19" s="9">
        <f>IF('Upto Month Current'!$C$16="",0,'Upto Month Current'!$C$16)</f>
        <v>581</v>
      </c>
      <c r="P19" s="9">
        <f>IF('Upto Month Current'!$C$17="",0,'Upto Month Current'!$C$17)</f>
        <v>42069</v>
      </c>
      <c r="Q19" s="9">
        <f>IF('Upto Month Current'!$C$18="",0,'Upto Month Current'!$C$18)</f>
        <v>0</v>
      </c>
      <c r="R19" s="9">
        <f>IF('Upto Month Current'!$C$21="",0,'Upto Month Current'!$C$21)</f>
        <v>462</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961</v>
      </c>
      <c r="Z19" s="9">
        <f>IF('Upto Month Current'!$C$43="",0,'Upto Month Current'!$C$43)</f>
        <v>426</v>
      </c>
      <c r="AA19" s="9">
        <f>IF('Upto Month Current'!$C$44="",0,'Upto Month Current'!$C$44)</f>
        <v>246</v>
      </c>
      <c r="AB19" s="9">
        <f>IF('Upto Month Current'!$C$48="",0,'Upto Month Current'!$C$48)</f>
        <v>0</v>
      </c>
      <c r="AC19" s="9">
        <f>IF('Upto Month Current'!$C$51="",0,'Upto Month Current'!$C$51)</f>
        <v>0</v>
      </c>
      <c r="AD19" s="221">
        <f t="shared" si="31"/>
        <v>1009373</v>
      </c>
      <c r="AE19" s="9">
        <f>IF('Upto Month Current'!$C$19="",0,'Upto Month Current'!$C$19)</f>
        <v>743</v>
      </c>
      <c r="AF19" s="9">
        <f>IF('Upto Month Current'!$C$20="",0,'Upto Month Current'!$C$20)</f>
        <v>217</v>
      </c>
      <c r="AG19" s="9">
        <f>IF('Upto Month Current'!$C$22="",0,'Upto Month Current'!$C$22)</f>
        <v>9105</v>
      </c>
      <c r="AH19" s="9">
        <f>IF('Upto Month Current'!$C$23="",0,'Upto Month Current'!$C$23)</f>
        <v>0</v>
      </c>
      <c r="AI19" s="9">
        <f>IF('Upto Month Current'!$C$24="",0,'Upto Month Current'!$C$24)</f>
        <v>0</v>
      </c>
      <c r="AJ19" s="9">
        <f>IF('Upto Month Current'!$C$25="",0,'Upto Month Current'!$C$25)</f>
        <v>25</v>
      </c>
      <c r="AK19" s="9">
        <f>IF('Upto Month Current'!$C$28="",0,'Upto Month Current'!$C$28)</f>
        <v>1337</v>
      </c>
      <c r="AL19" s="9">
        <f>IF('Upto Month Current'!$C$29="",0,'Upto Month Current'!$C$29)</f>
        <v>35812</v>
      </c>
      <c r="AM19" s="9">
        <f>IF('Upto Month Current'!$C$31="",0,'Upto Month Current'!$C$31)</f>
        <v>0</v>
      </c>
      <c r="AN19" s="9">
        <f>IF('Upto Month Current'!$C$32="",0,'Upto Month Current'!$C$32)</f>
        <v>17876</v>
      </c>
      <c r="AO19" s="9">
        <f>IF('Upto Month Current'!$C$33="",0,'Upto Month Current'!$C$33)</f>
        <v>128528</v>
      </c>
      <c r="AP19" s="9">
        <f>IF('Upto Month Current'!$C$34="",0,'Upto Month Current'!$C$34)</f>
        <v>11862</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33</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9579</v>
      </c>
      <c r="BD19" s="9">
        <f>IF('Upto Month Current'!$C$54="",0,'Upto Month Current'!$C$54)</f>
        <v>9579</v>
      </c>
      <c r="BE19" s="9">
        <f>IF('Upto Month Current'!$C$55="",0,'Upto Month Current'!$C$55)</f>
        <v>0</v>
      </c>
      <c r="BF19" s="9">
        <f>IF('Upto Month Current'!$C$56="",0,'Upto Month Current'!$C$56)</f>
        <v>1880</v>
      </c>
      <c r="BG19" s="9">
        <f>IF('Upto Month Current'!$C$58="",0,'Upto Month Current'!$C$58)</f>
        <v>46</v>
      </c>
      <c r="BH19" s="9">
        <f>SUM(AE19:BG19)</f>
        <v>226622</v>
      </c>
      <c r="BI19" s="274">
        <f>AD19+BH19</f>
        <v>1235995</v>
      </c>
      <c r="BJ19" s="9">
        <f>IF('Upto Month Current'!$C$60="",0,'Upto Month Current'!$C$60)</f>
        <v>44754</v>
      </c>
      <c r="BK19" s="49">
        <f t="shared" si="32"/>
        <v>1191241</v>
      </c>
      <c r="BL19">
        <f>'Upto Month Current'!$C$61</f>
        <v>1191241</v>
      </c>
      <c r="BM19" s="30">
        <f t="shared" si="33"/>
        <v>181868</v>
      </c>
    </row>
    <row r="20" spans="1:65">
      <c r="A20" s="128"/>
      <c r="B20" s="5" t="s">
        <v>130</v>
      </c>
      <c r="C20" s="11">
        <f>C19-C17</f>
        <v>84859</v>
      </c>
      <c r="D20" s="11">
        <f t="shared" ref="D20" si="34">D19-D17</f>
        <v>649</v>
      </c>
      <c r="E20" s="11">
        <f t="shared" ref="E20" si="35">E19-E17</f>
        <v>143</v>
      </c>
      <c r="F20" s="11">
        <f t="shared" ref="F20" si="36">F19-F17</f>
        <v>-4801</v>
      </c>
      <c r="G20" s="11">
        <f t="shared" ref="G20" si="37">G19-G17</f>
        <v>1964</v>
      </c>
      <c r="H20" s="11">
        <f t="shared" ref="H20" si="38">H19-H17</f>
        <v>0</v>
      </c>
      <c r="I20" s="11">
        <f t="shared" ref="I20" si="39">I19-I17</f>
        <v>0</v>
      </c>
      <c r="J20" s="11">
        <f t="shared" ref="J20" si="40">J19-J17</f>
        <v>0</v>
      </c>
      <c r="K20" s="11">
        <f t="shared" ref="K20" si="41">K19-K17</f>
        <v>84</v>
      </c>
      <c r="L20" s="11">
        <f t="shared" ref="L20" si="42">L19-L17</f>
        <v>8671</v>
      </c>
      <c r="M20" s="11">
        <f t="shared" ref="M20" si="43">M19-M17</f>
        <v>-2738</v>
      </c>
      <c r="N20" s="11">
        <f t="shared" ref="N20" si="44">N19-N17</f>
        <v>-43</v>
      </c>
      <c r="O20" s="11">
        <f t="shared" ref="O20" si="45">O19-O17</f>
        <v>-540</v>
      </c>
      <c r="P20" s="11">
        <f t="shared" ref="P20" si="46">P19-P17</f>
        <v>8536</v>
      </c>
      <c r="Q20" s="11">
        <f t="shared" ref="Q20" si="47">Q19-Q17</f>
        <v>0</v>
      </c>
      <c r="R20" s="11">
        <f t="shared" ref="R20" si="48">R19-R17</f>
        <v>-337</v>
      </c>
      <c r="S20" s="11">
        <f t="shared" ref="S20" si="49">S19-S17</f>
        <v>0</v>
      </c>
      <c r="T20" s="11">
        <f t="shared" ref="T20:U20" si="50">T19-T17</f>
        <v>0</v>
      </c>
      <c r="U20" s="11">
        <f t="shared" si="50"/>
        <v>0</v>
      </c>
      <c r="V20" s="9">
        <f t="shared" ref="V20" si="51">V19-V17</f>
        <v>0</v>
      </c>
      <c r="W20" s="11">
        <f t="shared" ref="W20" si="52">W19-W17</f>
        <v>0</v>
      </c>
      <c r="X20" s="11">
        <f t="shared" ref="X20" si="53">X19-X17</f>
        <v>0</v>
      </c>
      <c r="Y20" s="11">
        <f t="shared" ref="Y20" si="54">Y19-Y17</f>
        <v>233</v>
      </c>
      <c r="Z20" s="11">
        <f t="shared" ref="Z20" si="55">Z19-Z17</f>
        <v>34</v>
      </c>
      <c r="AA20" s="11">
        <f t="shared" ref="AA20:AD20" si="56">AA19-AA17</f>
        <v>-28</v>
      </c>
      <c r="AB20" s="11">
        <f t="shared" ref="AB20" si="57">AB19-AB17</f>
        <v>-593</v>
      </c>
      <c r="AC20" s="9">
        <f t="shared" si="56"/>
        <v>0</v>
      </c>
      <c r="AD20" s="216">
        <f t="shared" si="56"/>
        <v>96093</v>
      </c>
      <c r="AE20" s="11">
        <f t="shared" ref="AE20" si="58">AE19-AE17</f>
        <v>212</v>
      </c>
      <c r="AF20" s="11">
        <f t="shared" ref="AF20" si="59">AF19-AF17</f>
        <v>141</v>
      </c>
      <c r="AG20" s="11">
        <f t="shared" ref="AG20" si="60">AG19-AG17</f>
        <v>4281</v>
      </c>
      <c r="AH20" s="11">
        <f t="shared" ref="AH20" si="61">AH19-AH17</f>
        <v>0</v>
      </c>
      <c r="AI20" s="11">
        <f t="shared" ref="AI20" si="62">AI19-AI17</f>
        <v>0</v>
      </c>
      <c r="AJ20" s="11">
        <f t="shared" ref="AJ20" si="63">AJ19-AJ17</f>
        <v>7</v>
      </c>
      <c r="AK20" s="11">
        <f t="shared" ref="AK20" si="64">AK19-AK17</f>
        <v>-9603</v>
      </c>
      <c r="AL20" s="11">
        <f t="shared" ref="AL20" si="65">AL19-AL17</f>
        <v>492</v>
      </c>
      <c r="AM20" s="11">
        <f t="shared" ref="AM20" si="66">AM19-AM17</f>
        <v>0</v>
      </c>
      <c r="AN20" s="11">
        <f t="shared" ref="AN20" si="67">AN19-AN17</f>
        <v>-6506</v>
      </c>
      <c r="AO20" s="9">
        <f t="shared" ref="AO20" si="68">AO19-AO17</f>
        <v>-7868</v>
      </c>
      <c r="AP20" s="11">
        <f t="shared" ref="AP20" si="69">AP19-AP17</f>
        <v>-14856</v>
      </c>
      <c r="AQ20" s="9">
        <f t="shared" ref="AQ20" si="70">AQ19-AQ17</f>
        <v>0</v>
      </c>
      <c r="AR20" s="11">
        <f t="shared" ref="AR20" si="71">AR19-AR17</f>
        <v>0</v>
      </c>
      <c r="AS20" s="11">
        <f t="shared" ref="AS20" si="72">AS19-AS17</f>
        <v>0</v>
      </c>
      <c r="AT20" s="11">
        <f t="shared" ref="AT20" si="73">AT19-AT17</f>
        <v>0</v>
      </c>
      <c r="AU20" s="11">
        <f t="shared" ref="AU20" si="74">AU19-AU17</f>
        <v>0</v>
      </c>
      <c r="AV20" s="11">
        <f t="shared" ref="AV20" si="75">AV19-AV17</f>
        <v>0</v>
      </c>
      <c r="AW20" s="11">
        <f t="shared" ref="AW20" si="76">AW19-AW17</f>
        <v>0</v>
      </c>
      <c r="AX20" s="11">
        <f t="shared" ref="AX20" si="77">AX19-AX17</f>
        <v>-228</v>
      </c>
      <c r="AY20" s="11">
        <f t="shared" ref="AY20" si="78">AY19-AY17</f>
        <v>0</v>
      </c>
      <c r="AZ20" s="11">
        <f t="shared" ref="AZ20" si="79">AZ19-AZ17</f>
        <v>0</v>
      </c>
      <c r="BA20" s="11">
        <f t="shared" ref="BA20" si="80">BA19-BA17</f>
        <v>0</v>
      </c>
      <c r="BB20" s="9">
        <f t="shared" ref="BB20" si="81">BB19-BB17</f>
        <v>0</v>
      </c>
      <c r="BC20" s="11">
        <f t="shared" ref="BC20" si="82">BC19-BC17</f>
        <v>2429</v>
      </c>
      <c r="BD20" s="11">
        <f t="shared" ref="BD20" si="83">BD19-BD17</f>
        <v>2325</v>
      </c>
      <c r="BE20" s="11">
        <f t="shared" ref="BE20" si="84">BE19-BE17</f>
        <v>0</v>
      </c>
      <c r="BF20" s="11">
        <f t="shared" ref="BF20" si="85">BF19-BF17</f>
        <v>-1477</v>
      </c>
      <c r="BG20" s="11">
        <f t="shared" ref="BG20:BH20" si="86">BG19-BG17</f>
        <v>-866</v>
      </c>
      <c r="BH20" s="9">
        <f t="shared" si="86"/>
        <v>-31517</v>
      </c>
      <c r="BI20" s="9">
        <f t="shared" ref="BI20" si="87">BI19-BI17</f>
        <v>64576</v>
      </c>
      <c r="BJ20" s="11">
        <f t="shared" ref="BJ20:BK20" si="88">BJ19-BJ17</f>
        <v>39553</v>
      </c>
      <c r="BK20" s="49">
        <f t="shared" si="88"/>
        <v>25023</v>
      </c>
      <c r="BM20" s="30">
        <f t="shared" si="33"/>
        <v>-71070</v>
      </c>
    </row>
    <row r="21" spans="1:65">
      <c r="A21" s="128"/>
      <c r="B21" s="5" t="s">
        <v>131</v>
      </c>
      <c r="C21" s="13">
        <f>C20/C17</f>
        <v>0.18161058772669489</v>
      </c>
      <c r="D21" s="13">
        <f t="shared" ref="D21" si="89">D20/D17</f>
        <v>2.3957179771133259E-3</v>
      </c>
      <c r="E21" s="13" t="e">
        <f t="shared" ref="E21" si="90">E20/E17</f>
        <v>#DIV/0!</v>
      </c>
      <c r="F21" s="13">
        <f t="shared" ref="F21" si="91">F20/F17</f>
        <v>-0.10817936007210455</v>
      </c>
      <c r="G21" s="13">
        <f t="shared" ref="G21" si="92">G20/G17</f>
        <v>5.5285010555946514E-2</v>
      </c>
      <c r="H21" s="13" t="e">
        <f t="shared" ref="H21" si="93">H20/H17</f>
        <v>#DIV/0!</v>
      </c>
      <c r="I21" s="13" t="e">
        <f t="shared" ref="I21" si="94">I20/I17</f>
        <v>#DIV/0!</v>
      </c>
      <c r="J21" s="13" t="e">
        <f t="shared" ref="J21" si="95">J20/J17</f>
        <v>#DIV/0!</v>
      </c>
      <c r="K21" s="13" t="e">
        <f t="shared" ref="K21" si="96">K20/K17</f>
        <v>#DIV/0!</v>
      </c>
      <c r="L21" s="13">
        <f t="shared" ref="L21" si="97">L20/L17</f>
        <v>0.77927563584074777</v>
      </c>
      <c r="M21" s="13">
        <f t="shared" ref="M21" si="98">M20/M17</f>
        <v>-5.8756625678662633E-2</v>
      </c>
      <c r="N21" s="13">
        <f t="shared" ref="N21" si="99">N20/N17</f>
        <v>-0.84313725490196079</v>
      </c>
      <c r="O21" s="13">
        <f t="shared" ref="O21" si="100">O20/O17</f>
        <v>-0.48171275646743977</v>
      </c>
      <c r="P21" s="13">
        <f t="shared" ref="P21" si="101">P20/P17</f>
        <v>0.25455521426654343</v>
      </c>
      <c r="Q21" s="13" t="e">
        <f t="shared" ref="Q21" si="102">Q20/Q17</f>
        <v>#DIV/0!</v>
      </c>
      <c r="R21" s="13">
        <f t="shared" ref="R21" si="103">R20/R17</f>
        <v>-0.42177722152690866</v>
      </c>
      <c r="S21" s="13" t="e">
        <f t="shared" ref="S21" si="104">S20/S17</f>
        <v>#DIV/0!</v>
      </c>
      <c r="T21" s="13" t="e">
        <f t="shared" ref="T21:U21" si="105">T20/T17</f>
        <v>#DIV/0!</v>
      </c>
      <c r="U21" s="13" t="e">
        <f t="shared" si="105"/>
        <v>#DIV/0!</v>
      </c>
      <c r="V21" s="160" t="e">
        <f t="shared" ref="V21" si="106">V20/V17</f>
        <v>#DIV/0!</v>
      </c>
      <c r="W21" s="13" t="e">
        <f t="shared" ref="W21" si="107">W20/W17</f>
        <v>#DIV/0!</v>
      </c>
      <c r="X21" s="13" t="e">
        <f t="shared" ref="X21" si="108">X20/X17</f>
        <v>#DIV/0!</v>
      </c>
      <c r="Y21" s="13">
        <f t="shared" ref="Y21" si="109">Y20/Y17</f>
        <v>0.32005494505494503</v>
      </c>
      <c r="Z21" s="13">
        <f t="shared" ref="Z21" si="110">Z20/Z17</f>
        <v>8.673469387755102E-2</v>
      </c>
      <c r="AA21" s="13">
        <f t="shared" ref="AA21:AD21" si="111">AA20/AA17</f>
        <v>-0.10218978102189781</v>
      </c>
      <c r="AB21" s="13">
        <f t="shared" ref="AB21" si="112">AB20/AB17</f>
        <v>-1</v>
      </c>
      <c r="AC21" s="160" t="e">
        <f t="shared" si="111"/>
        <v>#DIV/0!</v>
      </c>
      <c r="AD21" s="217">
        <f t="shared" si="111"/>
        <v>0.10521745795374912</v>
      </c>
      <c r="AE21" s="13">
        <f t="shared" ref="AE21" si="113">AE20/AE17</f>
        <v>0.3992467043314501</v>
      </c>
      <c r="AF21" s="13">
        <f t="shared" ref="AF21" si="114">AF20/AF17</f>
        <v>1.8552631578947369</v>
      </c>
      <c r="AG21" s="13">
        <f t="shared" ref="AG21" si="115">AG20/AG17</f>
        <v>0.88743781094527363</v>
      </c>
      <c r="AH21" s="13" t="e">
        <f t="shared" ref="AH21" si="116">AH20/AH17</f>
        <v>#DIV/0!</v>
      </c>
      <c r="AI21" s="13" t="e">
        <f t="shared" ref="AI21" si="117">AI20/AI17</f>
        <v>#DIV/0!</v>
      </c>
      <c r="AJ21" s="13">
        <f t="shared" ref="AJ21" si="118">AJ20/AJ17</f>
        <v>0.3888888888888889</v>
      </c>
      <c r="AK21" s="13">
        <f t="shared" ref="AK21" si="119">AK20/AK17</f>
        <v>-0.87778793418647172</v>
      </c>
      <c r="AL21" s="13">
        <f t="shared" ref="AL21" si="120">AL20/AL17</f>
        <v>1.3929784824462062E-2</v>
      </c>
      <c r="AM21" s="13" t="e">
        <f t="shared" ref="AM21" si="121">AM20/AM17</f>
        <v>#DIV/0!</v>
      </c>
      <c r="AN21" s="13">
        <f t="shared" ref="AN21" si="122">AN20/AN17</f>
        <v>-0.26683619063243375</v>
      </c>
      <c r="AO21" s="160">
        <f t="shared" ref="AO21" si="123">AO20/AO17</f>
        <v>-5.7684976099005837E-2</v>
      </c>
      <c r="AP21" s="13">
        <f t="shared" ref="AP21" si="124">AP20/AP17</f>
        <v>-0.55602964293734558</v>
      </c>
      <c r="AQ21" s="160" t="e">
        <f t="shared" ref="AQ21" si="125">AQ20/AQ17</f>
        <v>#DIV/0!</v>
      </c>
      <c r="AR21" s="13" t="e">
        <f t="shared" ref="AR21" si="126">AR20/AR17</f>
        <v>#DIV/0!</v>
      </c>
      <c r="AS21" s="13" t="e">
        <f t="shared" ref="AS21" si="127">AS20/AS17</f>
        <v>#DIV/0!</v>
      </c>
      <c r="AT21" s="13" t="e">
        <f t="shared" ref="AT21" si="128">AT20/AT17</f>
        <v>#DIV/0!</v>
      </c>
      <c r="AU21" s="13" t="e">
        <f t="shared" ref="AU21" si="129">AU20/AU17</f>
        <v>#DIV/0!</v>
      </c>
      <c r="AV21" s="13" t="e">
        <f t="shared" ref="AV21" si="130">AV20/AV17</f>
        <v>#DIV/0!</v>
      </c>
      <c r="AW21" s="13" t="e">
        <f t="shared" ref="AW21" si="131">AW20/AW17</f>
        <v>#DIV/0!</v>
      </c>
      <c r="AX21" s="13">
        <f t="shared" ref="AX21" si="132">AX20/AX17</f>
        <v>-0.87356321839080464</v>
      </c>
      <c r="AY21" s="13" t="e">
        <f t="shared" ref="AY21" si="133">AY20/AY17</f>
        <v>#DIV/0!</v>
      </c>
      <c r="AZ21" s="13" t="e">
        <f t="shared" ref="AZ21" si="134">AZ20/AZ17</f>
        <v>#DIV/0!</v>
      </c>
      <c r="BA21" s="13" t="e">
        <f t="shared" ref="BA21" si="135">BA20/BA17</f>
        <v>#DIV/0!</v>
      </c>
      <c r="BB21" s="160" t="e">
        <f t="shared" ref="BB21" si="136">BB20/BB17</f>
        <v>#DIV/0!</v>
      </c>
      <c r="BC21" s="13">
        <f t="shared" ref="BC21" si="137">BC20/BC17</f>
        <v>0.33972027972027974</v>
      </c>
      <c r="BD21" s="13">
        <f t="shared" ref="BD21" si="138">BD20/BD17</f>
        <v>0.32051282051282054</v>
      </c>
      <c r="BE21" s="13" t="e">
        <f t="shared" ref="BE21" si="139">BE20/BE17</f>
        <v>#DIV/0!</v>
      </c>
      <c r="BF21" s="13">
        <f t="shared" ref="BF21" si="140">BF20/BF17</f>
        <v>-0.43997616919868932</v>
      </c>
      <c r="BG21" s="13">
        <f t="shared" ref="BG21:BH21" si="141">BG20/BG17</f>
        <v>-0.94956140350877194</v>
      </c>
      <c r="BH21" s="160">
        <f t="shared" si="141"/>
        <v>-0.12209313586865991</v>
      </c>
      <c r="BI21" s="160">
        <f t="shared" ref="BI21" si="142">BI20/BI17</f>
        <v>5.5126304080777247E-2</v>
      </c>
      <c r="BJ21" s="13">
        <f t="shared" ref="BJ21:BK21" si="143">BJ20/BJ17</f>
        <v>7.6048836762161125</v>
      </c>
      <c r="BK21" s="50">
        <f t="shared" si="143"/>
        <v>2.1456537285481789E-2</v>
      </c>
      <c r="BM21" s="160" t="e">
        <f t="shared" ref="BM21" si="144">BM20/BM17</f>
        <v>#DIV/0!</v>
      </c>
    </row>
    <row r="22" spans="1:65">
      <c r="A22" s="128"/>
      <c r="B22" s="5" t="s">
        <v>132</v>
      </c>
      <c r="C22" s="11">
        <f>C19-C18</f>
        <v>86787</v>
      </c>
      <c r="D22" s="11">
        <f t="shared" ref="D22:BK22" si="145">D19-D18</f>
        <v>58368</v>
      </c>
      <c r="E22" s="11">
        <f t="shared" si="145"/>
        <v>-78</v>
      </c>
      <c r="F22" s="11">
        <f t="shared" si="145"/>
        <v>5315</v>
      </c>
      <c r="G22" s="11">
        <f t="shared" si="145"/>
        <v>5089</v>
      </c>
      <c r="H22" s="11">
        <f t="shared" si="145"/>
        <v>0</v>
      </c>
      <c r="I22" s="11">
        <f t="shared" si="145"/>
        <v>0</v>
      </c>
      <c r="J22" s="11">
        <f t="shared" si="145"/>
        <v>0</v>
      </c>
      <c r="K22" s="11">
        <f t="shared" si="145"/>
        <v>84</v>
      </c>
      <c r="L22" s="11">
        <f t="shared" si="145"/>
        <v>-11250</v>
      </c>
      <c r="M22" s="11">
        <f t="shared" si="145"/>
        <v>-736</v>
      </c>
      <c r="N22" s="11">
        <f t="shared" si="145"/>
        <v>-50</v>
      </c>
      <c r="O22" s="11">
        <f t="shared" si="145"/>
        <v>-523</v>
      </c>
      <c r="P22" s="11">
        <f t="shared" si="145"/>
        <v>-20246</v>
      </c>
      <c r="Q22" s="11">
        <f t="shared" si="145"/>
        <v>0</v>
      </c>
      <c r="R22" s="11">
        <f t="shared" si="145"/>
        <v>-901</v>
      </c>
      <c r="S22" s="11">
        <f t="shared" si="145"/>
        <v>0</v>
      </c>
      <c r="T22" s="11">
        <f t="shared" si="145"/>
        <v>0</v>
      </c>
      <c r="U22" s="11">
        <f t="shared" ref="U22" si="146">U19-U18</f>
        <v>0</v>
      </c>
      <c r="V22" s="9">
        <f t="shared" si="145"/>
        <v>0</v>
      </c>
      <c r="W22" s="11">
        <f t="shared" si="145"/>
        <v>0</v>
      </c>
      <c r="X22" s="11">
        <f t="shared" si="145"/>
        <v>0</v>
      </c>
      <c r="Y22" s="11">
        <f t="shared" si="145"/>
        <v>365</v>
      </c>
      <c r="Z22" s="11">
        <f t="shared" si="145"/>
        <v>287</v>
      </c>
      <c r="AA22" s="11">
        <f t="shared" si="145"/>
        <v>-53</v>
      </c>
      <c r="AB22" s="11">
        <f t="shared" ref="AB22" si="147">AB19-AB18</f>
        <v>0</v>
      </c>
      <c r="AC22" s="9">
        <f t="shared" ref="AC22:AD22" si="148">AC19-AC18</f>
        <v>0</v>
      </c>
      <c r="AD22" s="216">
        <f t="shared" si="148"/>
        <v>122458</v>
      </c>
      <c r="AE22" s="11">
        <f t="shared" si="145"/>
        <v>376</v>
      </c>
      <c r="AF22" s="11">
        <f t="shared" si="145"/>
        <v>124</v>
      </c>
      <c r="AG22" s="11">
        <f t="shared" si="145"/>
        <v>4585</v>
      </c>
      <c r="AH22" s="11">
        <f t="shared" si="145"/>
        <v>0</v>
      </c>
      <c r="AI22" s="11">
        <f t="shared" si="145"/>
        <v>0</v>
      </c>
      <c r="AJ22" s="11">
        <f t="shared" si="145"/>
        <v>25</v>
      </c>
      <c r="AK22" s="11">
        <f t="shared" si="145"/>
        <v>3446</v>
      </c>
      <c r="AL22" s="11">
        <f t="shared" si="145"/>
        <v>-9538</v>
      </c>
      <c r="AM22" s="11">
        <f t="shared" si="145"/>
        <v>0</v>
      </c>
      <c r="AN22" s="11">
        <f t="shared" si="145"/>
        <v>3503</v>
      </c>
      <c r="AO22" s="9">
        <f t="shared" si="145"/>
        <v>-1032</v>
      </c>
      <c r="AP22" s="11">
        <f t="shared" si="145"/>
        <v>11363</v>
      </c>
      <c r="AQ22" s="9">
        <f t="shared" si="145"/>
        <v>0</v>
      </c>
      <c r="AR22" s="11">
        <f t="shared" si="145"/>
        <v>0</v>
      </c>
      <c r="AS22" s="11">
        <f t="shared" si="145"/>
        <v>0</v>
      </c>
      <c r="AT22" s="11">
        <f t="shared" si="145"/>
        <v>0</v>
      </c>
      <c r="AU22" s="11">
        <f t="shared" si="145"/>
        <v>0</v>
      </c>
      <c r="AV22" s="11">
        <f t="shared" si="145"/>
        <v>0</v>
      </c>
      <c r="AW22" s="11">
        <f t="shared" si="145"/>
        <v>-67</v>
      </c>
      <c r="AX22" s="11">
        <f t="shared" si="145"/>
        <v>3</v>
      </c>
      <c r="AY22" s="11">
        <f t="shared" si="145"/>
        <v>-82</v>
      </c>
      <c r="AZ22" s="11">
        <f t="shared" si="145"/>
        <v>0</v>
      </c>
      <c r="BA22" s="11">
        <f t="shared" si="145"/>
        <v>0</v>
      </c>
      <c r="BB22" s="9">
        <f t="shared" si="145"/>
        <v>0</v>
      </c>
      <c r="BC22" s="11">
        <f t="shared" si="145"/>
        <v>1084</v>
      </c>
      <c r="BD22" s="11">
        <f t="shared" si="145"/>
        <v>1084</v>
      </c>
      <c r="BE22" s="11">
        <f t="shared" si="145"/>
        <v>0</v>
      </c>
      <c r="BF22" s="11">
        <f t="shared" si="145"/>
        <v>-98</v>
      </c>
      <c r="BG22" s="11">
        <f t="shared" si="145"/>
        <v>-87</v>
      </c>
      <c r="BH22" s="9">
        <f t="shared" si="145"/>
        <v>14689</v>
      </c>
      <c r="BI22" s="9">
        <f t="shared" si="145"/>
        <v>137147</v>
      </c>
      <c r="BJ22" s="11">
        <f t="shared" si="145"/>
        <v>44493</v>
      </c>
      <c r="BK22" s="49">
        <f t="shared" si="145"/>
        <v>92654</v>
      </c>
      <c r="BM22" s="30">
        <f t="shared" si="33"/>
        <v>-29804</v>
      </c>
    </row>
    <row r="23" spans="1:65">
      <c r="A23" s="128"/>
      <c r="B23" s="5" t="s">
        <v>133</v>
      </c>
      <c r="C23" s="13">
        <f>C22/C18</f>
        <v>0.18650635033202242</v>
      </c>
      <c r="D23" s="13">
        <f t="shared" ref="D23" si="149">D22/D18</f>
        <v>0.27379550710429168</v>
      </c>
      <c r="E23" s="13">
        <f t="shared" ref="E23" si="150">E22/E18</f>
        <v>-0.35294117647058826</v>
      </c>
      <c r="F23" s="13">
        <f t="shared" ref="F23" si="151">F22/F18</f>
        <v>0.15511907541442913</v>
      </c>
      <c r="G23" s="13">
        <f t="shared" ref="G23" si="152">G22/G18</f>
        <v>0.1570679012345679</v>
      </c>
      <c r="H23" s="13" t="e">
        <f t="shared" ref="H23" si="153">H22/H18</f>
        <v>#DIV/0!</v>
      </c>
      <c r="I23" s="13" t="e">
        <f t="shared" ref="I23" si="154">I22/I18</f>
        <v>#DIV/0!</v>
      </c>
      <c r="J23" s="13" t="e">
        <f t="shared" ref="J23" si="155">J22/J18</f>
        <v>#DIV/0!</v>
      </c>
      <c r="K23" s="13" t="e">
        <f t="shared" ref="K23" si="156">K22/K18</f>
        <v>#DIV/0!</v>
      </c>
      <c r="L23" s="13">
        <f t="shared" ref="L23" si="157">L22/L18</f>
        <v>-0.362342179850554</v>
      </c>
      <c r="M23" s="13">
        <f t="shared" ref="M23" si="158">M22/M18</f>
        <v>-1.6503352243424446E-2</v>
      </c>
      <c r="N23" s="13">
        <f t="shared" ref="N23" si="159">N22/N18</f>
        <v>-0.86206896551724133</v>
      </c>
      <c r="O23" s="13">
        <f t="shared" ref="O23" si="160">O22/O18</f>
        <v>-0.47373188405797101</v>
      </c>
      <c r="P23" s="13">
        <f t="shared" ref="P23" si="161">P22/P18</f>
        <v>-0.32489769718366363</v>
      </c>
      <c r="Q23" s="13" t="e">
        <f t="shared" ref="Q23" si="162">Q22/Q18</f>
        <v>#DIV/0!</v>
      </c>
      <c r="R23" s="13">
        <f t="shared" ref="R23" si="163">R22/R18</f>
        <v>-0.66104181951577401</v>
      </c>
      <c r="S23" s="13" t="e">
        <f t="shared" ref="S23" si="164">S22/S18</f>
        <v>#DIV/0!</v>
      </c>
      <c r="T23" s="13" t="e">
        <f t="shared" ref="T23:U23" si="165">T22/T18</f>
        <v>#DIV/0!</v>
      </c>
      <c r="U23" s="13" t="e">
        <f t="shared" si="165"/>
        <v>#DIV/0!</v>
      </c>
      <c r="V23" s="160" t="e">
        <f t="shared" ref="V23" si="166">V22/V18</f>
        <v>#DIV/0!</v>
      </c>
      <c r="W23" s="13" t="e">
        <f t="shared" ref="W23" si="167">W22/W18</f>
        <v>#DIV/0!</v>
      </c>
      <c r="X23" s="13" t="e">
        <f t="shared" ref="X23" si="168">X22/X18</f>
        <v>#DIV/0!</v>
      </c>
      <c r="Y23" s="13">
        <f t="shared" ref="Y23" si="169">Y22/Y18</f>
        <v>0.61241610738255037</v>
      </c>
      <c r="Z23" s="13">
        <f t="shared" ref="Z23" si="170">Z22/Z18</f>
        <v>2.064748201438849</v>
      </c>
      <c r="AA23" s="13">
        <f t="shared" ref="AA23:AD23" si="171">AA22/AA18</f>
        <v>-0.17725752508361203</v>
      </c>
      <c r="AB23" s="13" t="e">
        <f t="shared" ref="AB23" si="172">AB22/AB18</f>
        <v>#DIV/0!</v>
      </c>
      <c r="AC23" s="160" t="e">
        <f t="shared" si="171"/>
        <v>#DIV/0!</v>
      </c>
      <c r="AD23" s="217">
        <f t="shared" si="171"/>
        <v>0.13807185581481879</v>
      </c>
      <c r="AE23" s="13">
        <f t="shared" ref="AE23" si="173">AE22/AE18</f>
        <v>1.0245231607629428</v>
      </c>
      <c r="AF23" s="13">
        <f t="shared" ref="AF23" si="174">AF22/AF18</f>
        <v>1.3333333333333333</v>
      </c>
      <c r="AG23" s="13">
        <f t="shared" ref="AG23" si="175">AG22/AG18</f>
        <v>1.0143805309734513</v>
      </c>
      <c r="AH23" s="13" t="e">
        <f t="shared" ref="AH23" si="176">AH22/AH18</f>
        <v>#DIV/0!</v>
      </c>
      <c r="AI23" s="13" t="e">
        <f t="shared" ref="AI23" si="177">AI22/AI18</f>
        <v>#DIV/0!</v>
      </c>
      <c r="AJ23" s="13" t="e">
        <f t="shared" ref="AJ23" si="178">AJ22/AJ18</f>
        <v>#DIV/0!</v>
      </c>
      <c r="AK23" s="13">
        <f t="shared" ref="AK23" si="179">AK22/AK18</f>
        <v>-1.6339497392128972</v>
      </c>
      <c r="AL23" s="13">
        <f t="shared" ref="AL23" si="180">AL22/AL18</f>
        <v>-0.21031973539140023</v>
      </c>
      <c r="AM23" s="13" t="e">
        <f t="shared" ref="AM23" si="181">AM22/AM18</f>
        <v>#DIV/0!</v>
      </c>
      <c r="AN23" s="13">
        <f t="shared" ref="AN23" si="182">AN22/AN18</f>
        <v>0.24372086551172337</v>
      </c>
      <c r="AO23" s="160">
        <f t="shared" ref="AO23" si="183">AO22/AO18</f>
        <v>-7.9654214263661632E-3</v>
      </c>
      <c r="AP23" s="13">
        <f t="shared" ref="AP23" si="184">AP22/AP18</f>
        <v>22.771543086172343</v>
      </c>
      <c r="AQ23" s="160" t="e">
        <f t="shared" ref="AQ23" si="185">AQ22/AQ18</f>
        <v>#DIV/0!</v>
      </c>
      <c r="AR23" s="13" t="e">
        <f t="shared" ref="AR23" si="186">AR22/AR18</f>
        <v>#DIV/0!</v>
      </c>
      <c r="AS23" s="13" t="e">
        <f t="shared" ref="AS23" si="187">AS22/AS18</f>
        <v>#DIV/0!</v>
      </c>
      <c r="AT23" s="13" t="e">
        <f t="shared" ref="AT23" si="188">AT22/AT18</f>
        <v>#DIV/0!</v>
      </c>
      <c r="AU23" s="13" t="e">
        <f t="shared" ref="AU23" si="189">AU22/AU18</f>
        <v>#DIV/0!</v>
      </c>
      <c r="AV23" s="13" t="e">
        <f t="shared" ref="AV23" si="190">AV22/AV18</f>
        <v>#DIV/0!</v>
      </c>
      <c r="AW23" s="13">
        <f t="shared" ref="AW23" si="191">AW22/AW18</f>
        <v>-1</v>
      </c>
      <c r="AX23" s="13">
        <f t="shared" ref="AX23" si="192">AX22/AX18</f>
        <v>0.1</v>
      </c>
      <c r="AY23" s="13">
        <f t="shared" ref="AY23" si="193">AY22/AY18</f>
        <v>-1</v>
      </c>
      <c r="AZ23" s="13" t="e">
        <f t="shared" ref="AZ23" si="194">AZ22/AZ18</f>
        <v>#DIV/0!</v>
      </c>
      <c r="BA23" s="13" t="e">
        <f t="shared" ref="BA23" si="195">BA22/BA18</f>
        <v>#DIV/0!</v>
      </c>
      <c r="BB23" s="160" t="e">
        <f t="shared" ref="BB23" si="196">BB22/BB18</f>
        <v>#DIV/0!</v>
      </c>
      <c r="BC23" s="13">
        <f t="shared" ref="BC23" si="197">BC22/BC18</f>
        <v>0.12760447321954091</v>
      </c>
      <c r="BD23" s="13">
        <f t="shared" ref="BD23" si="198">BD22/BD18</f>
        <v>0.12760447321954091</v>
      </c>
      <c r="BE23" s="13" t="e">
        <f t="shared" ref="BE23" si="199">BE22/BE18</f>
        <v>#DIV/0!</v>
      </c>
      <c r="BF23" s="13">
        <f t="shared" ref="BF23" si="200">BF22/BF18</f>
        <v>-4.9544994944388271E-2</v>
      </c>
      <c r="BG23" s="13">
        <f t="shared" ref="BG23:BH23" si="201">BG22/BG18</f>
        <v>-0.65413533834586468</v>
      </c>
      <c r="BH23" s="160">
        <f t="shared" si="201"/>
        <v>6.930964031085296E-2</v>
      </c>
      <c r="BI23" s="160">
        <f t="shared" ref="BI23" si="202">BI22/BI18</f>
        <v>0.12480980080957511</v>
      </c>
      <c r="BJ23" s="13">
        <f t="shared" ref="BJ23:BK23" si="203">BJ22/BJ18</f>
        <v>170.4712643678161</v>
      </c>
      <c r="BK23" s="50">
        <f t="shared" si="203"/>
        <v>8.4339246686880517E-2</v>
      </c>
      <c r="BM23" s="14">
        <f t="shared" ref="BM23" si="204">BM22/BM18</f>
        <v>-0.14080275142673571</v>
      </c>
    </row>
    <row r="24" spans="1:65">
      <c r="A24" s="128"/>
      <c r="B24" s="5" t="s">
        <v>431</v>
      </c>
      <c r="C24" s="126">
        <f t="shared" ref="C24:AI24" si="205">C19/C16</f>
        <v>0.22450579545431443</v>
      </c>
      <c r="D24" s="126">
        <f t="shared" si="205"/>
        <v>0.19045538326876085</v>
      </c>
      <c r="E24" s="126" t="e">
        <f t="shared" si="205"/>
        <v>#DIV/0!</v>
      </c>
      <c r="F24" s="126">
        <f t="shared" si="205"/>
        <v>0.16944588340561437</v>
      </c>
      <c r="G24" s="126">
        <f t="shared" si="205"/>
        <v>0.20050595811137498</v>
      </c>
      <c r="H24" s="126" t="e">
        <f t="shared" si="205"/>
        <v>#DIV/0!</v>
      </c>
      <c r="I24" s="126" t="e">
        <f t="shared" si="205"/>
        <v>#DIV/0!</v>
      </c>
      <c r="J24" s="126" t="e">
        <f t="shared" si="205"/>
        <v>#DIV/0!</v>
      </c>
      <c r="K24" s="126" t="e">
        <f t="shared" si="205"/>
        <v>#DIV/0!</v>
      </c>
      <c r="L24" s="126">
        <f t="shared" si="205"/>
        <v>0.33807482795717286</v>
      </c>
      <c r="M24" s="126">
        <f t="shared" si="205"/>
        <v>0.17883762272890369</v>
      </c>
      <c r="N24" s="126">
        <f t="shared" si="205"/>
        <v>2.9520295202952029E-2</v>
      </c>
      <c r="O24" s="126">
        <f t="shared" si="205"/>
        <v>9.8457888493475684E-2</v>
      </c>
      <c r="P24" s="126">
        <f t="shared" si="205"/>
        <v>0.23836342929667803</v>
      </c>
      <c r="Q24" s="126" t="e">
        <f t="shared" si="205"/>
        <v>#DIV/0!</v>
      </c>
      <c r="R24" s="126">
        <f t="shared" si="205"/>
        <v>0.10992148465381871</v>
      </c>
      <c r="S24" s="126" t="e">
        <f t="shared" si="205"/>
        <v>#DIV/0!</v>
      </c>
      <c r="T24" s="126" t="e">
        <f t="shared" si="205"/>
        <v>#DIV/0!</v>
      </c>
      <c r="U24" s="126" t="e">
        <f t="shared" si="205"/>
        <v>#DIV/0!</v>
      </c>
      <c r="V24" s="175" t="e">
        <f t="shared" si="205"/>
        <v>#DIV/0!</v>
      </c>
      <c r="W24" s="126" t="e">
        <f t="shared" si="205"/>
        <v>#DIV/0!</v>
      </c>
      <c r="X24" s="126" t="e">
        <f t="shared" si="205"/>
        <v>#DIV/0!</v>
      </c>
      <c r="Y24" s="126">
        <f t="shared" si="205"/>
        <v>0.25078288100208768</v>
      </c>
      <c r="Z24" s="126">
        <f t="shared" si="205"/>
        <v>0.20649539505574407</v>
      </c>
      <c r="AA24" s="126">
        <f t="shared" si="205"/>
        <v>0.17071478140180429</v>
      </c>
      <c r="AB24" s="126">
        <f t="shared" ref="AB24" si="206">AB19/AB16</f>
        <v>0</v>
      </c>
      <c r="AC24" s="175" t="e">
        <f t="shared" si="205"/>
        <v>#DIV/0!</v>
      </c>
      <c r="AD24" s="218">
        <f t="shared" si="205"/>
        <v>0.20999139748706763</v>
      </c>
      <c r="AE24" s="126">
        <f t="shared" si="205"/>
        <v>0.33604703753957488</v>
      </c>
      <c r="AF24" s="126">
        <f t="shared" si="205"/>
        <v>0.68670886075949367</v>
      </c>
      <c r="AG24" s="126">
        <f t="shared" si="205"/>
        <v>0.45296253917715534</v>
      </c>
      <c r="AH24" s="126" t="e">
        <f t="shared" si="205"/>
        <v>#DIV/0!</v>
      </c>
      <c r="AI24" s="126" t="e">
        <f t="shared" si="205"/>
        <v>#DIV/0!</v>
      </c>
      <c r="AJ24" s="126">
        <f t="shared" ref="AJ24:BK24" si="207">AJ19/AJ16</f>
        <v>0.34246575342465752</v>
      </c>
      <c r="AK24" s="126">
        <f t="shared" si="207"/>
        <v>2.9331753762450091E-2</v>
      </c>
      <c r="AL24" s="126">
        <f t="shared" si="207"/>
        <v>0.24334590425712635</v>
      </c>
      <c r="AM24" s="126" t="e">
        <f t="shared" si="207"/>
        <v>#DIV/0!</v>
      </c>
      <c r="AN24" s="126">
        <f t="shared" si="207"/>
        <v>0.17595700491175573</v>
      </c>
      <c r="AO24" s="175">
        <f t="shared" si="207"/>
        <v>0.22615547308984246</v>
      </c>
      <c r="AP24" s="126">
        <f t="shared" si="207"/>
        <v>0.10655192857014534</v>
      </c>
      <c r="AQ24" s="175" t="e">
        <f t="shared" si="207"/>
        <v>#DIV/0!</v>
      </c>
      <c r="AR24" s="126" t="e">
        <f t="shared" si="207"/>
        <v>#DIV/0!</v>
      </c>
      <c r="AS24" s="126" t="e">
        <f t="shared" si="207"/>
        <v>#DIV/0!</v>
      </c>
      <c r="AT24" s="126" t="e">
        <f t="shared" si="207"/>
        <v>#DIV/0!</v>
      </c>
      <c r="AU24" s="126" t="e">
        <f t="shared" si="207"/>
        <v>#DIV/0!</v>
      </c>
      <c r="AV24" s="126" t="e">
        <f t="shared" si="207"/>
        <v>#DIV/0!</v>
      </c>
      <c r="AW24" s="126">
        <f t="shared" si="207"/>
        <v>0</v>
      </c>
      <c r="AX24" s="126">
        <f t="shared" si="207"/>
        <v>3.0386740331491711E-2</v>
      </c>
      <c r="AY24" s="126">
        <f t="shared" si="207"/>
        <v>0</v>
      </c>
      <c r="AZ24" s="126" t="e">
        <f t="shared" si="207"/>
        <v>#DIV/0!</v>
      </c>
      <c r="BA24" s="126" t="e">
        <f t="shared" si="207"/>
        <v>#DIV/0!</v>
      </c>
      <c r="BB24" s="175" t="e">
        <f t="shared" si="207"/>
        <v>#DIV/0!</v>
      </c>
      <c r="BC24" s="126">
        <f t="shared" si="207"/>
        <v>0.32152926960257788</v>
      </c>
      <c r="BD24" s="126">
        <f t="shared" si="207"/>
        <v>0.31694404923402708</v>
      </c>
      <c r="BE24" s="126" t="e">
        <f t="shared" si="207"/>
        <v>#DIV/0!</v>
      </c>
      <c r="BF24" s="126">
        <f t="shared" si="207"/>
        <v>0.13440091507006005</v>
      </c>
      <c r="BG24" s="126">
        <f t="shared" si="207"/>
        <v>1.2108449591997894E-2</v>
      </c>
      <c r="BH24" s="175">
        <f t="shared" si="207"/>
        <v>0.21046169848205537</v>
      </c>
      <c r="BI24" s="175">
        <f t="shared" si="207"/>
        <v>0.21007747062982704</v>
      </c>
      <c r="BJ24" s="126">
        <f t="shared" si="207"/>
        <v>2.0659188478050132</v>
      </c>
      <c r="BK24" s="126">
        <f t="shared" si="207"/>
        <v>0.20321904816170031</v>
      </c>
      <c r="BM24" s="126" t="e">
        <f>BM19/BM16</f>
        <v>#DIV/0!</v>
      </c>
    </row>
    <row r="25" spans="1:65">
      <c r="A25" s="128"/>
      <c r="B25" s="5" t="s">
        <v>432</v>
      </c>
      <c r="C25" s="11">
        <f>C16-C19</f>
        <v>1907138</v>
      </c>
      <c r="D25" s="11">
        <f t="shared" ref="D25:BL25" si="208">D16-D19</f>
        <v>1154239</v>
      </c>
      <c r="E25" s="11">
        <f t="shared" si="208"/>
        <v>-143</v>
      </c>
      <c r="F25" s="11">
        <f t="shared" si="208"/>
        <v>194000</v>
      </c>
      <c r="G25" s="11">
        <f t="shared" si="208"/>
        <v>149483</v>
      </c>
      <c r="H25" s="11">
        <f t="shared" si="208"/>
        <v>0</v>
      </c>
      <c r="I25" s="11">
        <f t="shared" si="208"/>
        <v>0</v>
      </c>
      <c r="J25" s="11">
        <f t="shared" si="208"/>
        <v>0</v>
      </c>
      <c r="K25" s="11">
        <f t="shared" si="208"/>
        <v>-84</v>
      </c>
      <c r="L25" s="11">
        <f t="shared" si="208"/>
        <v>38763</v>
      </c>
      <c r="M25" s="11">
        <f t="shared" si="208"/>
        <v>201395</v>
      </c>
      <c r="N25" s="11">
        <f t="shared" si="208"/>
        <v>263</v>
      </c>
      <c r="O25" s="11">
        <f t="shared" si="208"/>
        <v>5320</v>
      </c>
      <c r="P25" s="11">
        <f t="shared" si="208"/>
        <v>134422</v>
      </c>
      <c r="Q25" s="11">
        <f t="shared" si="208"/>
        <v>0</v>
      </c>
      <c r="R25" s="11">
        <f t="shared" si="208"/>
        <v>3741</v>
      </c>
      <c r="S25" s="11">
        <f t="shared" si="208"/>
        <v>0</v>
      </c>
      <c r="T25" s="11">
        <f t="shared" si="208"/>
        <v>0</v>
      </c>
      <c r="U25" s="11">
        <f t="shared" si="208"/>
        <v>0</v>
      </c>
      <c r="V25" s="11">
        <f t="shared" si="208"/>
        <v>0</v>
      </c>
      <c r="W25" s="11">
        <f t="shared" si="208"/>
        <v>0</v>
      </c>
      <c r="X25" s="11">
        <f t="shared" si="208"/>
        <v>0</v>
      </c>
      <c r="Y25" s="11">
        <f t="shared" si="208"/>
        <v>2871</v>
      </c>
      <c r="Z25" s="11">
        <f t="shared" si="208"/>
        <v>1637</v>
      </c>
      <c r="AA25" s="11">
        <f t="shared" si="208"/>
        <v>1195</v>
      </c>
      <c r="AB25" s="11">
        <f t="shared" si="208"/>
        <v>3122</v>
      </c>
      <c r="AC25" s="11">
        <f t="shared" si="208"/>
        <v>0</v>
      </c>
      <c r="AD25" s="11">
        <f t="shared" si="208"/>
        <v>3797362</v>
      </c>
      <c r="AE25" s="11">
        <f t="shared" si="208"/>
        <v>1468</v>
      </c>
      <c r="AF25" s="11">
        <f t="shared" si="208"/>
        <v>99</v>
      </c>
      <c r="AG25" s="11">
        <f t="shared" si="208"/>
        <v>10996</v>
      </c>
      <c r="AH25" s="11">
        <f t="shared" si="208"/>
        <v>0</v>
      </c>
      <c r="AI25" s="11">
        <f t="shared" si="208"/>
        <v>0</v>
      </c>
      <c r="AJ25" s="11">
        <f t="shared" si="208"/>
        <v>48</v>
      </c>
      <c r="AK25" s="11">
        <f t="shared" si="208"/>
        <v>44245</v>
      </c>
      <c r="AL25" s="11">
        <f t="shared" si="208"/>
        <v>111353</v>
      </c>
      <c r="AM25" s="11">
        <f t="shared" si="208"/>
        <v>0</v>
      </c>
      <c r="AN25" s="11">
        <f t="shared" si="208"/>
        <v>83717</v>
      </c>
      <c r="AO25" s="11">
        <f t="shared" si="208"/>
        <v>439789</v>
      </c>
      <c r="AP25" s="11">
        <f t="shared" si="208"/>
        <v>99464</v>
      </c>
      <c r="AQ25" s="11">
        <f t="shared" si="208"/>
        <v>0</v>
      </c>
      <c r="AR25" s="11">
        <f t="shared" si="208"/>
        <v>0</v>
      </c>
      <c r="AS25" s="11">
        <f t="shared" si="208"/>
        <v>0</v>
      </c>
      <c r="AT25" s="11">
        <f t="shared" si="208"/>
        <v>0</v>
      </c>
      <c r="AU25" s="11">
        <f t="shared" si="208"/>
        <v>0</v>
      </c>
      <c r="AV25" s="11">
        <f t="shared" si="208"/>
        <v>0</v>
      </c>
      <c r="AW25" s="11">
        <f t="shared" si="208"/>
        <v>1135</v>
      </c>
      <c r="AX25" s="11">
        <f t="shared" si="208"/>
        <v>1053</v>
      </c>
      <c r="AY25" s="11">
        <f t="shared" si="208"/>
        <v>78</v>
      </c>
      <c r="AZ25" s="11">
        <f t="shared" si="208"/>
        <v>0</v>
      </c>
      <c r="BA25" s="11">
        <f t="shared" si="208"/>
        <v>0</v>
      </c>
      <c r="BB25" s="11">
        <f t="shared" si="208"/>
        <v>0</v>
      </c>
      <c r="BC25" s="11">
        <f t="shared" si="208"/>
        <v>20213</v>
      </c>
      <c r="BD25" s="11">
        <f t="shared" si="208"/>
        <v>20644</v>
      </c>
      <c r="BE25" s="11">
        <f t="shared" si="208"/>
        <v>0</v>
      </c>
      <c r="BF25" s="11">
        <f t="shared" si="208"/>
        <v>12108</v>
      </c>
      <c r="BG25" s="11">
        <f t="shared" si="208"/>
        <v>3753</v>
      </c>
      <c r="BH25" s="11">
        <f t="shared" si="208"/>
        <v>850163</v>
      </c>
      <c r="BI25" s="11">
        <f t="shared" si="208"/>
        <v>4647525</v>
      </c>
      <c r="BJ25" s="11">
        <f t="shared" si="208"/>
        <v>-23091</v>
      </c>
      <c r="BK25" s="11">
        <f t="shared" si="208"/>
        <v>4670616</v>
      </c>
      <c r="BL25" s="11">
        <f t="shared" si="208"/>
        <v>-1191241</v>
      </c>
      <c r="BM25" s="11">
        <f t="shared" ref="BM25" si="209">BM19-BM16</f>
        <v>181868</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6"/>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265" customFormat="1">
      <c r="A27" s="15" t="s">
        <v>135</v>
      </c>
      <c r="B27" s="11" t="s">
        <v>430</v>
      </c>
      <c r="C27" s="266">
        <v>480237</v>
      </c>
      <c r="D27" s="120">
        <v>278462</v>
      </c>
      <c r="E27" s="120">
        <v>0</v>
      </c>
      <c r="F27" s="120">
        <v>70764</v>
      </c>
      <c r="G27" s="120">
        <v>48090</v>
      </c>
      <c r="H27" s="120">
        <v>0</v>
      </c>
      <c r="I27" s="120">
        <v>0</v>
      </c>
      <c r="J27" s="120">
        <v>0</v>
      </c>
      <c r="K27" s="120">
        <v>1536</v>
      </c>
      <c r="L27" s="120">
        <v>5536</v>
      </c>
      <c r="M27" s="120">
        <v>6202</v>
      </c>
      <c r="N27" s="120">
        <v>116</v>
      </c>
      <c r="O27" s="120">
        <v>1848</v>
      </c>
      <c r="P27" s="120">
        <v>5696</v>
      </c>
      <c r="Q27" s="120">
        <v>0</v>
      </c>
      <c r="R27" s="120">
        <v>1437</v>
      </c>
      <c r="S27" s="120">
        <v>0</v>
      </c>
      <c r="T27" s="120">
        <v>0</v>
      </c>
      <c r="U27" s="120">
        <v>0</v>
      </c>
      <c r="V27" s="267">
        <v>842</v>
      </c>
      <c r="W27" s="120">
        <v>0</v>
      </c>
      <c r="X27" s="120">
        <v>0</v>
      </c>
      <c r="Y27" s="120">
        <v>724</v>
      </c>
      <c r="Z27" s="120">
        <v>767</v>
      </c>
      <c r="AA27" s="120">
        <v>177</v>
      </c>
      <c r="AB27" s="120">
        <v>0</v>
      </c>
      <c r="AC27" s="267">
        <v>74346</v>
      </c>
      <c r="AD27" s="121">
        <f t="shared" ref="AD27" si="210">SUM(C27:AC27)</f>
        <v>976780</v>
      </c>
      <c r="AE27" s="120">
        <v>495</v>
      </c>
      <c r="AF27" s="120">
        <v>389</v>
      </c>
      <c r="AG27" s="120">
        <v>0</v>
      </c>
      <c r="AH27" s="120">
        <v>0</v>
      </c>
      <c r="AI27" s="120">
        <v>0</v>
      </c>
      <c r="AJ27" s="120">
        <v>100</v>
      </c>
      <c r="AK27" s="120">
        <v>372784</v>
      </c>
      <c r="AL27" s="120">
        <v>41320</v>
      </c>
      <c r="AM27" s="120">
        <v>0</v>
      </c>
      <c r="AN27" s="120">
        <v>0</v>
      </c>
      <c r="AO27" s="267">
        <v>57634</v>
      </c>
      <c r="AP27" s="120">
        <v>-10545</v>
      </c>
      <c r="AQ27" s="267">
        <v>0</v>
      </c>
      <c r="AR27" s="120">
        <v>0</v>
      </c>
      <c r="AS27" s="120">
        <v>0</v>
      </c>
      <c r="AT27" s="120">
        <v>0</v>
      </c>
      <c r="AU27" s="120">
        <v>0</v>
      </c>
      <c r="AV27" s="120">
        <v>0</v>
      </c>
      <c r="AW27" s="120">
        <v>362</v>
      </c>
      <c r="AX27" s="120">
        <v>232</v>
      </c>
      <c r="AY27" s="120">
        <v>0</v>
      </c>
      <c r="AZ27" s="120">
        <v>0</v>
      </c>
      <c r="BA27" s="120">
        <v>0</v>
      </c>
      <c r="BB27" s="267">
        <v>67012</v>
      </c>
      <c r="BC27" s="120">
        <v>4002</v>
      </c>
      <c r="BD27" s="120">
        <v>4002</v>
      </c>
      <c r="BE27" s="120">
        <v>0</v>
      </c>
      <c r="BF27" s="120">
        <v>5064</v>
      </c>
      <c r="BG27" s="120">
        <v>263</v>
      </c>
      <c r="BH27" s="120">
        <f t="shared" ref="BH27" si="211">SUM(AE27:BG27)</f>
        <v>543114</v>
      </c>
      <c r="BI27" s="125">
        <f t="shared" ref="BI27" si="212">AD27+BH27</f>
        <v>1519894</v>
      </c>
      <c r="BJ27" s="268">
        <v>6114</v>
      </c>
      <c r="BK27" s="124">
        <f t="shared" ref="BK27" si="213">BI27-BJ27</f>
        <v>1513780</v>
      </c>
    </row>
    <row r="28" spans="1:65" s="41" customFormat="1">
      <c r="A28" s="134" t="s">
        <v>135</v>
      </c>
      <c r="B28" s="210" t="s">
        <v>424</v>
      </c>
      <c r="C28" s="266">
        <v>91245</v>
      </c>
      <c r="D28" s="120">
        <v>52908</v>
      </c>
      <c r="E28" s="120">
        <v>0</v>
      </c>
      <c r="F28" s="120">
        <v>13445</v>
      </c>
      <c r="G28" s="120">
        <v>9137</v>
      </c>
      <c r="H28" s="120">
        <v>0</v>
      </c>
      <c r="I28" s="120">
        <v>0</v>
      </c>
      <c r="J28" s="120">
        <v>0</v>
      </c>
      <c r="K28" s="120">
        <v>292</v>
      </c>
      <c r="L28" s="120">
        <v>1052</v>
      </c>
      <c r="M28" s="120">
        <v>1178</v>
      </c>
      <c r="N28" s="120">
        <v>22</v>
      </c>
      <c r="O28" s="120">
        <v>351</v>
      </c>
      <c r="P28" s="120">
        <v>1082</v>
      </c>
      <c r="Q28" s="120">
        <v>0</v>
      </c>
      <c r="R28" s="120">
        <v>273</v>
      </c>
      <c r="S28" s="120">
        <v>0</v>
      </c>
      <c r="T28" s="120">
        <v>0</v>
      </c>
      <c r="U28" s="120">
        <v>0</v>
      </c>
      <c r="V28" s="267">
        <v>160</v>
      </c>
      <c r="W28" s="120">
        <v>0</v>
      </c>
      <c r="X28" s="120">
        <v>0</v>
      </c>
      <c r="Y28" s="120">
        <v>138</v>
      </c>
      <c r="Z28" s="120">
        <v>146</v>
      </c>
      <c r="AA28" s="120">
        <v>34</v>
      </c>
      <c r="AB28" s="120">
        <v>0</v>
      </c>
      <c r="AC28" s="267">
        <v>14126</v>
      </c>
      <c r="AD28" s="121">
        <f t="shared" ref="AD28" si="214">SUM(C28:AC28)</f>
        <v>185589</v>
      </c>
      <c r="AE28" s="120">
        <v>119</v>
      </c>
      <c r="AF28" s="120">
        <v>93</v>
      </c>
      <c r="AG28" s="120">
        <v>0</v>
      </c>
      <c r="AH28" s="120">
        <v>0</v>
      </c>
      <c r="AI28" s="120">
        <v>0</v>
      </c>
      <c r="AJ28" s="120">
        <v>24</v>
      </c>
      <c r="AK28" s="120">
        <v>89468</v>
      </c>
      <c r="AL28" s="120">
        <v>9917</v>
      </c>
      <c r="AM28" s="120">
        <v>0</v>
      </c>
      <c r="AN28" s="120">
        <v>0</v>
      </c>
      <c r="AO28" s="267">
        <v>13832</v>
      </c>
      <c r="AP28" s="120">
        <v>-2531</v>
      </c>
      <c r="AQ28" s="267">
        <v>0</v>
      </c>
      <c r="AR28" s="120">
        <v>0</v>
      </c>
      <c r="AS28" s="120">
        <v>0</v>
      </c>
      <c r="AT28" s="120">
        <v>0</v>
      </c>
      <c r="AU28" s="120">
        <v>0</v>
      </c>
      <c r="AV28" s="120">
        <v>0</v>
      </c>
      <c r="AW28" s="120">
        <v>0</v>
      </c>
      <c r="AX28" s="120">
        <v>56</v>
      </c>
      <c r="AY28" s="120">
        <v>0</v>
      </c>
      <c r="AZ28" s="120">
        <v>0</v>
      </c>
      <c r="BA28" s="120">
        <v>0</v>
      </c>
      <c r="BB28" s="267">
        <v>16083</v>
      </c>
      <c r="BC28" s="120">
        <v>960</v>
      </c>
      <c r="BD28" s="120">
        <v>960</v>
      </c>
      <c r="BE28" s="120">
        <v>0</v>
      </c>
      <c r="BF28" s="120">
        <v>1215</v>
      </c>
      <c r="BG28" s="120">
        <v>63</v>
      </c>
      <c r="BH28" s="120">
        <f t="shared" ref="BH28" si="215">SUM(AE28:BG28)</f>
        <v>130259</v>
      </c>
      <c r="BI28" s="125">
        <f t="shared" ref="BI28" si="216">AD28+BH28</f>
        <v>315848</v>
      </c>
      <c r="BJ28" s="268">
        <v>1467</v>
      </c>
      <c r="BK28" s="124">
        <f t="shared" ref="BK28" si="217">BI28-BJ28</f>
        <v>314381</v>
      </c>
      <c r="BM28" s="211"/>
    </row>
    <row r="29" spans="1:65">
      <c r="A29" s="128"/>
      <c r="B29" s="12" t="s">
        <v>425</v>
      </c>
      <c r="C29" s="9">
        <f>IF('Upto Month COPPY'!$D$4="",0,'Upto Month COPPY'!$D$4)</f>
        <v>78209</v>
      </c>
      <c r="D29" s="9">
        <f>IF('Upto Month COPPY'!$D$5="",0,'Upto Month COPPY'!$D$5)</f>
        <v>41905</v>
      </c>
      <c r="E29" s="9">
        <f>IF('Upto Month COPPY'!$D$6="",0,'Upto Month COPPY'!$D$6)</f>
        <v>21</v>
      </c>
      <c r="F29" s="9">
        <f>IF('Upto Month COPPY'!$D$7="",0,'Upto Month COPPY'!$D$7)</f>
        <v>9691</v>
      </c>
      <c r="G29" s="9">
        <f>IF('Upto Month COPPY'!$D$8="",0,'Upto Month COPPY'!$D$8)</f>
        <v>7846</v>
      </c>
      <c r="H29" s="9">
        <f>IF('Upto Month COPPY'!$D$9="",0,'Upto Month COPPY'!$D$9)</f>
        <v>0</v>
      </c>
      <c r="I29" s="9">
        <f>IF('Upto Month COPPY'!$D$10="",0,'Upto Month COPPY'!$D$10)</f>
        <v>0</v>
      </c>
      <c r="J29" s="9">
        <f>IF('Upto Month COPPY'!$D$11="",0,'Upto Month COPPY'!$D$11)</f>
        <v>0</v>
      </c>
      <c r="K29" s="9">
        <f>IF('Upto Month COPPY'!$D$12="",0,'Upto Month COPPY'!$D$12)</f>
        <v>180</v>
      </c>
      <c r="L29" s="9">
        <f>IF('Upto Month COPPY'!$D$13="",0,'Upto Month COPPY'!$D$13)</f>
        <v>1903</v>
      </c>
      <c r="M29" s="9">
        <f>IF('Upto Month COPPY'!$D$14="",0,'Upto Month COPPY'!$D$14)</f>
        <v>739</v>
      </c>
      <c r="N29" s="9">
        <f>IF('Upto Month COPPY'!$D$15="",0,'Upto Month COPPY'!$D$15)</f>
        <v>7</v>
      </c>
      <c r="O29" s="9">
        <f>IF('Upto Month COPPY'!$D$16="",0,'Upto Month COPPY'!$D$16)</f>
        <v>191</v>
      </c>
      <c r="P29" s="9">
        <f>IF('Upto Month COPPY'!$D$17="",0,'Upto Month COPPY'!$D$17)</f>
        <v>2233</v>
      </c>
      <c r="Q29" s="9">
        <f>IF('Upto Month COPPY'!$D$18="",0,'Upto Month COPPY'!$D$18)</f>
        <v>0</v>
      </c>
      <c r="R29" s="9">
        <f>IF('Upto Month COPPY'!$D$21="",0,'Upto Month COPPY'!$D$21)</f>
        <v>612</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43</v>
      </c>
      <c r="AB29" s="9">
        <f>IF('Upto Month COPPY'!$D$48="",0,'Upto Month COPPY'!$D$48)</f>
        <v>0</v>
      </c>
      <c r="AC29" s="9">
        <f>IF('Upto Month COPPY'!$D$51="",0,'Upto Month COPPY'!$D$51)</f>
        <v>1111</v>
      </c>
      <c r="AD29" s="221">
        <f t="shared" ref="AD29:AD30" si="218">SUM(C29:AC29)</f>
        <v>144691</v>
      </c>
      <c r="AE29" s="9">
        <f>IF('Upto Month COPPY'!$D$19="",0,'Upto Month COPPY'!$D$19)</f>
        <v>94</v>
      </c>
      <c r="AF29" s="9">
        <f>IF('Upto Month COPPY'!$D$20="",0,'Upto Month COPPY'!$D$20)</f>
        <v>124</v>
      </c>
      <c r="AG29" s="9">
        <f>IF('Upto Month COPPY'!$D$22="",0,'Upto Month COPPY'!$D$22)</f>
        <v>95</v>
      </c>
      <c r="AH29" s="9">
        <f>IF('Upto Month COPPY'!$D$23="",0,'Upto Month COPPY'!$D$23)</f>
        <v>0</v>
      </c>
      <c r="AI29" s="9">
        <f>IF('Upto Month COPPY'!$D$24="",0,'Upto Month COPPY'!$D$24)</f>
        <v>0</v>
      </c>
      <c r="AJ29" s="9">
        <f>IF('Upto Month COPPY'!$D$25="",0,'Upto Month COPPY'!$D$25)</f>
        <v>113</v>
      </c>
      <c r="AK29" s="9">
        <f>IF('Upto Month COPPY'!$D$28="",0,'Upto Month COPPY'!$D$28)</f>
        <v>36034</v>
      </c>
      <c r="AL29" s="9">
        <f>IF('Upto Month COPPY'!$D$29="",0,'Upto Month COPPY'!$D$29)</f>
        <v>14347</v>
      </c>
      <c r="AM29" s="9">
        <f>IF('Upto Month COPPY'!$D$31="",0,'Upto Month COPPY'!$D$31)</f>
        <v>0</v>
      </c>
      <c r="AN29" s="9">
        <f>IF('Upto Month COPPY'!$D$32="",0,'Upto Month COPPY'!$D$32)</f>
        <v>30</v>
      </c>
      <c r="AO29" s="9">
        <f>IF('Upto Month COPPY'!$D$33="",0,'Upto Month COPPY'!$D$33)</f>
        <v>2615</v>
      </c>
      <c r="AP29" s="9">
        <f>IF('Upto Month COPPY'!$D$34="",0,'Upto Month COPPY'!$D$34)</f>
        <v>-22591</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115</v>
      </c>
      <c r="AY29" s="9">
        <f>IF('Upto Month COPPY'!$D$47="",0,'Upto Month COPPY'!$D$47)</f>
        <v>0</v>
      </c>
      <c r="AZ29" s="9">
        <f>IF('Upto Month COPPY'!$D$49="",0,'Upto Month COPPY'!$D$49)</f>
        <v>0</v>
      </c>
      <c r="BA29" s="9">
        <f>IF('Upto Month COPPY'!$D$50="",0,'Upto Month COPPY'!$D$50)</f>
        <v>0</v>
      </c>
      <c r="BB29" s="9">
        <f>IF('Upto Month COPPY'!$D$52="",0,'Upto Month COPPY'!$D$52)</f>
        <v>10988</v>
      </c>
      <c r="BC29" s="9">
        <f>IF('Upto Month COPPY'!$D$53="",0,'Upto Month COPPY'!$D$53)</f>
        <v>945</v>
      </c>
      <c r="BD29" s="9">
        <f>IF('Upto Month COPPY'!$D$54="",0,'Upto Month COPPY'!$D$54)</f>
        <v>945</v>
      </c>
      <c r="BE29" s="9">
        <f>IF('Upto Month COPPY'!$D$55="",0,'Upto Month COPPY'!$D$55)</f>
        <v>0</v>
      </c>
      <c r="BF29" s="9">
        <f>IF('Upto Month COPPY'!$D$56="",0,'Upto Month COPPY'!$D$56)</f>
        <v>789</v>
      </c>
      <c r="BG29" s="9">
        <f>IF('Upto Month COPPY'!$D$58="",0,'Upto Month COPPY'!$D$58)</f>
        <v>32</v>
      </c>
      <c r="BH29" s="9">
        <f>SUM(AE29:BG29)</f>
        <v>44675</v>
      </c>
      <c r="BI29" s="274">
        <f>AD29+BH29</f>
        <v>189366</v>
      </c>
      <c r="BJ29" s="9">
        <f>IF('Upto Month COPPY'!$D$60="",0,'Upto Month COPPY'!$D$60)</f>
        <v>0</v>
      </c>
      <c r="BK29" s="49">
        <f t="shared" ref="BK29:BK30" si="219">BI29-BJ29</f>
        <v>189366</v>
      </c>
      <c r="BL29">
        <f>'Upto Month COPPY'!$D$61</f>
        <v>189368</v>
      </c>
      <c r="BM29" s="30">
        <f t="shared" ref="BM29:BM33" si="220">BK29-AD29</f>
        <v>44675</v>
      </c>
    </row>
    <row r="30" spans="1:65">
      <c r="A30" s="128"/>
      <c r="B30" s="180" t="s">
        <v>426</v>
      </c>
      <c r="C30" s="9">
        <f>IF('Upto Month Current'!$D$4="",0,'Upto Month Current'!$D$4)</f>
        <v>80893</v>
      </c>
      <c r="D30" s="9">
        <f>IF('Upto Month Current'!$D$5="",0,'Upto Month Current'!$D$5)</f>
        <v>49676</v>
      </c>
      <c r="E30" s="9">
        <f>IF('Upto Month Current'!$D$6="",0,'Upto Month Current'!$D$6)</f>
        <v>0</v>
      </c>
      <c r="F30" s="9">
        <f>IF('Upto Month Current'!$D$7="",0,'Upto Month Current'!$D$7)</f>
        <v>10028</v>
      </c>
      <c r="G30" s="9">
        <f>IF('Upto Month Current'!$D$8="",0,'Upto Month Current'!$D$8)</f>
        <v>9104</v>
      </c>
      <c r="H30" s="9">
        <f>IF('Upto Month Current'!$D$9="",0,'Upto Month Current'!$D$9)</f>
        <v>0</v>
      </c>
      <c r="I30" s="9">
        <f>IF('Upto Month Current'!$D$10="",0,'Upto Month Current'!$D$10)</f>
        <v>0</v>
      </c>
      <c r="J30" s="9">
        <f>IF('Upto Month Current'!$D$11="",0,'Upto Month Current'!$D$11)</f>
        <v>41</v>
      </c>
      <c r="K30" s="9">
        <f>IF('Upto Month Current'!$D$12="",0,'Upto Month Current'!$D$12)</f>
        <v>221</v>
      </c>
      <c r="L30" s="9">
        <f>IF('Upto Month Current'!$D$13="",0,'Upto Month Current'!$D$13)</f>
        <v>1514</v>
      </c>
      <c r="M30" s="9">
        <f>IF('Upto Month Current'!$D$14="",0,'Upto Month Current'!$D$14)</f>
        <v>837</v>
      </c>
      <c r="N30" s="9">
        <f>IF('Upto Month Current'!$D$15="",0,'Upto Month Current'!$D$15)</f>
        <v>0</v>
      </c>
      <c r="O30" s="9">
        <f>IF('Upto Month Current'!$D$16="",0,'Upto Month Current'!$D$16)</f>
        <v>256</v>
      </c>
      <c r="P30" s="9">
        <f>IF('Upto Month Current'!$D$17="",0,'Upto Month Current'!$D$17)</f>
        <v>1021</v>
      </c>
      <c r="Q30" s="9">
        <f>IF('Upto Month Current'!$D$18="",0,'Upto Month Current'!$D$18)</f>
        <v>0</v>
      </c>
      <c r="R30" s="9">
        <f>IF('Upto Month Current'!$D$21="",0,'Upto Month Current'!$D$21)</f>
        <v>232</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209</v>
      </c>
      <c r="Z30" s="9">
        <f>IF('Upto Month Current'!$D$43="",0,'Upto Month Current'!$D$43)</f>
        <v>84</v>
      </c>
      <c r="AA30" s="9">
        <f>IF('Upto Month Current'!$D$44="",0,'Upto Month Current'!$D$44)</f>
        <v>27</v>
      </c>
      <c r="AB30" s="9">
        <f>IF('Upto Month Current'!$D$48="",0,'Upto Month Current'!$D$48)</f>
        <v>0</v>
      </c>
      <c r="AC30" s="9">
        <f>IF('Upto Month Current'!$D$51="",0,'Upto Month Current'!$D$51)</f>
        <v>16437</v>
      </c>
      <c r="AD30" s="221">
        <f t="shared" si="218"/>
        <v>170580</v>
      </c>
      <c r="AE30" s="9">
        <f>IF('Upto Month Current'!$D$19="",0,'Upto Month Current'!$D$19)</f>
        <v>177</v>
      </c>
      <c r="AF30" s="9">
        <f>IF('Upto Month Current'!$D$20="",0,'Upto Month Current'!$D$20)</f>
        <v>156</v>
      </c>
      <c r="AG30" s="9">
        <f>IF('Upto Month Current'!$D$22="",0,'Upto Month Current'!$D$22)</f>
        <v>387</v>
      </c>
      <c r="AH30" s="9">
        <f>IF('Upto Month Current'!$D$23="",0,'Upto Month Current'!$D$23)</f>
        <v>0</v>
      </c>
      <c r="AI30" s="9">
        <f>IF('Upto Month Current'!$D$24="",0,'Upto Month Current'!$D$24)</f>
        <v>0</v>
      </c>
      <c r="AJ30" s="9">
        <f>IF('Upto Month Current'!$D$25="",0,'Upto Month Current'!$D$25)</f>
        <v>19</v>
      </c>
      <c r="AK30" s="9">
        <f>IF('Upto Month Current'!$D$28="",0,'Upto Month Current'!$D$28)</f>
        <v>64278</v>
      </c>
      <c r="AL30" s="9">
        <f>IF('Upto Month Current'!$D$29="",0,'Upto Month Current'!$D$29)</f>
        <v>15941</v>
      </c>
      <c r="AM30" s="9">
        <f>IF('Upto Month Current'!$D$31="",0,'Upto Month Current'!$D$31)</f>
        <v>0</v>
      </c>
      <c r="AN30" s="9">
        <f>IF('Upto Month Current'!$D$32="",0,'Upto Month Current'!$D$32)</f>
        <v>50</v>
      </c>
      <c r="AO30" s="9">
        <f>IF('Upto Month Current'!$D$33="",0,'Upto Month Current'!$D$33)</f>
        <v>10364</v>
      </c>
      <c r="AP30" s="9">
        <f>IF('Upto Month Current'!$D$34="",0,'Upto Month Current'!$D$34)</f>
        <v>-291</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51</v>
      </c>
      <c r="AY30" s="9">
        <f>IF('Upto Month Current'!$D$47="",0,'Upto Month Current'!$D$47)</f>
        <v>0</v>
      </c>
      <c r="AZ30" s="9">
        <f>IF('Upto Month Current'!$D$49="",0,'Upto Month Current'!$D$49)</f>
        <v>0</v>
      </c>
      <c r="BA30" s="9">
        <f>IF('Upto Month Current'!$D$50="",0,'Upto Month Current'!$D$50)</f>
        <v>0</v>
      </c>
      <c r="BB30" s="9">
        <f>IF('Upto Month Current'!$D$52="",0,'Upto Month Current'!$D$52)</f>
        <v>20234</v>
      </c>
      <c r="BC30" s="9">
        <f>IF('Upto Month Current'!$D$53="",0,'Upto Month Current'!$D$53)</f>
        <v>395</v>
      </c>
      <c r="BD30" s="9">
        <f>IF('Upto Month Current'!$D$54="",0,'Upto Month Current'!$D$54)</f>
        <v>395</v>
      </c>
      <c r="BE30" s="9">
        <f>IF('Upto Month Current'!$D$55="",0,'Upto Month Current'!$D$55)</f>
        <v>0</v>
      </c>
      <c r="BF30" s="9">
        <f>IF('Upto Month Current'!$D$56="",0,'Upto Month Current'!$D$56)</f>
        <v>2796</v>
      </c>
      <c r="BG30" s="9">
        <f>IF('Upto Month Current'!$D$58="",0,'Upto Month Current'!$D$58)</f>
        <v>16</v>
      </c>
      <c r="BH30" s="9">
        <f>SUM(AE30:BG30)</f>
        <v>114968</v>
      </c>
      <c r="BI30" s="274">
        <f>AD30+BH30</f>
        <v>285548</v>
      </c>
      <c r="BJ30" s="9">
        <f>IF('Upto Month Current'!$D$60="",0,'Upto Month Current'!$D$60)</f>
        <v>0</v>
      </c>
      <c r="BK30" s="49">
        <f t="shared" si="219"/>
        <v>285548</v>
      </c>
      <c r="BL30">
        <f>'Upto Month Current'!$D$61</f>
        <v>285545</v>
      </c>
      <c r="BM30" s="30">
        <f t="shared" si="220"/>
        <v>114968</v>
      </c>
    </row>
    <row r="31" spans="1:65">
      <c r="A31" s="128"/>
      <c r="B31" s="5" t="s">
        <v>130</v>
      </c>
      <c r="C31" s="11">
        <f>C30-C28</f>
        <v>-10352</v>
      </c>
      <c r="D31" s="11">
        <f t="shared" ref="D31" si="221">D30-D28</f>
        <v>-3232</v>
      </c>
      <c r="E31" s="11">
        <f t="shared" ref="E31" si="222">E30-E28</f>
        <v>0</v>
      </c>
      <c r="F31" s="11">
        <f t="shared" ref="F31" si="223">F30-F28</f>
        <v>-3417</v>
      </c>
      <c r="G31" s="11">
        <f t="shared" ref="G31" si="224">G30-G28</f>
        <v>-33</v>
      </c>
      <c r="H31" s="11">
        <f t="shared" ref="H31" si="225">H30-H28</f>
        <v>0</v>
      </c>
      <c r="I31" s="11">
        <f t="shared" ref="I31" si="226">I30-I28</f>
        <v>0</v>
      </c>
      <c r="J31" s="11">
        <f t="shared" ref="J31" si="227">J30-J28</f>
        <v>41</v>
      </c>
      <c r="K31" s="11">
        <f t="shared" ref="K31" si="228">K30-K28</f>
        <v>-71</v>
      </c>
      <c r="L31" s="11">
        <f t="shared" ref="L31" si="229">L30-L28</f>
        <v>462</v>
      </c>
      <c r="M31" s="11">
        <f t="shared" ref="M31" si="230">M30-M28</f>
        <v>-341</v>
      </c>
      <c r="N31" s="11">
        <f t="shared" ref="N31" si="231">N30-N28</f>
        <v>-22</v>
      </c>
      <c r="O31" s="11">
        <f t="shared" ref="O31" si="232">O30-O28</f>
        <v>-95</v>
      </c>
      <c r="P31" s="11">
        <f t="shared" ref="P31" si="233">P30-P28</f>
        <v>-61</v>
      </c>
      <c r="Q31" s="11">
        <f t="shared" ref="Q31" si="234">Q30-Q28</f>
        <v>0</v>
      </c>
      <c r="R31" s="11">
        <f t="shared" ref="R31" si="235">R30-R28</f>
        <v>-41</v>
      </c>
      <c r="S31" s="11">
        <f t="shared" ref="S31" si="236">S30-S28</f>
        <v>0</v>
      </c>
      <c r="T31" s="11">
        <f t="shared" ref="T31:U31" si="237">T30-T28</f>
        <v>0</v>
      </c>
      <c r="U31" s="11">
        <f t="shared" si="237"/>
        <v>0</v>
      </c>
      <c r="V31" s="9">
        <f t="shared" ref="V31" si="238">V30-V28</f>
        <v>-160</v>
      </c>
      <c r="W31" s="11">
        <f t="shared" ref="W31" si="239">W30-W28</f>
        <v>0</v>
      </c>
      <c r="X31" s="11">
        <f t="shared" ref="X31" si="240">X30-X28</f>
        <v>0</v>
      </c>
      <c r="Y31" s="11">
        <f t="shared" ref="Y31" si="241">Y30-Y28</f>
        <v>71</v>
      </c>
      <c r="Z31" s="11">
        <f t="shared" ref="Z31" si="242">Z30-Z28</f>
        <v>-62</v>
      </c>
      <c r="AA31" s="11">
        <f t="shared" ref="AA31:AD31" si="243">AA30-AA28</f>
        <v>-7</v>
      </c>
      <c r="AB31" s="11">
        <f t="shared" ref="AB31" si="244">AB30-AB28</f>
        <v>0</v>
      </c>
      <c r="AC31" s="9">
        <f t="shared" si="243"/>
        <v>2311</v>
      </c>
      <c r="AD31" s="216">
        <f t="shared" si="243"/>
        <v>-15009</v>
      </c>
      <c r="AE31" s="11">
        <f t="shared" ref="AE31" si="245">AE30-AE28</f>
        <v>58</v>
      </c>
      <c r="AF31" s="11">
        <f t="shared" ref="AF31" si="246">AF30-AF28</f>
        <v>63</v>
      </c>
      <c r="AG31" s="11">
        <f t="shared" ref="AG31" si="247">AG30-AG28</f>
        <v>387</v>
      </c>
      <c r="AH31" s="11">
        <f t="shared" ref="AH31" si="248">AH30-AH28</f>
        <v>0</v>
      </c>
      <c r="AI31" s="11">
        <f t="shared" ref="AI31" si="249">AI30-AI28</f>
        <v>0</v>
      </c>
      <c r="AJ31" s="11">
        <f t="shared" ref="AJ31" si="250">AJ30-AJ28</f>
        <v>-5</v>
      </c>
      <c r="AK31" s="11">
        <f t="shared" ref="AK31" si="251">AK30-AK28</f>
        <v>-25190</v>
      </c>
      <c r="AL31" s="11">
        <f t="shared" ref="AL31" si="252">AL30-AL28</f>
        <v>6024</v>
      </c>
      <c r="AM31" s="11">
        <f t="shared" ref="AM31" si="253">AM30-AM28</f>
        <v>0</v>
      </c>
      <c r="AN31" s="11">
        <f t="shared" ref="AN31" si="254">AN30-AN28</f>
        <v>50</v>
      </c>
      <c r="AO31" s="9">
        <f t="shared" ref="AO31" si="255">AO30-AO28</f>
        <v>-3468</v>
      </c>
      <c r="AP31" s="11">
        <f t="shared" ref="AP31" si="256">AP30-AP28</f>
        <v>2240</v>
      </c>
      <c r="AQ31" s="9">
        <f t="shared" ref="AQ31" si="257">AQ30-AQ28</f>
        <v>0</v>
      </c>
      <c r="AR31" s="11">
        <f t="shared" ref="AR31" si="258">AR30-AR28</f>
        <v>0</v>
      </c>
      <c r="AS31" s="11">
        <f t="shared" ref="AS31" si="259">AS30-AS28</f>
        <v>0</v>
      </c>
      <c r="AT31" s="11">
        <f t="shared" ref="AT31" si="260">AT30-AT28</f>
        <v>0</v>
      </c>
      <c r="AU31" s="11">
        <f t="shared" ref="AU31" si="261">AU30-AU28</f>
        <v>0</v>
      </c>
      <c r="AV31" s="11">
        <f t="shared" ref="AV31" si="262">AV30-AV28</f>
        <v>0</v>
      </c>
      <c r="AW31" s="11">
        <f t="shared" ref="AW31" si="263">AW30-AW28</f>
        <v>0</v>
      </c>
      <c r="AX31" s="11">
        <f t="shared" ref="AX31" si="264">AX30-AX28</f>
        <v>-5</v>
      </c>
      <c r="AY31" s="11">
        <f t="shared" ref="AY31" si="265">AY30-AY28</f>
        <v>0</v>
      </c>
      <c r="AZ31" s="11">
        <f t="shared" ref="AZ31" si="266">AZ30-AZ28</f>
        <v>0</v>
      </c>
      <c r="BA31" s="11">
        <f t="shared" ref="BA31" si="267">BA30-BA28</f>
        <v>0</v>
      </c>
      <c r="BB31" s="9">
        <f t="shared" ref="BB31" si="268">BB30-BB28</f>
        <v>4151</v>
      </c>
      <c r="BC31" s="11">
        <f t="shared" ref="BC31" si="269">BC30-BC28</f>
        <v>-565</v>
      </c>
      <c r="BD31" s="11">
        <f t="shared" ref="BD31" si="270">BD30-BD28</f>
        <v>-565</v>
      </c>
      <c r="BE31" s="11">
        <f t="shared" ref="BE31" si="271">BE30-BE28</f>
        <v>0</v>
      </c>
      <c r="BF31" s="11">
        <f t="shared" ref="BF31" si="272">BF30-BF28</f>
        <v>1581</v>
      </c>
      <c r="BG31" s="11">
        <f t="shared" ref="BG31:BH31" si="273">BG30-BG28</f>
        <v>-47</v>
      </c>
      <c r="BH31" s="9">
        <f t="shared" si="273"/>
        <v>-15291</v>
      </c>
      <c r="BI31" s="9">
        <f t="shared" ref="BI31" si="274">BI30-BI28</f>
        <v>-30300</v>
      </c>
      <c r="BJ31" s="11">
        <f t="shared" ref="BJ31:BK31" si="275">BJ30-BJ28</f>
        <v>-1467</v>
      </c>
      <c r="BK31" s="49">
        <f t="shared" si="275"/>
        <v>-28833</v>
      </c>
      <c r="BM31" s="30">
        <f t="shared" si="220"/>
        <v>-13824</v>
      </c>
    </row>
    <row r="32" spans="1:65">
      <c r="A32" s="128"/>
      <c r="B32" s="5" t="s">
        <v>131</v>
      </c>
      <c r="C32" s="13">
        <f>C31/C28</f>
        <v>-0.11345279193380459</v>
      </c>
      <c r="D32" s="13">
        <f t="shared" ref="D32" si="276">D31/D28</f>
        <v>-6.1087170182203068E-2</v>
      </c>
      <c r="E32" s="13" t="e">
        <f t="shared" ref="E32" si="277">E31/E28</f>
        <v>#DIV/0!</v>
      </c>
      <c r="F32" s="13">
        <f t="shared" ref="F32" si="278">F31/F28</f>
        <v>-0.25414652287095574</v>
      </c>
      <c r="G32" s="13">
        <f t="shared" ref="G32" si="279">G31/G28</f>
        <v>-3.6116887380978437E-3</v>
      </c>
      <c r="H32" s="13" t="e">
        <f t="shared" ref="H32" si="280">H31/H28</f>
        <v>#DIV/0!</v>
      </c>
      <c r="I32" s="13" t="e">
        <f t="shared" ref="I32" si="281">I31/I28</f>
        <v>#DIV/0!</v>
      </c>
      <c r="J32" s="13" t="e">
        <f t="shared" ref="J32" si="282">J31/J28</f>
        <v>#DIV/0!</v>
      </c>
      <c r="K32" s="13">
        <f t="shared" ref="K32" si="283">K31/K28</f>
        <v>-0.24315068493150685</v>
      </c>
      <c r="L32" s="13">
        <f t="shared" ref="L32" si="284">L31/L28</f>
        <v>0.4391634980988593</v>
      </c>
      <c r="M32" s="13">
        <f t="shared" ref="M32" si="285">M31/M28</f>
        <v>-0.28947368421052633</v>
      </c>
      <c r="N32" s="13">
        <f t="shared" ref="N32" si="286">N31/N28</f>
        <v>-1</v>
      </c>
      <c r="O32" s="13">
        <f t="shared" ref="O32" si="287">O31/O28</f>
        <v>-0.27065527065527067</v>
      </c>
      <c r="P32" s="13">
        <f t="shared" ref="P32" si="288">P31/P28</f>
        <v>-5.6377079482439925E-2</v>
      </c>
      <c r="Q32" s="13" t="e">
        <f t="shared" ref="Q32" si="289">Q31/Q28</f>
        <v>#DIV/0!</v>
      </c>
      <c r="R32" s="13">
        <f t="shared" ref="R32" si="290">R31/R28</f>
        <v>-0.15018315018315018</v>
      </c>
      <c r="S32" s="13" t="e">
        <f t="shared" ref="S32" si="291">S31/S28</f>
        <v>#DIV/0!</v>
      </c>
      <c r="T32" s="13" t="e">
        <f t="shared" ref="T32:U32" si="292">T31/T28</f>
        <v>#DIV/0!</v>
      </c>
      <c r="U32" s="13" t="e">
        <f t="shared" si="292"/>
        <v>#DIV/0!</v>
      </c>
      <c r="V32" s="160">
        <f t="shared" ref="V32" si="293">V31/V28</f>
        <v>-1</v>
      </c>
      <c r="W32" s="13" t="e">
        <f t="shared" ref="W32" si="294">W31/W28</f>
        <v>#DIV/0!</v>
      </c>
      <c r="X32" s="13" t="e">
        <f t="shared" ref="X32" si="295">X31/X28</f>
        <v>#DIV/0!</v>
      </c>
      <c r="Y32" s="13">
        <f t="shared" ref="Y32" si="296">Y31/Y28</f>
        <v>0.51449275362318836</v>
      </c>
      <c r="Z32" s="13">
        <f t="shared" ref="Z32" si="297">Z31/Z28</f>
        <v>-0.42465753424657532</v>
      </c>
      <c r="AA32" s="13">
        <f t="shared" ref="AA32:AD32" si="298">AA31/AA28</f>
        <v>-0.20588235294117646</v>
      </c>
      <c r="AB32" s="13" t="e">
        <f t="shared" ref="AB32" si="299">AB31/AB28</f>
        <v>#DIV/0!</v>
      </c>
      <c r="AC32" s="160">
        <f t="shared" si="298"/>
        <v>0.16359903723630184</v>
      </c>
      <c r="AD32" s="217">
        <f t="shared" si="298"/>
        <v>-8.087224997171169E-2</v>
      </c>
      <c r="AE32" s="13">
        <f t="shared" ref="AE32" si="300">AE31/AE28</f>
        <v>0.48739495798319327</v>
      </c>
      <c r="AF32" s="13">
        <f t="shared" ref="AF32" si="301">AF31/AF28</f>
        <v>0.67741935483870963</v>
      </c>
      <c r="AG32" s="13" t="e">
        <f t="shared" ref="AG32" si="302">AG31/AG28</f>
        <v>#DIV/0!</v>
      </c>
      <c r="AH32" s="13" t="e">
        <f t="shared" ref="AH32" si="303">AH31/AH28</f>
        <v>#DIV/0!</v>
      </c>
      <c r="AI32" s="13" t="e">
        <f t="shared" ref="AI32" si="304">AI31/AI28</f>
        <v>#DIV/0!</v>
      </c>
      <c r="AJ32" s="13">
        <f t="shared" ref="AJ32" si="305">AJ31/AJ28</f>
        <v>-0.20833333333333334</v>
      </c>
      <c r="AK32" s="13">
        <f t="shared" ref="AK32" si="306">AK31/AK28</f>
        <v>-0.2815531810256181</v>
      </c>
      <c r="AL32" s="13">
        <f t="shared" ref="AL32" si="307">AL31/AL28</f>
        <v>0.6074417666633054</v>
      </c>
      <c r="AM32" s="13" t="e">
        <f t="shared" ref="AM32" si="308">AM31/AM28</f>
        <v>#DIV/0!</v>
      </c>
      <c r="AN32" s="13" t="e">
        <f t="shared" ref="AN32" si="309">AN31/AN28</f>
        <v>#DIV/0!</v>
      </c>
      <c r="AO32" s="160">
        <f t="shared" ref="AO32" si="310">AO31/AO28</f>
        <v>-0.25072296124927707</v>
      </c>
      <c r="AP32" s="13">
        <f t="shared" ref="AP32" si="311">AP31/AP28</f>
        <v>-0.88502568154879491</v>
      </c>
      <c r="AQ32" s="160" t="e">
        <f t="shared" ref="AQ32" si="312">AQ31/AQ28</f>
        <v>#DIV/0!</v>
      </c>
      <c r="AR32" s="13" t="e">
        <f t="shared" ref="AR32" si="313">AR31/AR28</f>
        <v>#DIV/0!</v>
      </c>
      <c r="AS32" s="13" t="e">
        <f t="shared" ref="AS32" si="314">AS31/AS28</f>
        <v>#DIV/0!</v>
      </c>
      <c r="AT32" s="13" t="e">
        <f t="shared" ref="AT32" si="315">AT31/AT28</f>
        <v>#DIV/0!</v>
      </c>
      <c r="AU32" s="13" t="e">
        <f t="shared" ref="AU32" si="316">AU31/AU28</f>
        <v>#DIV/0!</v>
      </c>
      <c r="AV32" s="13" t="e">
        <f t="shared" ref="AV32" si="317">AV31/AV28</f>
        <v>#DIV/0!</v>
      </c>
      <c r="AW32" s="13" t="e">
        <f t="shared" ref="AW32" si="318">AW31/AW28</f>
        <v>#DIV/0!</v>
      </c>
      <c r="AX32" s="13">
        <f t="shared" ref="AX32" si="319">AX31/AX28</f>
        <v>-8.9285714285714288E-2</v>
      </c>
      <c r="AY32" s="13" t="e">
        <f t="shared" ref="AY32" si="320">AY31/AY28</f>
        <v>#DIV/0!</v>
      </c>
      <c r="AZ32" s="13" t="e">
        <f t="shared" ref="AZ32" si="321">AZ31/AZ28</f>
        <v>#DIV/0!</v>
      </c>
      <c r="BA32" s="13" t="e">
        <f t="shared" ref="BA32" si="322">BA31/BA28</f>
        <v>#DIV/0!</v>
      </c>
      <c r="BB32" s="160">
        <f t="shared" ref="BB32" si="323">BB31/BB28</f>
        <v>0.25809861344276563</v>
      </c>
      <c r="BC32" s="13">
        <f t="shared" ref="BC32" si="324">BC31/BC28</f>
        <v>-0.58854166666666663</v>
      </c>
      <c r="BD32" s="13">
        <f t="shared" ref="BD32" si="325">BD31/BD28</f>
        <v>-0.58854166666666663</v>
      </c>
      <c r="BE32" s="13" t="e">
        <f t="shared" ref="BE32" si="326">BE31/BE28</f>
        <v>#DIV/0!</v>
      </c>
      <c r="BF32" s="13">
        <f t="shared" ref="BF32" si="327">BF31/BF28</f>
        <v>1.3012345679012345</v>
      </c>
      <c r="BG32" s="13">
        <f t="shared" ref="BG32:BH32" si="328">BG31/BG28</f>
        <v>-0.74603174603174605</v>
      </c>
      <c r="BH32" s="160">
        <f t="shared" si="328"/>
        <v>-0.1173892015139069</v>
      </c>
      <c r="BI32" s="160">
        <f t="shared" ref="BI32" si="329">BI31/BI28</f>
        <v>-9.5932220561789211E-2</v>
      </c>
      <c r="BJ32" s="13">
        <f t="shared" ref="BJ32:BK32" si="330">BJ31/BJ28</f>
        <v>-1</v>
      </c>
      <c r="BK32" s="50">
        <f t="shared" si="330"/>
        <v>-9.1713557753172109E-2</v>
      </c>
      <c r="BM32" s="160" t="e">
        <f t="shared" ref="BM32" si="331">BM31/BM28</f>
        <v>#DIV/0!</v>
      </c>
    </row>
    <row r="33" spans="1:65">
      <c r="A33" s="128"/>
      <c r="B33" s="5" t="s">
        <v>132</v>
      </c>
      <c r="C33" s="11">
        <f>C30-C29</f>
        <v>2684</v>
      </c>
      <c r="D33" s="11">
        <f t="shared" ref="D33:BK33" si="332">D30-D29</f>
        <v>7771</v>
      </c>
      <c r="E33" s="11">
        <f t="shared" si="332"/>
        <v>-21</v>
      </c>
      <c r="F33" s="11">
        <f t="shared" si="332"/>
        <v>337</v>
      </c>
      <c r="G33" s="11">
        <f t="shared" si="332"/>
        <v>1258</v>
      </c>
      <c r="H33" s="11">
        <f t="shared" si="332"/>
        <v>0</v>
      </c>
      <c r="I33" s="11">
        <f t="shared" si="332"/>
        <v>0</v>
      </c>
      <c r="J33" s="11">
        <f t="shared" si="332"/>
        <v>41</v>
      </c>
      <c r="K33" s="11">
        <f t="shared" si="332"/>
        <v>41</v>
      </c>
      <c r="L33" s="11">
        <f t="shared" si="332"/>
        <v>-389</v>
      </c>
      <c r="M33" s="11">
        <f t="shared" si="332"/>
        <v>98</v>
      </c>
      <c r="N33" s="11">
        <f t="shared" si="332"/>
        <v>-7</v>
      </c>
      <c r="O33" s="11">
        <f t="shared" si="332"/>
        <v>65</v>
      </c>
      <c r="P33" s="11">
        <f t="shared" si="332"/>
        <v>-1212</v>
      </c>
      <c r="Q33" s="11">
        <f t="shared" si="332"/>
        <v>0</v>
      </c>
      <c r="R33" s="11">
        <f t="shared" si="332"/>
        <v>-380</v>
      </c>
      <c r="S33" s="11">
        <f t="shared" si="332"/>
        <v>0</v>
      </c>
      <c r="T33" s="11">
        <f t="shared" si="332"/>
        <v>0</v>
      </c>
      <c r="U33" s="11">
        <f t="shared" ref="U33" si="333">U30-U29</f>
        <v>0</v>
      </c>
      <c r="V33" s="9">
        <f t="shared" si="332"/>
        <v>0</v>
      </c>
      <c r="W33" s="11">
        <f t="shared" si="332"/>
        <v>0</v>
      </c>
      <c r="X33" s="11">
        <f t="shared" si="332"/>
        <v>0</v>
      </c>
      <c r="Y33" s="11">
        <f t="shared" si="332"/>
        <v>209</v>
      </c>
      <c r="Z33" s="11">
        <f t="shared" si="332"/>
        <v>84</v>
      </c>
      <c r="AA33" s="11">
        <f t="shared" si="332"/>
        <v>-16</v>
      </c>
      <c r="AB33" s="11">
        <f t="shared" ref="AB33" si="334">AB30-AB29</f>
        <v>0</v>
      </c>
      <c r="AC33" s="9">
        <f t="shared" ref="AC33:AD33" si="335">AC30-AC29</f>
        <v>15326</v>
      </c>
      <c r="AD33" s="216">
        <f t="shared" si="335"/>
        <v>25889</v>
      </c>
      <c r="AE33" s="11">
        <f t="shared" si="332"/>
        <v>83</v>
      </c>
      <c r="AF33" s="11">
        <f t="shared" si="332"/>
        <v>32</v>
      </c>
      <c r="AG33" s="11">
        <f t="shared" si="332"/>
        <v>292</v>
      </c>
      <c r="AH33" s="11">
        <f t="shared" si="332"/>
        <v>0</v>
      </c>
      <c r="AI33" s="11">
        <f t="shared" si="332"/>
        <v>0</v>
      </c>
      <c r="AJ33" s="11">
        <f t="shared" si="332"/>
        <v>-94</v>
      </c>
      <c r="AK33" s="11">
        <f t="shared" si="332"/>
        <v>28244</v>
      </c>
      <c r="AL33" s="11">
        <f t="shared" si="332"/>
        <v>1594</v>
      </c>
      <c r="AM33" s="11">
        <f t="shared" si="332"/>
        <v>0</v>
      </c>
      <c r="AN33" s="11">
        <f t="shared" si="332"/>
        <v>20</v>
      </c>
      <c r="AO33" s="9">
        <f t="shared" si="332"/>
        <v>7749</v>
      </c>
      <c r="AP33" s="11">
        <f t="shared" si="332"/>
        <v>22300</v>
      </c>
      <c r="AQ33" s="9">
        <f t="shared" si="332"/>
        <v>0</v>
      </c>
      <c r="AR33" s="11">
        <f t="shared" si="332"/>
        <v>0</v>
      </c>
      <c r="AS33" s="11">
        <f t="shared" si="332"/>
        <v>0</v>
      </c>
      <c r="AT33" s="11">
        <f t="shared" si="332"/>
        <v>0</v>
      </c>
      <c r="AU33" s="11">
        <f t="shared" si="332"/>
        <v>0</v>
      </c>
      <c r="AV33" s="11">
        <f t="shared" si="332"/>
        <v>0</v>
      </c>
      <c r="AW33" s="11">
        <f t="shared" si="332"/>
        <v>0</v>
      </c>
      <c r="AX33" s="11">
        <f t="shared" si="332"/>
        <v>-64</v>
      </c>
      <c r="AY33" s="11">
        <f t="shared" si="332"/>
        <v>0</v>
      </c>
      <c r="AZ33" s="11">
        <f t="shared" si="332"/>
        <v>0</v>
      </c>
      <c r="BA33" s="11">
        <f t="shared" si="332"/>
        <v>0</v>
      </c>
      <c r="BB33" s="9">
        <f t="shared" si="332"/>
        <v>9246</v>
      </c>
      <c r="BC33" s="11">
        <f t="shared" si="332"/>
        <v>-550</v>
      </c>
      <c r="BD33" s="11">
        <f t="shared" si="332"/>
        <v>-550</v>
      </c>
      <c r="BE33" s="11">
        <f t="shared" si="332"/>
        <v>0</v>
      </c>
      <c r="BF33" s="11">
        <f t="shared" si="332"/>
        <v>2007</v>
      </c>
      <c r="BG33" s="11">
        <f t="shared" si="332"/>
        <v>-16</v>
      </c>
      <c r="BH33" s="9">
        <f t="shared" si="332"/>
        <v>70293</v>
      </c>
      <c r="BI33" s="9">
        <f t="shared" si="332"/>
        <v>96182</v>
      </c>
      <c r="BJ33" s="11">
        <f t="shared" si="332"/>
        <v>0</v>
      </c>
      <c r="BK33" s="49">
        <f t="shared" si="332"/>
        <v>96182</v>
      </c>
      <c r="BM33" s="30">
        <f t="shared" si="220"/>
        <v>70293</v>
      </c>
    </row>
    <row r="34" spans="1:65">
      <c r="A34" s="128"/>
      <c r="B34" s="5" t="s">
        <v>133</v>
      </c>
      <c r="C34" s="13">
        <f>C33/C29</f>
        <v>3.431830096280479E-2</v>
      </c>
      <c r="D34" s="13">
        <f t="shared" ref="D34" si="336">D33/D29</f>
        <v>0.1854432645269061</v>
      </c>
      <c r="E34" s="13">
        <f t="shared" ref="E34" si="337">E33/E29</f>
        <v>-1</v>
      </c>
      <c r="F34" s="13">
        <f t="shared" ref="F34" si="338">F33/F29</f>
        <v>3.4774533071922402E-2</v>
      </c>
      <c r="G34" s="13">
        <f t="shared" ref="G34" si="339">G33/G29</f>
        <v>0.16033647718582716</v>
      </c>
      <c r="H34" s="13" t="e">
        <f t="shared" ref="H34" si="340">H33/H29</f>
        <v>#DIV/0!</v>
      </c>
      <c r="I34" s="13" t="e">
        <f t="shared" ref="I34" si="341">I33/I29</f>
        <v>#DIV/0!</v>
      </c>
      <c r="J34" s="13" t="e">
        <f t="shared" ref="J34" si="342">J33/J29</f>
        <v>#DIV/0!</v>
      </c>
      <c r="K34" s="13">
        <f t="shared" ref="K34" si="343">K33/K29</f>
        <v>0.22777777777777777</v>
      </c>
      <c r="L34" s="13">
        <f t="shared" ref="L34" si="344">L33/L29</f>
        <v>-0.20441408302679978</v>
      </c>
      <c r="M34" s="13">
        <f t="shared" ref="M34" si="345">M33/M29</f>
        <v>0.13261163734776726</v>
      </c>
      <c r="N34" s="13">
        <f t="shared" ref="N34" si="346">N33/N29</f>
        <v>-1</v>
      </c>
      <c r="O34" s="13">
        <f t="shared" ref="O34" si="347">O33/O29</f>
        <v>0.34031413612565448</v>
      </c>
      <c r="P34" s="13">
        <f t="shared" ref="P34" si="348">P33/P29</f>
        <v>-0.54276757725033586</v>
      </c>
      <c r="Q34" s="13" t="e">
        <f t="shared" ref="Q34" si="349">Q33/Q29</f>
        <v>#DIV/0!</v>
      </c>
      <c r="R34" s="13">
        <f t="shared" ref="R34" si="350">R33/R29</f>
        <v>-0.62091503267973858</v>
      </c>
      <c r="S34" s="13" t="e">
        <f t="shared" ref="S34" si="351">S33/S29</f>
        <v>#DIV/0!</v>
      </c>
      <c r="T34" s="13" t="e">
        <f t="shared" ref="T34:U34" si="352">T33/T29</f>
        <v>#DIV/0!</v>
      </c>
      <c r="U34" s="13" t="e">
        <f t="shared" si="352"/>
        <v>#DIV/0!</v>
      </c>
      <c r="V34" s="160" t="e">
        <f t="shared" ref="V34" si="353">V33/V29</f>
        <v>#DIV/0!</v>
      </c>
      <c r="W34" s="13" t="e">
        <f t="shared" ref="W34" si="354">W33/W29</f>
        <v>#DIV/0!</v>
      </c>
      <c r="X34" s="13" t="e">
        <f t="shared" ref="X34" si="355">X33/X29</f>
        <v>#DIV/0!</v>
      </c>
      <c r="Y34" s="13" t="e">
        <f t="shared" ref="Y34" si="356">Y33/Y29</f>
        <v>#DIV/0!</v>
      </c>
      <c r="Z34" s="13" t="e">
        <f t="shared" ref="Z34" si="357">Z33/Z29</f>
        <v>#DIV/0!</v>
      </c>
      <c r="AA34" s="13">
        <f t="shared" ref="AA34:AD34" si="358">AA33/AA29</f>
        <v>-0.37209302325581395</v>
      </c>
      <c r="AB34" s="13" t="e">
        <f t="shared" ref="AB34" si="359">AB33/AB29</f>
        <v>#DIV/0!</v>
      </c>
      <c r="AC34" s="160">
        <f t="shared" si="358"/>
        <v>13.794779477947795</v>
      </c>
      <c r="AD34" s="217">
        <f t="shared" si="358"/>
        <v>0.1789261253291497</v>
      </c>
      <c r="AE34" s="13">
        <f t="shared" ref="AE34" si="360">AE33/AE29</f>
        <v>0.88297872340425532</v>
      </c>
      <c r="AF34" s="13">
        <f t="shared" ref="AF34" si="361">AF33/AF29</f>
        <v>0.25806451612903225</v>
      </c>
      <c r="AG34" s="13">
        <f t="shared" ref="AG34" si="362">AG33/AG29</f>
        <v>3.0736842105263156</v>
      </c>
      <c r="AH34" s="13" t="e">
        <f t="shared" ref="AH34" si="363">AH33/AH29</f>
        <v>#DIV/0!</v>
      </c>
      <c r="AI34" s="13" t="e">
        <f t="shared" ref="AI34" si="364">AI33/AI29</f>
        <v>#DIV/0!</v>
      </c>
      <c r="AJ34" s="13">
        <f t="shared" ref="AJ34" si="365">AJ33/AJ29</f>
        <v>-0.83185840707964598</v>
      </c>
      <c r="AK34" s="13">
        <f t="shared" ref="AK34" si="366">AK33/AK29</f>
        <v>0.78381528556363433</v>
      </c>
      <c r="AL34" s="13">
        <f t="shared" ref="AL34" si="367">AL33/AL29</f>
        <v>0.11110336655746846</v>
      </c>
      <c r="AM34" s="13" t="e">
        <f t="shared" ref="AM34" si="368">AM33/AM29</f>
        <v>#DIV/0!</v>
      </c>
      <c r="AN34" s="13">
        <f t="shared" ref="AN34" si="369">AN33/AN29</f>
        <v>0.66666666666666663</v>
      </c>
      <c r="AO34" s="160">
        <f t="shared" ref="AO34" si="370">AO33/AO29</f>
        <v>2.9632887189292543</v>
      </c>
      <c r="AP34" s="13">
        <f t="shared" ref="AP34" si="371">AP33/AP29</f>
        <v>-0.9871187641096012</v>
      </c>
      <c r="AQ34" s="160" t="e">
        <f t="shared" ref="AQ34" si="372">AQ33/AQ29</f>
        <v>#DIV/0!</v>
      </c>
      <c r="AR34" s="13" t="e">
        <f t="shared" ref="AR34" si="373">AR33/AR29</f>
        <v>#DIV/0!</v>
      </c>
      <c r="AS34" s="13" t="e">
        <f t="shared" ref="AS34" si="374">AS33/AS29</f>
        <v>#DIV/0!</v>
      </c>
      <c r="AT34" s="13" t="e">
        <f t="shared" ref="AT34" si="375">AT33/AT29</f>
        <v>#DIV/0!</v>
      </c>
      <c r="AU34" s="13" t="e">
        <f t="shared" ref="AU34" si="376">AU33/AU29</f>
        <v>#DIV/0!</v>
      </c>
      <c r="AV34" s="13" t="e">
        <f t="shared" ref="AV34" si="377">AV33/AV29</f>
        <v>#DIV/0!</v>
      </c>
      <c r="AW34" s="13" t="e">
        <f t="shared" ref="AW34" si="378">AW33/AW29</f>
        <v>#DIV/0!</v>
      </c>
      <c r="AX34" s="13">
        <f t="shared" ref="AX34" si="379">AX33/AX29</f>
        <v>-0.55652173913043479</v>
      </c>
      <c r="AY34" s="13" t="e">
        <f t="shared" ref="AY34" si="380">AY33/AY29</f>
        <v>#DIV/0!</v>
      </c>
      <c r="AZ34" s="13" t="e">
        <f t="shared" ref="AZ34" si="381">AZ33/AZ29</f>
        <v>#DIV/0!</v>
      </c>
      <c r="BA34" s="13" t="e">
        <f t="shared" ref="BA34" si="382">BA33/BA29</f>
        <v>#DIV/0!</v>
      </c>
      <c r="BB34" s="160">
        <f t="shared" ref="BB34" si="383">BB33/BB29</f>
        <v>0.84146341463414631</v>
      </c>
      <c r="BC34" s="13">
        <f t="shared" ref="BC34" si="384">BC33/BC29</f>
        <v>-0.58201058201058198</v>
      </c>
      <c r="BD34" s="13">
        <f t="shared" ref="BD34" si="385">BD33/BD29</f>
        <v>-0.58201058201058198</v>
      </c>
      <c r="BE34" s="13" t="e">
        <f t="shared" ref="BE34" si="386">BE33/BE29</f>
        <v>#DIV/0!</v>
      </c>
      <c r="BF34" s="13">
        <f t="shared" ref="BF34" si="387">BF33/BF29</f>
        <v>2.543726235741445</v>
      </c>
      <c r="BG34" s="13">
        <f t="shared" ref="BG34:BH34" si="388">BG33/BG29</f>
        <v>-0.5</v>
      </c>
      <c r="BH34" s="160">
        <f t="shared" si="388"/>
        <v>1.5734303301622832</v>
      </c>
      <c r="BI34" s="160">
        <f t="shared" ref="BI34" si="389">BI33/BI29</f>
        <v>0.50791588775176111</v>
      </c>
      <c r="BJ34" s="13" t="e">
        <f t="shared" ref="BJ34:BK34" si="390">BJ33/BJ29</f>
        <v>#DIV/0!</v>
      </c>
      <c r="BK34" s="50">
        <f t="shared" si="390"/>
        <v>0.50791588775176111</v>
      </c>
      <c r="BM34" s="14">
        <f t="shared" ref="BM34" si="391">BM33/BM29</f>
        <v>1.5734303301622832</v>
      </c>
    </row>
    <row r="35" spans="1:65">
      <c r="A35" s="128"/>
      <c r="B35" s="5" t="s">
        <v>431</v>
      </c>
      <c r="C35" s="126">
        <f>C30/C27</f>
        <v>0.16844391415072141</v>
      </c>
      <c r="D35" s="126">
        <f t="shared" ref="D35:BK35" si="392">D30/D27</f>
        <v>0.17839417945716113</v>
      </c>
      <c r="E35" s="126" t="e">
        <f t="shared" si="392"/>
        <v>#DIV/0!</v>
      </c>
      <c r="F35" s="126">
        <f t="shared" si="392"/>
        <v>0.14171047425244473</v>
      </c>
      <c r="G35" s="126">
        <f t="shared" si="392"/>
        <v>0.18931170721563734</v>
      </c>
      <c r="H35" s="126" t="e">
        <f t="shared" si="392"/>
        <v>#DIV/0!</v>
      </c>
      <c r="I35" s="126" t="e">
        <f t="shared" si="392"/>
        <v>#DIV/0!</v>
      </c>
      <c r="J35" s="126" t="e">
        <f t="shared" si="392"/>
        <v>#DIV/0!</v>
      </c>
      <c r="K35" s="126">
        <f t="shared" si="392"/>
        <v>0.14388020833333334</v>
      </c>
      <c r="L35" s="126">
        <f t="shared" si="392"/>
        <v>0.27348265895953755</v>
      </c>
      <c r="M35" s="126">
        <f t="shared" si="392"/>
        <v>0.13495646565623992</v>
      </c>
      <c r="N35" s="126">
        <f t="shared" si="392"/>
        <v>0</v>
      </c>
      <c r="O35" s="126">
        <f t="shared" si="392"/>
        <v>0.13852813852813853</v>
      </c>
      <c r="P35" s="126">
        <f t="shared" si="392"/>
        <v>0.17924859550561797</v>
      </c>
      <c r="Q35" s="126" t="e">
        <f t="shared" si="392"/>
        <v>#DIV/0!</v>
      </c>
      <c r="R35" s="126">
        <f t="shared" si="392"/>
        <v>0.16144745998608212</v>
      </c>
      <c r="S35" s="126" t="e">
        <f t="shared" si="392"/>
        <v>#DIV/0!</v>
      </c>
      <c r="T35" s="126" t="e">
        <f t="shared" si="392"/>
        <v>#DIV/0!</v>
      </c>
      <c r="U35" s="126" t="e">
        <f t="shared" si="392"/>
        <v>#DIV/0!</v>
      </c>
      <c r="V35" s="175">
        <f t="shared" si="392"/>
        <v>0</v>
      </c>
      <c r="W35" s="126" t="e">
        <f t="shared" si="392"/>
        <v>#DIV/0!</v>
      </c>
      <c r="X35" s="126" t="e">
        <f t="shared" si="392"/>
        <v>#DIV/0!</v>
      </c>
      <c r="Y35" s="126">
        <f t="shared" si="392"/>
        <v>0.28867403314917128</v>
      </c>
      <c r="Z35" s="126">
        <f t="shared" si="392"/>
        <v>0.10951760104302477</v>
      </c>
      <c r="AA35" s="126">
        <f t="shared" si="392"/>
        <v>0.15254237288135594</v>
      </c>
      <c r="AB35" s="126" t="e">
        <f t="shared" ref="AB35" si="393">AB30/AB27</f>
        <v>#DIV/0!</v>
      </c>
      <c r="AC35" s="175">
        <f t="shared" si="392"/>
        <v>0.2210878863691389</v>
      </c>
      <c r="AD35" s="218">
        <f t="shared" si="392"/>
        <v>0.17463502528716804</v>
      </c>
      <c r="AE35" s="126">
        <f t="shared" si="392"/>
        <v>0.3575757575757576</v>
      </c>
      <c r="AF35" s="126">
        <f t="shared" si="392"/>
        <v>0.40102827763496146</v>
      </c>
      <c r="AG35" s="126" t="e">
        <f t="shared" si="392"/>
        <v>#DIV/0!</v>
      </c>
      <c r="AH35" s="126" t="e">
        <f t="shared" si="392"/>
        <v>#DIV/0!</v>
      </c>
      <c r="AI35" s="126" t="e">
        <f t="shared" si="392"/>
        <v>#DIV/0!</v>
      </c>
      <c r="AJ35" s="126">
        <f t="shared" si="392"/>
        <v>0.19</v>
      </c>
      <c r="AK35" s="126">
        <f t="shared" si="392"/>
        <v>0.1724269281943431</v>
      </c>
      <c r="AL35" s="126">
        <f t="shared" si="392"/>
        <v>0.38579380445304939</v>
      </c>
      <c r="AM35" s="126" t="e">
        <f t="shared" si="392"/>
        <v>#DIV/0!</v>
      </c>
      <c r="AN35" s="126" t="e">
        <f t="shared" si="392"/>
        <v>#DIV/0!</v>
      </c>
      <c r="AO35" s="175">
        <f t="shared" si="392"/>
        <v>0.17982440920290108</v>
      </c>
      <c r="AP35" s="126">
        <f t="shared" si="392"/>
        <v>2.759601706970128E-2</v>
      </c>
      <c r="AQ35" s="175" t="e">
        <f t="shared" si="392"/>
        <v>#DIV/0!</v>
      </c>
      <c r="AR35" s="126" t="e">
        <f t="shared" si="392"/>
        <v>#DIV/0!</v>
      </c>
      <c r="AS35" s="126" t="e">
        <f t="shared" si="392"/>
        <v>#DIV/0!</v>
      </c>
      <c r="AT35" s="126" t="e">
        <f t="shared" si="392"/>
        <v>#DIV/0!</v>
      </c>
      <c r="AU35" s="126" t="e">
        <f t="shared" si="392"/>
        <v>#DIV/0!</v>
      </c>
      <c r="AV35" s="126" t="e">
        <f t="shared" si="392"/>
        <v>#DIV/0!</v>
      </c>
      <c r="AW35" s="126">
        <f t="shared" si="392"/>
        <v>0</v>
      </c>
      <c r="AX35" s="126">
        <f t="shared" si="392"/>
        <v>0.21982758620689655</v>
      </c>
      <c r="AY35" s="126" t="e">
        <f t="shared" si="392"/>
        <v>#DIV/0!</v>
      </c>
      <c r="AZ35" s="126" t="e">
        <f t="shared" si="392"/>
        <v>#DIV/0!</v>
      </c>
      <c r="BA35" s="126" t="e">
        <f t="shared" si="392"/>
        <v>#DIV/0!</v>
      </c>
      <c r="BB35" s="175">
        <f t="shared" si="392"/>
        <v>0.30194592013370741</v>
      </c>
      <c r="BC35" s="126">
        <f t="shared" si="392"/>
        <v>9.8700649675162413E-2</v>
      </c>
      <c r="BD35" s="126">
        <f t="shared" si="392"/>
        <v>9.8700649675162413E-2</v>
      </c>
      <c r="BE35" s="126" t="e">
        <f t="shared" si="392"/>
        <v>#DIV/0!</v>
      </c>
      <c r="BF35" s="126">
        <f t="shared" si="392"/>
        <v>0.55213270142180093</v>
      </c>
      <c r="BG35" s="126">
        <f t="shared" si="392"/>
        <v>6.0836501901140684E-2</v>
      </c>
      <c r="BH35" s="175">
        <f t="shared" si="392"/>
        <v>0.21168299841285623</v>
      </c>
      <c r="BI35" s="175">
        <f t="shared" si="392"/>
        <v>0.18787362802932309</v>
      </c>
      <c r="BJ35" s="126">
        <f t="shared" si="392"/>
        <v>0</v>
      </c>
      <c r="BK35" s="126">
        <f t="shared" si="392"/>
        <v>0.18863243007570452</v>
      </c>
      <c r="BM35" s="126" t="e">
        <f t="shared" ref="BM35" si="394">BM30/BM27</f>
        <v>#DIV/0!</v>
      </c>
    </row>
    <row r="36" spans="1:65" s="178" customFormat="1">
      <c r="A36" s="128"/>
      <c r="B36" s="5" t="s">
        <v>432</v>
      </c>
      <c r="C36" s="11">
        <f>C27-C30</f>
        <v>399344</v>
      </c>
      <c r="D36" s="11">
        <f t="shared" ref="D36:BK36" si="395">D27-D30</f>
        <v>228786</v>
      </c>
      <c r="E36" s="11">
        <f t="shared" si="395"/>
        <v>0</v>
      </c>
      <c r="F36" s="11">
        <f t="shared" si="395"/>
        <v>60736</v>
      </c>
      <c r="G36" s="11">
        <f t="shared" si="395"/>
        <v>38986</v>
      </c>
      <c r="H36" s="11">
        <f t="shared" si="395"/>
        <v>0</v>
      </c>
      <c r="I36" s="11">
        <f t="shared" si="395"/>
        <v>0</v>
      </c>
      <c r="J36" s="11">
        <f t="shared" si="395"/>
        <v>-41</v>
      </c>
      <c r="K36" s="11">
        <f t="shared" si="395"/>
        <v>1315</v>
      </c>
      <c r="L36" s="11">
        <f t="shared" si="395"/>
        <v>4022</v>
      </c>
      <c r="M36" s="11">
        <f t="shared" si="395"/>
        <v>5365</v>
      </c>
      <c r="N36" s="11">
        <f t="shared" si="395"/>
        <v>116</v>
      </c>
      <c r="O36" s="11">
        <f t="shared" si="395"/>
        <v>1592</v>
      </c>
      <c r="P36" s="11">
        <f t="shared" si="395"/>
        <v>4675</v>
      </c>
      <c r="Q36" s="11">
        <f t="shared" si="395"/>
        <v>0</v>
      </c>
      <c r="R36" s="11">
        <f t="shared" si="395"/>
        <v>1205</v>
      </c>
      <c r="S36" s="11">
        <f t="shared" si="395"/>
        <v>0</v>
      </c>
      <c r="T36" s="11">
        <f t="shared" si="395"/>
        <v>0</v>
      </c>
      <c r="U36" s="11">
        <f t="shared" si="395"/>
        <v>0</v>
      </c>
      <c r="V36" s="11">
        <f t="shared" si="395"/>
        <v>842</v>
      </c>
      <c r="W36" s="11">
        <f t="shared" si="395"/>
        <v>0</v>
      </c>
      <c r="X36" s="11">
        <f t="shared" si="395"/>
        <v>0</v>
      </c>
      <c r="Y36" s="11">
        <f t="shared" si="395"/>
        <v>515</v>
      </c>
      <c r="Z36" s="11">
        <f t="shared" si="395"/>
        <v>683</v>
      </c>
      <c r="AA36" s="11">
        <f t="shared" si="395"/>
        <v>150</v>
      </c>
      <c r="AB36" s="11">
        <f t="shared" si="395"/>
        <v>0</v>
      </c>
      <c r="AC36" s="11">
        <f t="shared" si="395"/>
        <v>57909</v>
      </c>
      <c r="AD36" s="11">
        <f t="shared" si="395"/>
        <v>806200</v>
      </c>
      <c r="AE36" s="11">
        <f t="shared" si="395"/>
        <v>318</v>
      </c>
      <c r="AF36" s="11">
        <f t="shared" si="395"/>
        <v>233</v>
      </c>
      <c r="AG36" s="11">
        <f t="shared" si="395"/>
        <v>-387</v>
      </c>
      <c r="AH36" s="11">
        <f t="shared" si="395"/>
        <v>0</v>
      </c>
      <c r="AI36" s="11">
        <f t="shared" si="395"/>
        <v>0</v>
      </c>
      <c r="AJ36" s="11">
        <f t="shared" si="395"/>
        <v>81</v>
      </c>
      <c r="AK36" s="11">
        <f t="shared" si="395"/>
        <v>308506</v>
      </c>
      <c r="AL36" s="11">
        <f t="shared" si="395"/>
        <v>25379</v>
      </c>
      <c r="AM36" s="11">
        <f t="shared" si="395"/>
        <v>0</v>
      </c>
      <c r="AN36" s="11">
        <f t="shared" si="395"/>
        <v>-50</v>
      </c>
      <c r="AO36" s="11">
        <f t="shared" si="395"/>
        <v>47270</v>
      </c>
      <c r="AP36" s="11">
        <f t="shared" si="395"/>
        <v>-10254</v>
      </c>
      <c r="AQ36" s="11">
        <f t="shared" si="395"/>
        <v>0</v>
      </c>
      <c r="AR36" s="11">
        <f t="shared" si="395"/>
        <v>0</v>
      </c>
      <c r="AS36" s="11">
        <f t="shared" si="395"/>
        <v>0</v>
      </c>
      <c r="AT36" s="11">
        <f t="shared" si="395"/>
        <v>0</v>
      </c>
      <c r="AU36" s="11">
        <f t="shared" si="395"/>
        <v>0</v>
      </c>
      <c r="AV36" s="11">
        <f t="shared" si="395"/>
        <v>0</v>
      </c>
      <c r="AW36" s="11">
        <f t="shared" si="395"/>
        <v>362</v>
      </c>
      <c r="AX36" s="11">
        <f t="shared" si="395"/>
        <v>181</v>
      </c>
      <c r="AY36" s="11">
        <f t="shared" si="395"/>
        <v>0</v>
      </c>
      <c r="AZ36" s="11">
        <f t="shared" si="395"/>
        <v>0</v>
      </c>
      <c r="BA36" s="11">
        <f t="shared" si="395"/>
        <v>0</v>
      </c>
      <c r="BB36" s="11">
        <f t="shared" si="395"/>
        <v>46778</v>
      </c>
      <c r="BC36" s="11">
        <f t="shared" si="395"/>
        <v>3607</v>
      </c>
      <c r="BD36" s="11">
        <f t="shared" si="395"/>
        <v>3607</v>
      </c>
      <c r="BE36" s="11">
        <f t="shared" si="395"/>
        <v>0</v>
      </c>
      <c r="BF36" s="11">
        <f t="shared" si="395"/>
        <v>2268</v>
      </c>
      <c r="BG36" s="11">
        <f t="shared" si="395"/>
        <v>247</v>
      </c>
      <c r="BH36" s="11">
        <f t="shared" si="395"/>
        <v>428146</v>
      </c>
      <c r="BI36" s="11">
        <f t="shared" si="395"/>
        <v>1234346</v>
      </c>
      <c r="BJ36" s="11">
        <f t="shared" si="395"/>
        <v>6114</v>
      </c>
      <c r="BK36" s="11">
        <f t="shared" si="395"/>
        <v>1228232</v>
      </c>
      <c r="BL36" s="11">
        <f t="shared" ref="BL36:BM36" si="396">BL30-BL27</f>
        <v>285545</v>
      </c>
      <c r="BM36" s="11">
        <f t="shared" si="396"/>
        <v>114968</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9"/>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9"/>
      <c r="BJ37" s="5"/>
      <c r="BK37" s="48"/>
    </row>
    <row r="38" spans="1:65" s="265" customFormat="1">
      <c r="A38" s="15" t="s">
        <v>136</v>
      </c>
      <c r="B38" s="11" t="s">
        <v>430</v>
      </c>
      <c r="C38" s="266">
        <v>801523</v>
      </c>
      <c r="D38" s="120">
        <v>464844</v>
      </c>
      <c r="E38" s="120">
        <v>0</v>
      </c>
      <c r="F38" s="120">
        <v>122292</v>
      </c>
      <c r="G38" s="120">
        <v>65872</v>
      </c>
      <c r="H38" s="120">
        <v>0</v>
      </c>
      <c r="I38" s="120">
        <v>0</v>
      </c>
      <c r="J38" s="120">
        <v>0</v>
      </c>
      <c r="K38" s="120">
        <v>1494</v>
      </c>
      <c r="L38" s="120">
        <v>27653</v>
      </c>
      <c r="M38" s="120">
        <v>16795</v>
      </c>
      <c r="N38" s="120">
        <v>407</v>
      </c>
      <c r="O38" s="120">
        <v>2579</v>
      </c>
      <c r="P38" s="120">
        <v>21449</v>
      </c>
      <c r="Q38" s="120">
        <v>0</v>
      </c>
      <c r="R38" s="120">
        <v>2525</v>
      </c>
      <c r="S38" s="120">
        <v>0</v>
      </c>
      <c r="T38" s="120">
        <v>0</v>
      </c>
      <c r="U38" s="120">
        <v>0</v>
      </c>
      <c r="V38" s="267">
        <v>360184</v>
      </c>
      <c r="W38" s="120">
        <v>344</v>
      </c>
      <c r="X38" s="120">
        <v>0</v>
      </c>
      <c r="Y38" s="120">
        <v>1666</v>
      </c>
      <c r="Z38" s="120">
        <v>515</v>
      </c>
      <c r="AA38" s="120">
        <v>305</v>
      </c>
      <c r="AB38" s="120">
        <v>1607</v>
      </c>
      <c r="AC38" s="267">
        <v>836496</v>
      </c>
      <c r="AD38" s="121">
        <f t="shared" ref="AD38" si="397">SUM(C38:AC38)</f>
        <v>2728550</v>
      </c>
      <c r="AE38" s="120">
        <v>358</v>
      </c>
      <c r="AF38" s="120">
        <v>101</v>
      </c>
      <c r="AG38" s="120">
        <v>7</v>
      </c>
      <c r="AH38" s="120">
        <v>0</v>
      </c>
      <c r="AI38" s="120">
        <v>0</v>
      </c>
      <c r="AJ38" s="120">
        <v>0</v>
      </c>
      <c r="AK38" s="120">
        <v>195372</v>
      </c>
      <c r="AL38" s="120">
        <v>28143</v>
      </c>
      <c r="AM38" s="267">
        <v>240</v>
      </c>
      <c r="AN38" s="120">
        <v>0</v>
      </c>
      <c r="AO38" s="267">
        <v>59175</v>
      </c>
      <c r="AP38" s="120">
        <v>-237567</v>
      </c>
      <c r="AQ38" s="267">
        <v>377815</v>
      </c>
      <c r="AR38" s="120">
        <v>0</v>
      </c>
      <c r="AS38" s="120">
        <v>0</v>
      </c>
      <c r="AT38" s="120">
        <v>0</v>
      </c>
      <c r="AU38" s="120">
        <v>0</v>
      </c>
      <c r="AV38" s="120">
        <v>0</v>
      </c>
      <c r="AW38" s="120">
        <v>0</v>
      </c>
      <c r="AX38" s="120">
        <v>0</v>
      </c>
      <c r="AY38" s="120">
        <v>0</v>
      </c>
      <c r="AZ38" s="120">
        <v>0</v>
      </c>
      <c r="BA38" s="120">
        <v>0</v>
      </c>
      <c r="BB38" s="267">
        <v>778514</v>
      </c>
      <c r="BC38" s="120">
        <v>1463</v>
      </c>
      <c r="BD38" s="120">
        <v>1497</v>
      </c>
      <c r="BE38" s="120">
        <v>0</v>
      </c>
      <c r="BF38" s="120">
        <v>11963</v>
      </c>
      <c r="BG38" s="120">
        <v>257</v>
      </c>
      <c r="BH38" s="120">
        <f t="shared" ref="BH38" si="398">SUM(AE38:BG38)</f>
        <v>1217338</v>
      </c>
      <c r="BI38" s="125">
        <f t="shared" ref="BI38" si="399">AD38+BH38</f>
        <v>3945888</v>
      </c>
      <c r="BJ38" s="275">
        <v>61463</v>
      </c>
      <c r="BK38" s="124">
        <f t="shared" ref="BK38" si="400">BI38-BJ38</f>
        <v>3884425</v>
      </c>
    </row>
    <row r="39" spans="1:65" s="41" customFormat="1">
      <c r="A39" s="134" t="s">
        <v>136</v>
      </c>
      <c r="B39" s="210" t="s">
        <v>424</v>
      </c>
      <c r="C39" s="266">
        <v>152289</v>
      </c>
      <c r="D39" s="120">
        <v>88320</v>
      </c>
      <c r="E39" s="120">
        <v>0</v>
      </c>
      <c r="F39" s="120">
        <v>23235</v>
      </c>
      <c r="G39" s="120">
        <v>12516</v>
      </c>
      <c r="H39" s="120">
        <v>0</v>
      </c>
      <c r="I39" s="120">
        <v>0</v>
      </c>
      <c r="J39" s="120">
        <v>0</v>
      </c>
      <c r="K39" s="120">
        <v>284</v>
      </c>
      <c r="L39" s="120">
        <v>5254</v>
      </c>
      <c r="M39" s="120">
        <v>3191</v>
      </c>
      <c r="N39" s="120">
        <v>77</v>
      </c>
      <c r="O39" s="120">
        <v>490</v>
      </c>
      <c r="P39" s="120">
        <v>4075</v>
      </c>
      <c r="Q39" s="120">
        <v>0</v>
      </c>
      <c r="R39" s="120">
        <v>480</v>
      </c>
      <c r="S39" s="120">
        <v>0</v>
      </c>
      <c r="T39" s="120">
        <v>0</v>
      </c>
      <c r="U39" s="120">
        <v>0</v>
      </c>
      <c r="V39" s="267">
        <v>68435</v>
      </c>
      <c r="W39" s="120">
        <v>65</v>
      </c>
      <c r="X39" s="120">
        <v>0</v>
      </c>
      <c r="Y39" s="120">
        <v>317</v>
      </c>
      <c r="Z39" s="120">
        <v>98</v>
      </c>
      <c r="AA39" s="120">
        <v>58</v>
      </c>
      <c r="AB39" s="120">
        <v>305</v>
      </c>
      <c r="AC39" s="267">
        <v>158934</v>
      </c>
      <c r="AD39" s="121">
        <f t="shared" ref="AD39" si="401">SUM(C39:AC39)</f>
        <v>518423</v>
      </c>
      <c r="AE39" s="120">
        <v>86</v>
      </c>
      <c r="AF39" s="120">
        <v>24</v>
      </c>
      <c r="AG39" s="120">
        <v>2</v>
      </c>
      <c r="AH39" s="120">
        <v>0</v>
      </c>
      <c r="AI39" s="120">
        <v>0</v>
      </c>
      <c r="AJ39" s="120">
        <v>0</v>
      </c>
      <c r="AK39" s="120">
        <v>46889</v>
      </c>
      <c r="AL39" s="120">
        <v>6754</v>
      </c>
      <c r="AM39" s="267">
        <v>58</v>
      </c>
      <c r="AN39" s="120">
        <v>0</v>
      </c>
      <c r="AO39" s="267">
        <v>14202</v>
      </c>
      <c r="AP39" s="120">
        <v>-57016</v>
      </c>
      <c r="AQ39" s="267">
        <v>90676</v>
      </c>
      <c r="AR39" s="120">
        <v>0</v>
      </c>
      <c r="AS39" s="120">
        <v>0</v>
      </c>
      <c r="AT39" s="120">
        <v>0</v>
      </c>
      <c r="AU39" s="120">
        <v>0</v>
      </c>
      <c r="AV39" s="120">
        <v>0</v>
      </c>
      <c r="AW39" s="120">
        <v>0</v>
      </c>
      <c r="AX39" s="120">
        <v>0</v>
      </c>
      <c r="AY39" s="120">
        <v>0</v>
      </c>
      <c r="AZ39" s="120">
        <v>0</v>
      </c>
      <c r="BA39" s="120">
        <v>0</v>
      </c>
      <c r="BB39" s="267">
        <v>186843</v>
      </c>
      <c r="BC39" s="120">
        <v>351</v>
      </c>
      <c r="BD39" s="120">
        <v>359</v>
      </c>
      <c r="BE39" s="120">
        <v>0</v>
      </c>
      <c r="BF39" s="120">
        <v>2871</v>
      </c>
      <c r="BG39" s="120">
        <v>62</v>
      </c>
      <c r="BH39" s="120">
        <f t="shared" ref="BH39" si="402">SUM(AE39:BG39)</f>
        <v>292161</v>
      </c>
      <c r="BI39" s="125">
        <f t="shared" ref="BI39" si="403">AD39+BH39</f>
        <v>810584</v>
      </c>
      <c r="BJ39" s="275">
        <v>14749</v>
      </c>
      <c r="BK39" s="124">
        <f t="shared" ref="BK39" si="404">BI39-BJ39</f>
        <v>795835</v>
      </c>
      <c r="BM39" s="211"/>
    </row>
    <row r="40" spans="1:65">
      <c r="A40" s="128"/>
      <c r="B40" s="12" t="s">
        <v>425</v>
      </c>
      <c r="C40" s="9">
        <f>IF('Upto Month COPPY'!$E$4="",0,'Upto Month COPPY'!$E$4)</f>
        <v>157695</v>
      </c>
      <c r="D40" s="9">
        <f>IF('Upto Month COPPY'!$E$5="",0,'Upto Month COPPY'!$E$5)</f>
        <v>80951</v>
      </c>
      <c r="E40" s="9">
        <f>IF('Upto Month COPPY'!$E$6="",0,'Upto Month COPPY'!$E$6)</f>
        <v>16</v>
      </c>
      <c r="F40" s="9">
        <f>IF('Upto Month COPPY'!$E$7="",0,'Upto Month COPPY'!$E$7)</f>
        <v>21124</v>
      </c>
      <c r="G40" s="9">
        <f>IF('Upto Month COPPY'!$E$8="",0,'Upto Month COPPY'!$E$8)</f>
        <v>12482</v>
      </c>
      <c r="H40" s="9">
        <f>IF('Upto Month COPPY'!$E$9="",0,'Upto Month COPPY'!$E$9)</f>
        <v>0</v>
      </c>
      <c r="I40" s="9">
        <f>IF('Upto Month COPPY'!$E$10="",0,'Upto Month COPPY'!$E$10)</f>
        <v>0</v>
      </c>
      <c r="J40" s="9">
        <f>IF('Upto Month COPPY'!$E$11="",0,'Upto Month COPPY'!$E$11)</f>
        <v>0</v>
      </c>
      <c r="K40" s="9">
        <f>IF('Upto Month COPPY'!$E$12="",0,'Upto Month COPPY'!$E$12)</f>
        <v>126</v>
      </c>
      <c r="L40" s="9">
        <f>IF('Upto Month COPPY'!$E$13="",0,'Upto Month COPPY'!$E$13)</f>
        <v>10614</v>
      </c>
      <c r="M40" s="9">
        <f>IF('Upto Month COPPY'!$E$14="",0,'Upto Month COPPY'!$E$14)</f>
        <v>2839</v>
      </c>
      <c r="N40" s="9">
        <f>IF('Upto Month COPPY'!$E$15="",0,'Upto Month COPPY'!$E$15)</f>
        <v>64</v>
      </c>
      <c r="O40" s="9">
        <f>IF('Upto Month COPPY'!$E$16="",0,'Upto Month COPPY'!$E$16)</f>
        <v>520</v>
      </c>
      <c r="P40" s="9">
        <f>IF('Upto Month COPPY'!$E$17="",0,'Upto Month COPPY'!$E$17)</f>
        <v>9215</v>
      </c>
      <c r="Q40" s="9">
        <f>IF('Upto Month COPPY'!$E$18="",0,'Upto Month COPPY'!$E$18)</f>
        <v>0</v>
      </c>
      <c r="R40" s="9">
        <f>IF('Upto Month COPPY'!$E$21="",0,'Upto Month COPPY'!$E$21)</f>
        <v>872</v>
      </c>
      <c r="S40" s="9">
        <f>IF('Upto Month COPPY'!$E$26="",0,'Upto Month COPPY'!$E$26)</f>
        <v>0</v>
      </c>
      <c r="T40" s="9">
        <f>IF('Upto Month COPPY'!$E$27="",0,'Upto Month COPPY'!$E$27)</f>
        <v>0</v>
      </c>
      <c r="U40" s="9">
        <f>IF('Upto Month COPPY'!$E$30="",0,'Upto Month COPPY'!$E$30)</f>
        <v>0</v>
      </c>
      <c r="V40" s="9">
        <f>IF('Upto Month COPPY'!$E$35="",0,'Upto Month COPPY'!$E$35)</f>
        <v>10499</v>
      </c>
      <c r="W40" s="9">
        <f>IF('Upto Month COPPY'!$E$39="",0,'Upto Month COPPY'!$E$39)</f>
        <v>232</v>
      </c>
      <c r="X40" s="9">
        <f>IF('Upto Month COPPY'!$E$40="",0,'Upto Month COPPY'!$E$40)</f>
        <v>0</v>
      </c>
      <c r="Y40" s="9">
        <f>IF('Upto Month COPPY'!$E$42="",0,'Upto Month COPPY'!$E$42)</f>
        <v>405</v>
      </c>
      <c r="Z40" s="9">
        <f>IF('Upto Month COPPY'!$E$43="",0,'Upto Month COPPY'!$E$43)</f>
        <v>116</v>
      </c>
      <c r="AA40" s="9">
        <f>IF('Upto Month COPPY'!$E$44="",0,'Upto Month COPPY'!$E$44)</f>
        <v>84</v>
      </c>
      <c r="AB40" s="9">
        <f>IF('Upto Month COPPY'!$E$48="",0,'Upto Month COPPY'!$E$48)</f>
        <v>0</v>
      </c>
      <c r="AC40" s="9">
        <f>IF('Upto Month COPPY'!$E$51="",0,'Upto Month COPPY'!$E$51)</f>
        <v>126252</v>
      </c>
      <c r="AD40" s="221">
        <f t="shared" ref="AD40:AD41" si="405">SUM(C40:AC40)</f>
        <v>434106</v>
      </c>
      <c r="AE40" s="9">
        <f>IF('Upto Month COPPY'!$E$19="",0,'Upto Month COPPY'!$E$19)</f>
        <v>140</v>
      </c>
      <c r="AF40" s="9">
        <f>IF('Upto Month COPPY'!$E$20="",0,'Upto Month COPPY'!$E$20)</f>
        <v>22</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11755</v>
      </c>
      <c r="AL40" s="9">
        <f>IF('Upto Month COPPY'!$E$29="",0,'Upto Month COPPY'!$E$29)</f>
        <v>5400</v>
      </c>
      <c r="AM40" s="9">
        <f>IF('Upto Month COPPY'!$E$31="",0,'Upto Month COPPY'!$E$31)</f>
        <v>0</v>
      </c>
      <c r="AN40" s="9">
        <f>IF('Upto Month COPPY'!$E$32="",0,'Upto Month COPPY'!$E$32)</f>
        <v>0</v>
      </c>
      <c r="AO40" s="9">
        <f>IF('Upto Month COPPY'!$E$33="",0,'Upto Month COPPY'!$E$33)</f>
        <v>16232</v>
      </c>
      <c r="AP40" s="9">
        <f>IF('Upto Month COPPY'!$E$34="",0,'Upto Month COPPY'!$E$34)</f>
        <v>13474</v>
      </c>
      <c r="AQ40" s="9">
        <f>IF('Upto Month COPPY'!$E$36="",0,'Upto Month COPPY'!$E$36)</f>
        <v>39575</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136958</v>
      </c>
      <c r="BC40" s="9">
        <f>IF('Upto Month COPPY'!$E$53="",0,'Upto Month COPPY'!$E$53)</f>
        <v>243</v>
      </c>
      <c r="BD40" s="9">
        <f>IF('Upto Month COPPY'!$E$54="",0,'Upto Month COPPY'!$E$54)</f>
        <v>243</v>
      </c>
      <c r="BE40" s="9">
        <f>IF('Upto Month COPPY'!$E$55="",0,'Upto Month COPPY'!$E$55)</f>
        <v>0</v>
      </c>
      <c r="BF40" s="9">
        <f>IF('Upto Month COPPY'!$E$56="",0,'Upto Month COPPY'!$E$56)</f>
        <v>2859</v>
      </c>
      <c r="BG40" s="10">
        <f>IF('Upto Month COPPY'!$E$58="",0,'Upto Month COPPY'!$E$58)</f>
        <v>101</v>
      </c>
      <c r="BH40" s="9">
        <f>SUM(AE40:BG40)</f>
        <v>227002</v>
      </c>
      <c r="BI40" s="274">
        <f>AD40+BH40</f>
        <v>661108</v>
      </c>
      <c r="BJ40" s="9">
        <f>IF('Upto Month COPPY'!$E$60="",0,'Upto Month COPPY'!$E$60)</f>
        <v>4729</v>
      </c>
      <c r="BK40" s="9">
        <f t="shared" ref="BK40:BK41" si="406">BI40-BJ40</f>
        <v>656379</v>
      </c>
      <c r="BL40">
        <f>'Upto Month COPPY'!$E$61</f>
        <v>656378</v>
      </c>
      <c r="BM40" s="30">
        <f t="shared" ref="BM40:BM44" si="407">BK40-AD40</f>
        <v>222273</v>
      </c>
    </row>
    <row r="41" spans="1:65">
      <c r="A41" s="128"/>
      <c r="B41" s="180" t="s">
        <v>426</v>
      </c>
      <c r="C41" s="9">
        <f>IF('Upto Month Current'!$E$4="",0,'Upto Month Current'!$E$4)</f>
        <v>164370</v>
      </c>
      <c r="D41" s="9">
        <f>IF('Upto Month Current'!$E$5="",0,'Upto Month Current'!$E$5)</f>
        <v>97245</v>
      </c>
      <c r="E41" s="9">
        <f>IF('Upto Month Current'!$E$6="",0,'Upto Month Current'!$E$6)</f>
        <v>58</v>
      </c>
      <c r="F41" s="9">
        <f>IF('Upto Month Current'!$E$7="",0,'Upto Month Current'!$E$7)</f>
        <v>22483</v>
      </c>
      <c r="G41" s="9">
        <f>IF('Upto Month Current'!$E$8="",0,'Upto Month Current'!$E$8)</f>
        <v>13658</v>
      </c>
      <c r="H41" s="9">
        <f>IF('Upto Month Current'!$E$9="",0,'Upto Month Current'!$E$9)</f>
        <v>0</v>
      </c>
      <c r="I41" s="9">
        <f>IF('Upto Month Current'!$E$10="",0,'Upto Month Current'!$E$10)</f>
        <v>0</v>
      </c>
      <c r="J41" s="9">
        <f>IF('Upto Month Current'!$E$11="",0,'Upto Month Current'!$E$11)</f>
        <v>0</v>
      </c>
      <c r="K41" s="9">
        <f>IF('Upto Month Current'!$E$12="",0,'Upto Month Current'!$E$12)</f>
        <v>475</v>
      </c>
      <c r="L41" s="9">
        <f>IF('Upto Month Current'!$E$13="",0,'Upto Month Current'!$E$13)</f>
        <v>6481</v>
      </c>
      <c r="M41" s="9">
        <f>IF('Upto Month Current'!$E$14="",0,'Upto Month Current'!$E$14)</f>
        <v>2823</v>
      </c>
      <c r="N41" s="9">
        <f>IF('Upto Month Current'!$E$15="",0,'Upto Month Current'!$E$15)</f>
        <v>104</v>
      </c>
      <c r="O41" s="9">
        <f>IF('Upto Month Current'!$E$16="",0,'Upto Month Current'!$E$16)</f>
        <v>234</v>
      </c>
      <c r="P41" s="9">
        <f>IF('Upto Month Current'!$E$17="",0,'Upto Month Current'!$E$17)</f>
        <v>4301</v>
      </c>
      <c r="Q41" s="9">
        <f>IF('Upto Month Current'!$E$18="",0,'Upto Month Current'!$E$18)</f>
        <v>0</v>
      </c>
      <c r="R41" s="9">
        <f>IF('Upto Month Current'!$E$21="",0,'Upto Month Current'!$E$21)</f>
        <v>728</v>
      </c>
      <c r="S41" s="9">
        <f>IF('Upto Month Current'!$E$26="",0,'Upto Month Current'!$E$26)</f>
        <v>0</v>
      </c>
      <c r="T41" s="9">
        <f>IF('Upto Month Current'!$E$27="",0,'Upto Month Current'!$E$27)</f>
        <v>0</v>
      </c>
      <c r="U41" s="9">
        <f>IF('Upto Month Current'!$E$30="",0,'Upto Month Current'!$E$30)</f>
        <v>0</v>
      </c>
      <c r="V41" s="9">
        <f>IF('Upto Month Current'!$E$35="",0,'Upto Month Current'!$E$35)</f>
        <v>21973</v>
      </c>
      <c r="W41" s="9">
        <f>IF('Upto Month Current'!$E$39="",0,'Upto Month Current'!$E$39)</f>
        <v>0</v>
      </c>
      <c r="X41" s="9">
        <f>IF('Upto Month Current'!$E$40="",0,'Upto Month Current'!$E$40)</f>
        <v>0</v>
      </c>
      <c r="Y41" s="9">
        <f>IF('Upto Month Current'!$E$42="",0,'Upto Month Current'!$E$42)</f>
        <v>1195</v>
      </c>
      <c r="Z41" s="9">
        <f>IF('Upto Month Current'!$E$43="",0,'Upto Month Current'!$E$43)</f>
        <v>527</v>
      </c>
      <c r="AA41" s="9">
        <f>IF('Upto Month Current'!$E$44="",0,'Upto Month Current'!$E$44)</f>
        <v>133</v>
      </c>
      <c r="AB41" s="9">
        <f>IF('Upto Month Current'!$E$48="",0,'Upto Month Current'!$E$48)</f>
        <v>0</v>
      </c>
      <c r="AC41" s="9">
        <f>IF('Upto Month Current'!$E$51="",0,'Upto Month Current'!$E$51)</f>
        <v>131661</v>
      </c>
      <c r="AD41" s="221">
        <f t="shared" si="405"/>
        <v>468449</v>
      </c>
      <c r="AE41" s="9">
        <f>IF('Upto Month Current'!$E$19="",0,'Upto Month Current'!$E$19)</f>
        <v>68</v>
      </c>
      <c r="AF41" s="9">
        <f>IF('Upto Month Current'!$E$20="",0,'Upto Month Current'!$E$20)</f>
        <v>10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88335</v>
      </c>
      <c r="AL41" s="9">
        <f>IF('Upto Month Current'!$E$29="",0,'Upto Month Current'!$E$29)</f>
        <v>13892</v>
      </c>
      <c r="AM41" s="9">
        <f>IF('Upto Month Current'!$E$31="",0,'Upto Month Current'!$E$31)</f>
        <v>28</v>
      </c>
      <c r="AN41" s="9">
        <f>IF('Upto Month Current'!$E$32="",0,'Upto Month Current'!$E$32)</f>
        <v>0</v>
      </c>
      <c r="AO41" s="9">
        <f>IF('Upto Month Current'!$E$33="",0,'Upto Month Current'!$E$33)</f>
        <v>8543</v>
      </c>
      <c r="AP41" s="9">
        <f>IF('Upto Month Current'!$E$34="",0,'Upto Month Current'!$E$34)</f>
        <v>-129786</v>
      </c>
      <c r="AQ41" s="9">
        <f>IF('Upto Month Current'!$E$36="",0,'Upto Month Current'!$E$36)</f>
        <v>36572</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149865</v>
      </c>
      <c r="BC41" s="9">
        <f>IF('Upto Month Current'!$E$53="",0,'Upto Month Current'!$E$53)</f>
        <v>414</v>
      </c>
      <c r="BD41" s="9">
        <f>IF('Upto Month Current'!$E$54="",0,'Upto Month Current'!$E$54)</f>
        <v>414</v>
      </c>
      <c r="BE41" s="9">
        <f>IF('Upto Month Current'!$E$55="",0,'Upto Month Current'!$E$55)</f>
        <v>0</v>
      </c>
      <c r="BF41" s="9">
        <f>IF('Upto Month Current'!$E$56="",0,'Upto Month Current'!$E$56)</f>
        <v>2680</v>
      </c>
      <c r="BG41" s="9">
        <f>IF('Upto Month Current'!$E$58="",0,'Upto Month Current'!$E$58)</f>
        <v>0</v>
      </c>
      <c r="BH41" s="9">
        <f>SUM(AE41:BG41)</f>
        <v>171035</v>
      </c>
      <c r="BI41" s="274">
        <f>AD41+BH41</f>
        <v>639484</v>
      </c>
      <c r="BJ41" s="9">
        <f>IF('Upto Month Current'!$E$60="",0,'Upto Month Current'!$E$60)</f>
        <v>4316</v>
      </c>
      <c r="BK41" s="49">
        <f t="shared" si="406"/>
        <v>635168</v>
      </c>
      <c r="BL41">
        <f>'Upto Month Current'!$E$61</f>
        <v>635169</v>
      </c>
      <c r="BM41" s="30">
        <f t="shared" si="407"/>
        <v>166719</v>
      </c>
    </row>
    <row r="42" spans="1:65">
      <c r="A42" s="128"/>
      <c r="B42" s="5" t="s">
        <v>130</v>
      </c>
      <c r="C42" s="11">
        <f>C41-C39</f>
        <v>12081</v>
      </c>
      <c r="D42" s="11">
        <f t="shared" ref="D42" si="408">D41-D39</f>
        <v>8925</v>
      </c>
      <c r="E42" s="11">
        <f t="shared" ref="E42" si="409">E41-E39</f>
        <v>58</v>
      </c>
      <c r="F42" s="11">
        <f t="shared" ref="F42" si="410">F41-F39</f>
        <v>-752</v>
      </c>
      <c r="G42" s="11">
        <f t="shared" ref="G42" si="411">G41-G39</f>
        <v>1142</v>
      </c>
      <c r="H42" s="11">
        <f t="shared" ref="H42" si="412">H41-H39</f>
        <v>0</v>
      </c>
      <c r="I42" s="11">
        <f t="shared" ref="I42" si="413">I41-I39</f>
        <v>0</v>
      </c>
      <c r="J42" s="11">
        <f t="shared" ref="J42" si="414">J41-J39</f>
        <v>0</v>
      </c>
      <c r="K42" s="11">
        <f t="shared" ref="K42" si="415">K41-K39</f>
        <v>191</v>
      </c>
      <c r="L42" s="11">
        <f t="shared" ref="L42" si="416">L41-L39</f>
        <v>1227</v>
      </c>
      <c r="M42" s="11">
        <f t="shared" ref="M42" si="417">M41-M39</f>
        <v>-368</v>
      </c>
      <c r="N42" s="11">
        <f t="shared" ref="N42" si="418">N41-N39</f>
        <v>27</v>
      </c>
      <c r="O42" s="11">
        <f t="shared" ref="O42" si="419">O41-O39</f>
        <v>-256</v>
      </c>
      <c r="P42" s="11">
        <f t="shared" ref="P42" si="420">P41-P39</f>
        <v>226</v>
      </c>
      <c r="Q42" s="11">
        <f t="shared" ref="Q42" si="421">Q41-Q39</f>
        <v>0</v>
      </c>
      <c r="R42" s="11">
        <f t="shared" ref="R42" si="422">R41-R39</f>
        <v>248</v>
      </c>
      <c r="S42" s="11">
        <f t="shared" ref="S42" si="423">S41-S39</f>
        <v>0</v>
      </c>
      <c r="T42" s="11">
        <f t="shared" ref="T42:U42" si="424">T41-T39</f>
        <v>0</v>
      </c>
      <c r="U42" s="11">
        <f t="shared" si="424"/>
        <v>0</v>
      </c>
      <c r="V42" s="9">
        <f t="shared" ref="V42" si="425">V41-V39</f>
        <v>-46462</v>
      </c>
      <c r="W42" s="11">
        <f t="shared" ref="W42" si="426">W41-W39</f>
        <v>-65</v>
      </c>
      <c r="X42" s="11">
        <f t="shared" ref="X42" si="427">X41-X39</f>
        <v>0</v>
      </c>
      <c r="Y42" s="11">
        <f t="shared" ref="Y42" si="428">Y41-Y39</f>
        <v>878</v>
      </c>
      <c r="Z42" s="11">
        <f t="shared" ref="Z42" si="429">Z41-Z39</f>
        <v>429</v>
      </c>
      <c r="AA42" s="11">
        <f t="shared" ref="AA42:AD42" si="430">AA41-AA39</f>
        <v>75</v>
      </c>
      <c r="AB42" s="11">
        <f t="shared" si="430"/>
        <v>-305</v>
      </c>
      <c r="AC42" s="9">
        <f t="shared" si="430"/>
        <v>-27273</v>
      </c>
      <c r="AD42" s="216">
        <f t="shared" si="430"/>
        <v>-49974</v>
      </c>
      <c r="AE42" s="11">
        <f t="shared" ref="AE42" si="431">AE41-AE39</f>
        <v>-18</v>
      </c>
      <c r="AF42" s="11">
        <f t="shared" ref="AF42" si="432">AF41-AF39</f>
        <v>-14</v>
      </c>
      <c r="AG42" s="11">
        <f t="shared" ref="AG42" si="433">AG41-AG39</f>
        <v>-2</v>
      </c>
      <c r="AH42" s="11">
        <f t="shared" ref="AH42" si="434">AH41-AH39</f>
        <v>0</v>
      </c>
      <c r="AI42" s="11">
        <f t="shared" ref="AI42" si="435">AI41-AI39</f>
        <v>0</v>
      </c>
      <c r="AJ42" s="11">
        <f t="shared" ref="AJ42" si="436">AJ41-AJ39</f>
        <v>0</v>
      </c>
      <c r="AK42" s="11">
        <f t="shared" ref="AK42" si="437">AK41-AK39</f>
        <v>41446</v>
      </c>
      <c r="AL42" s="11">
        <f t="shared" ref="AL42" si="438">AL41-AL39</f>
        <v>7138</v>
      </c>
      <c r="AM42" s="11">
        <f t="shared" ref="AM42" si="439">AM41-AM39</f>
        <v>-30</v>
      </c>
      <c r="AN42" s="11">
        <f t="shared" ref="AN42" si="440">AN41-AN39</f>
        <v>0</v>
      </c>
      <c r="AO42" s="9">
        <f t="shared" ref="AO42" si="441">AO41-AO39</f>
        <v>-5659</v>
      </c>
      <c r="AP42" s="11">
        <f t="shared" ref="AP42" si="442">AP41-AP39</f>
        <v>-72770</v>
      </c>
      <c r="AQ42" s="9">
        <f t="shared" ref="AQ42" si="443">AQ41-AQ39</f>
        <v>-54104</v>
      </c>
      <c r="AR42" s="11">
        <f t="shared" ref="AR42" si="444">AR41-AR39</f>
        <v>0</v>
      </c>
      <c r="AS42" s="11">
        <f t="shared" ref="AS42" si="445">AS41-AS39</f>
        <v>0</v>
      </c>
      <c r="AT42" s="11">
        <f t="shared" ref="AT42" si="446">AT41-AT39</f>
        <v>0</v>
      </c>
      <c r="AU42" s="11">
        <f t="shared" ref="AU42" si="447">AU41-AU39</f>
        <v>0</v>
      </c>
      <c r="AV42" s="11">
        <f t="shared" ref="AV42" si="448">AV41-AV39</f>
        <v>0</v>
      </c>
      <c r="AW42" s="11">
        <f t="shared" ref="AW42" si="449">AW41-AW39</f>
        <v>0</v>
      </c>
      <c r="AX42" s="11">
        <f t="shared" ref="AX42" si="450">AX41-AX39</f>
        <v>0</v>
      </c>
      <c r="AY42" s="11">
        <f t="shared" ref="AY42" si="451">AY41-AY39</f>
        <v>0</v>
      </c>
      <c r="AZ42" s="11">
        <f t="shared" ref="AZ42" si="452">AZ41-AZ39</f>
        <v>0</v>
      </c>
      <c r="BA42" s="11">
        <f t="shared" ref="BA42" si="453">BA41-BA39</f>
        <v>0</v>
      </c>
      <c r="BB42" s="9">
        <f t="shared" ref="BB42" si="454">BB41-BB39</f>
        <v>-36978</v>
      </c>
      <c r="BC42" s="11">
        <f t="shared" ref="BC42" si="455">BC41-BC39</f>
        <v>63</v>
      </c>
      <c r="BD42" s="11">
        <f t="shared" ref="BD42" si="456">BD41-BD39</f>
        <v>55</v>
      </c>
      <c r="BE42" s="11">
        <f t="shared" ref="BE42" si="457">BE41-BE39</f>
        <v>0</v>
      </c>
      <c r="BF42" s="11">
        <f t="shared" ref="BF42" si="458">BF41-BF39</f>
        <v>-191</v>
      </c>
      <c r="BG42" s="11">
        <f t="shared" ref="BG42:BH42" si="459">BG41-BG39</f>
        <v>-62</v>
      </c>
      <c r="BH42" s="9">
        <f t="shared" si="459"/>
        <v>-121126</v>
      </c>
      <c r="BI42" s="9">
        <f t="shared" ref="BI42" si="460">BI41-BI39</f>
        <v>-171100</v>
      </c>
      <c r="BJ42" s="11">
        <f t="shared" ref="BJ42:BK42" si="461">BJ41-BJ39</f>
        <v>-10433</v>
      </c>
      <c r="BK42" s="49">
        <f t="shared" si="461"/>
        <v>-160667</v>
      </c>
      <c r="BM42" s="30">
        <f t="shared" si="407"/>
        <v>-110693</v>
      </c>
    </row>
    <row r="43" spans="1:65">
      <c r="A43" s="128"/>
      <c r="B43" s="5" t="s">
        <v>131</v>
      </c>
      <c r="C43" s="13">
        <f>C42/C39</f>
        <v>7.9329432854638227E-2</v>
      </c>
      <c r="D43" s="13">
        <f t="shared" ref="D43" si="462">D42/D39</f>
        <v>0.10105298913043478</v>
      </c>
      <c r="E43" s="13" t="e">
        <f t="shared" ref="E43" si="463">E42/E39</f>
        <v>#DIV/0!</v>
      </c>
      <c r="F43" s="13">
        <f t="shared" ref="F43" si="464">F42/F39</f>
        <v>-3.236496664514741E-2</v>
      </c>
      <c r="G43" s="13">
        <f t="shared" ref="G43" si="465">G42/G39</f>
        <v>9.1243208692873126E-2</v>
      </c>
      <c r="H43" s="13" t="e">
        <f t="shared" ref="H43" si="466">H42/H39</f>
        <v>#DIV/0!</v>
      </c>
      <c r="I43" s="13" t="e">
        <f t="shared" ref="I43" si="467">I42/I39</f>
        <v>#DIV/0!</v>
      </c>
      <c r="J43" s="13" t="e">
        <f t="shared" ref="J43" si="468">J42/J39</f>
        <v>#DIV/0!</v>
      </c>
      <c r="K43" s="13">
        <f t="shared" ref="K43" si="469">K42/K39</f>
        <v>0.67253521126760563</v>
      </c>
      <c r="L43" s="13">
        <f t="shared" ref="L43" si="470">L42/L39</f>
        <v>0.23353635325466313</v>
      </c>
      <c r="M43" s="13">
        <f t="shared" ref="M43" si="471">M42/M39</f>
        <v>-0.11532434973362582</v>
      </c>
      <c r="N43" s="13">
        <f t="shared" ref="N43" si="472">N42/N39</f>
        <v>0.35064935064935066</v>
      </c>
      <c r="O43" s="13">
        <f t="shared" ref="O43" si="473">O42/O39</f>
        <v>-0.52244897959183678</v>
      </c>
      <c r="P43" s="13">
        <f t="shared" ref="P43" si="474">P42/P39</f>
        <v>5.5460122699386501E-2</v>
      </c>
      <c r="Q43" s="13" t="e">
        <f t="shared" ref="Q43" si="475">Q42/Q39</f>
        <v>#DIV/0!</v>
      </c>
      <c r="R43" s="13">
        <f t="shared" ref="R43" si="476">R42/R39</f>
        <v>0.51666666666666672</v>
      </c>
      <c r="S43" s="13" t="e">
        <f t="shared" ref="S43" si="477">S42/S39</f>
        <v>#DIV/0!</v>
      </c>
      <c r="T43" s="13" t="e">
        <f t="shared" ref="T43:U43" si="478">T42/T39</f>
        <v>#DIV/0!</v>
      </c>
      <c r="U43" s="13" t="e">
        <f t="shared" si="478"/>
        <v>#DIV/0!</v>
      </c>
      <c r="V43" s="160">
        <f t="shared" ref="V43" si="479">V42/V39</f>
        <v>-0.67892160444217142</v>
      </c>
      <c r="W43" s="13">
        <f t="shared" ref="W43" si="480">W42/W39</f>
        <v>-1</v>
      </c>
      <c r="X43" s="13" t="e">
        <f t="shared" ref="X43" si="481">X42/X39</f>
        <v>#DIV/0!</v>
      </c>
      <c r="Y43" s="13">
        <f t="shared" ref="Y43" si="482">Y42/Y39</f>
        <v>2.7697160883280758</v>
      </c>
      <c r="Z43" s="13">
        <f t="shared" ref="Z43" si="483">Z42/Z39</f>
        <v>4.3775510204081636</v>
      </c>
      <c r="AA43" s="13">
        <f t="shared" ref="AA43:AD43" si="484">AA42/AA39</f>
        <v>1.2931034482758621</v>
      </c>
      <c r="AB43" s="13">
        <f t="shared" si="484"/>
        <v>-1</v>
      </c>
      <c r="AC43" s="160">
        <f t="shared" si="484"/>
        <v>-0.17159953188115823</v>
      </c>
      <c r="AD43" s="217">
        <f t="shared" si="484"/>
        <v>-9.6396186126001357E-2</v>
      </c>
      <c r="AE43" s="13">
        <f t="shared" ref="AE43" si="485">AE42/AE39</f>
        <v>-0.20930232558139536</v>
      </c>
      <c r="AF43" s="13">
        <f t="shared" ref="AF43" si="486">AF42/AF39</f>
        <v>-0.58333333333333337</v>
      </c>
      <c r="AG43" s="13">
        <f t="shared" ref="AG43" si="487">AG42/AG39</f>
        <v>-1</v>
      </c>
      <c r="AH43" s="13" t="e">
        <f t="shared" ref="AH43" si="488">AH42/AH39</f>
        <v>#DIV/0!</v>
      </c>
      <c r="AI43" s="13" t="e">
        <f t="shared" ref="AI43" si="489">AI42/AI39</f>
        <v>#DIV/0!</v>
      </c>
      <c r="AJ43" s="13" t="e">
        <f t="shared" ref="AJ43" si="490">AJ42/AJ39</f>
        <v>#DIV/0!</v>
      </c>
      <c r="AK43" s="13">
        <f t="shared" ref="AK43" si="491">AK42/AK39</f>
        <v>0.88391733668877559</v>
      </c>
      <c r="AL43" s="13">
        <f t="shared" ref="AL43" si="492">AL42/AL39</f>
        <v>1.0568551969203435</v>
      </c>
      <c r="AM43" s="13">
        <f t="shared" ref="AM43" si="493">AM42/AM39</f>
        <v>-0.51724137931034486</v>
      </c>
      <c r="AN43" s="13" t="e">
        <f t="shared" ref="AN43" si="494">AN42/AN39</f>
        <v>#DIV/0!</v>
      </c>
      <c r="AO43" s="160">
        <f t="shared" ref="AO43" si="495">AO42/AO39</f>
        <v>-0.39846500492888326</v>
      </c>
      <c r="AP43" s="13">
        <f t="shared" ref="AP43" si="496">AP42/AP39</f>
        <v>1.2763084046583415</v>
      </c>
      <c r="AQ43" s="160">
        <f t="shared" ref="AQ43" si="497">AQ42/AQ39</f>
        <v>-0.5966738718073139</v>
      </c>
      <c r="AR43" s="13" t="e">
        <f t="shared" ref="AR43" si="498">AR42/AR39</f>
        <v>#DIV/0!</v>
      </c>
      <c r="AS43" s="13" t="e">
        <f t="shared" ref="AS43" si="499">AS42/AS39</f>
        <v>#DIV/0!</v>
      </c>
      <c r="AT43" s="13" t="e">
        <f t="shared" ref="AT43" si="500">AT42/AT39</f>
        <v>#DIV/0!</v>
      </c>
      <c r="AU43" s="13" t="e">
        <f t="shared" ref="AU43" si="501">AU42/AU39</f>
        <v>#DIV/0!</v>
      </c>
      <c r="AV43" s="13" t="e">
        <f t="shared" ref="AV43" si="502">AV42/AV39</f>
        <v>#DIV/0!</v>
      </c>
      <c r="AW43" s="13" t="e">
        <f t="shared" ref="AW43" si="503">AW42/AW39</f>
        <v>#DIV/0!</v>
      </c>
      <c r="AX43" s="13" t="e">
        <f t="shared" ref="AX43" si="504">AX42/AX39</f>
        <v>#DIV/0!</v>
      </c>
      <c r="AY43" s="13" t="e">
        <f t="shared" ref="AY43" si="505">AY42/AY39</f>
        <v>#DIV/0!</v>
      </c>
      <c r="AZ43" s="13" t="e">
        <f t="shared" ref="AZ43" si="506">AZ42/AZ39</f>
        <v>#DIV/0!</v>
      </c>
      <c r="BA43" s="13" t="e">
        <f t="shared" ref="BA43" si="507">BA42/BA39</f>
        <v>#DIV/0!</v>
      </c>
      <c r="BB43" s="160">
        <f t="shared" ref="BB43" si="508">BB42/BB39</f>
        <v>-0.19790947479969814</v>
      </c>
      <c r="BC43" s="13">
        <f t="shared" ref="BC43" si="509">BC42/BC39</f>
        <v>0.17948717948717949</v>
      </c>
      <c r="BD43" s="13">
        <f t="shared" ref="BD43" si="510">BD42/BD39</f>
        <v>0.15320334261838439</v>
      </c>
      <c r="BE43" s="13" t="e">
        <f t="shared" ref="BE43" si="511">BE42/BE39</f>
        <v>#DIV/0!</v>
      </c>
      <c r="BF43" s="13">
        <f t="shared" ref="BF43" si="512">BF42/BF39</f>
        <v>-6.6527342389411354E-2</v>
      </c>
      <c r="BG43" s="13">
        <f t="shared" ref="BG43:BH43" si="513">BG42/BG39</f>
        <v>-1</v>
      </c>
      <c r="BH43" s="160">
        <f t="shared" si="513"/>
        <v>-0.41458647800356652</v>
      </c>
      <c r="BI43" s="160">
        <f t="shared" ref="BI43" si="514">BI42/BI39</f>
        <v>-0.21108238011112976</v>
      </c>
      <c r="BJ43" s="13">
        <f t="shared" ref="BJ43:BK43" si="515">BJ42/BJ39</f>
        <v>-0.70736999118584309</v>
      </c>
      <c r="BK43" s="50">
        <f t="shared" si="515"/>
        <v>-0.20188481280667475</v>
      </c>
      <c r="BM43" s="160" t="e">
        <f t="shared" ref="BM43" si="516">BM42/BM39</f>
        <v>#DIV/0!</v>
      </c>
    </row>
    <row r="44" spans="1:65">
      <c r="A44" s="128"/>
      <c r="B44" s="5" t="s">
        <v>132</v>
      </c>
      <c r="C44" s="11">
        <f>C41-C40</f>
        <v>6675</v>
      </c>
      <c r="D44" s="11">
        <f t="shared" ref="D44:BK44" si="517">D41-D40</f>
        <v>16294</v>
      </c>
      <c r="E44" s="11">
        <f t="shared" si="517"/>
        <v>42</v>
      </c>
      <c r="F44" s="11">
        <f t="shared" si="517"/>
        <v>1359</v>
      </c>
      <c r="G44" s="11">
        <f t="shared" si="517"/>
        <v>1176</v>
      </c>
      <c r="H44" s="11">
        <f t="shared" si="517"/>
        <v>0</v>
      </c>
      <c r="I44" s="11">
        <f t="shared" si="517"/>
        <v>0</v>
      </c>
      <c r="J44" s="11">
        <f t="shared" si="517"/>
        <v>0</v>
      </c>
      <c r="K44" s="11">
        <f t="shared" si="517"/>
        <v>349</v>
      </c>
      <c r="L44" s="11">
        <f t="shared" si="517"/>
        <v>-4133</v>
      </c>
      <c r="M44" s="11">
        <f t="shared" si="517"/>
        <v>-16</v>
      </c>
      <c r="N44" s="11">
        <f t="shared" si="517"/>
        <v>40</v>
      </c>
      <c r="O44" s="11">
        <f t="shared" si="517"/>
        <v>-286</v>
      </c>
      <c r="P44" s="11">
        <f t="shared" si="517"/>
        <v>-4914</v>
      </c>
      <c r="Q44" s="11">
        <f t="shared" si="517"/>
        <v>0</v>
      </c>
      <c r="R44" s="11">
        <f t="shared" si="517"/>
        <v>-144</v>
      </c>
      <c r="S44" s="11">
        <f t="shared" si="517"/>
        <v>0</v>
      </c>
      <c r="T44" s="11">
        <f t="shared" si="517"/>
        <v>0</v>
      </c>
      <c r="U44" s="11">
        <f t="shared" ref="U44" si="518">U41-U40</f>
        <v>0</v>
      </c>
      <c r="V44" s="9">
        <f t="shared" si="517"/>
        <v>11474</v>
      </c>
      <c r="W44" s="11">
        <f t="shared" si="517"/>
        <v>-232</v>
      </c>
      <c r="X44" s="11">
        <f t="shared" si="517"/>
        <v>0</v>
      </c>
      <c r="Y44" s="11">
        <f t="shared" si="517"/>
        <v>790</v>
      </c>
      <c r="Z44" s="11">
        <f t="shared" si="517"/>
        <v>411</v>
      </c>
      <c r="AA44" s="11">
        <f t="shared" si="517"/>
        <v>49</v>
      </c>
      <c r="AB44" s="11">
        <f t="shared" ref="AB44" si="519">AB41-AB40</f>
        <v>0</v>
      </c>
      <c r="AC44" s="9">
        <f t="shared" ref="AC44:AD44" si="520">AC41-AC40</f>
        <v>5409</v>
      </c>
      <c r="AD44" s="216">
        <f t="shared" si="520"/>
        <v>34343</v>
      </c>
      <c r="AE44" s="11">
        <f t="shared" si="517"/>
        <v>-72</v>
      </c>
      <c r="AF44" s="11">
        <f t="shared" si="517"/>
        <v>-12</v>
      </c>
      <c r="AG44" s="11">
        <f t="shared" si="517"/>
        <v>0</v>
      </c>
      <c r="AH44" s="11">
        <f t="shared" si="517"/>
        <v>0</v>
      </c>
      <c r="AI44" s="11">
        <f t="shared" si="517"/>
        <v>0</v>
      </c>
      <c r="AJ44" s="11">
        <f t="shared" si="517"/>
        <v>0</v>
      </c>
      <c r="AK44" s="11">
        <f t="shared" si="517"/>
        <v>76580</v>
      </c>
      <c r="AL44" s="11">
        <f t="shared" si="517"/>
        <v>8492</v>
      </c>
      <c r="AM44" s="11">
        <f t="shared" si="517"/>
        <v>28</v>
      </c>
      <c r="AN44" s="11">
        <f t="shared" si="517"/>
        <v>0</v>
      </c>
      <c r="AO44" s="9">
        <f t="shared" si="517"/>
        <v>-7689</v>
      </c>
      <c r="AP44" s="11">
        <f t="shared" si="517"/>
        <v>-143260</v>
      </c>
      <c r="AQ44" s="9">
        <f t="shared" si="517"/>
        <v>-3003</v>
      </c>
      <c r="AR44" s="11">
        <f t="shared" si="517"/>
        <v>0</v>
      </c>
      <c r="AS44" s="11">
        <f t="shared" si="517"/>
        <v>0</v>
      </c>
      <c r="AT44" s="11">
        <f t="shared" si="517"/>
        <v>0</v>
      </c>
      <c r="AU44" s="11">
        <f t="shared" si="517"/>
        <v>0</v>
      </c>
      <c r="AV44" s="11">
        <f t="shared" si="517"/>
        <v>0</v>
      </c>
      <c r="AW44" s="11">
        <f t="shared" si="517"/>
        <v>0</v>
      </c>
      <c r="AX44" s="11">
        <f t="shared" si="517"/>
        <v>0</v>
      </c>
      <c r="AY44" s="11">
        <f t="shared" si="517"/>
        <v>0</v>
      </c>
      <c r="AZ44" s="11">
        <f t="shared" si="517"/>
        <v>0</v>
      </c>
      <c r="BA44" s="11">
        <f t="shared" si="517"/>
        <v>0</v>
      </c>
      <c r="BB44" s="9">
        <f t="shared" si="517"/>
        <v>12907</v>
      </c>
      <c r="BC44" s="11">
        <f t="shared" si="517"/>
        <v>171</v>
      </c>
      <c r="BD44" s="11">
        <f t="shared" si="517"/>
        <v>171</v>
      </c>
      <c r="BE44" s="11">
        <f t="shared" si="517"/>
        <v>0</v>
      </c>
      <c r="BF44" s="11">
        <f t="shared" si="517"/>
        <v>-179</v>
      </c>
      <c r="BG44" s="11">
        <f t="shared" si="517"/>
        <v>-101</v>
      </c>
      <c r="BH44" s="9">
        <f t="shared" si="517"/>
        <v>-55967</v>
      </c>
      <c r="BI44" s="9">
        <f t="shared" si="517"/>
        <v>-21624</v>
      </c>
      <c r="BJ44" s="11">
        <f t="shared" si="517"/>
        <v>-413</v>
      </c>
      <c r="BK44" s="49">
        <f t="shared" si="517"/>
        <v>-21211</v>
      </c>
      <c r="BM44" s="30">
        <f t="shared" si="407"/>
        <v>-55554</v>
      </c>
    </row>
    <row r="45" spans="1:65">
      <c r="A45" s="128"/>
      <c r="B45" s="5" t="s">
        <v>133</v>
      </c>
      <c r="C45" s="13">
        <f>C44/C40</f>
        <v>4.2328545610196902E-2</v>
      </c>
      <c r="D45" s="13">
        <f t="shared" ref="D45" si="521">D44/D40</f>
        <v>0.2012822571679164</v>
      </c>
      <c r="E45" s="13">
        <f t="shared" ref="E45" si="522">E44/E40</f>
        <v>2.625</v>
      </c>
      <c r="F45" s="13">
        <f t="shared" ref="F45" si="523">F44/F40</f>
        <v>6.4334406362431359E-2</v>
      </c>
      <c r="G45" s="13">
        <f t="shared" ref="G45" si="524">G44/G40</f>
        <v>9.4215670565614487E-2</v>
      </c>
      <c r="H45" s="13" t="e">
        <f t="shared" ref="H45" si="525">H44/H40</f>
        <v>#DIV/0!</v>
      </c>
      <c r="I45" s="13" t="e">
        <f t="shared" ref="I45" si="526">I44/I40</f>
        <v>#DIV/0!</v>
      </c>
      <c r="J45" s="13" t="e">
        <f t="shared" ref="J45" si="527">J44/J40</f>
        <v>#DIV/0!</v>
      </c>
      <c r="K45" s="13">
        <f t="shared" ref="K45" si="528">K44/K40</f>
        <v>2.7698412698412698</v>
      </c>
      <c r="L45" s="13">
        <f t="shared" ref="L45" si="529">L44/L40</f>
        <v>-0.38939136988882606</v>
      </c>
      <c r="M45" s="13">
        <f t="shared" ref="M45" si="530">M44/M40</f>
        <v>-5.6357872490313491E-3</v>
      </c>
      <c r="N45" s="13">
        <f t="shared" ref="N45" si="531">N44/N40</f>
        <v>0.625</v>
      </c>
      <c r="O45" s="13">
        <f t="shared" ref="O45" si="532">O44/O40</f>
        <v>-0.55000000000000004</v>
      </c>
      <c r="P45" s="13">
        <f t="shared" ref="P45" si="533">P44/P40</f>
        <v>-0.53326098752034723</v>
      </c>
      <c r="Q45" s="13" t="e">
        <f t="shared" ref="Q45" si="534">Q44/Q40</f>
        <v>#DIV/0!</v>
      </c>
      <c r="R45" s="13">
        <f t="shared" ref="R45" si="535">R44/R40</f>
        <v>-0.16513761467889909</v>
      </c>
      <c r="S45" s="13" t="e">
        <f t="shared" ref="S45" si="536">S44/S40</f>
        <v>#DIV/0!</v>
      </c>
      <c r="T45" s="13" t="e">
        <f t="shared" ref="T45:U45" si="537">T44/T40</f>
        <v>#DIV/0!</v>
      </c>
      <c r="U45" s="13" t="e">
        <f t="shared" si="537"/>
        <v>#DIV/0!</v>
      </c>
      <c r="V45" s="160">
        <f t="shared" ref="V45" si="538">V44/V40</f>
        <v>1.0928659872368798</v>
      </c>
      <c r="W45" s="13">
        <f t="shared" ref="W45" si="539">W44/W40</f>
        <v>-1</v>
      </c>
      <c r="X45" s="13" t="e">
        <f t="shared" ref="X45" si="540">X44/X40</f>
        <v>#DIV/0!</v>
      </c>
      <c r="Y45" s="13">
        <f t="shared" ref="Y45" si="541">Y44/Y40</f>
        <v>1.9506172839506173</v>
      </c>
      <c r="Z45" s="13">
        <f t="shared" ref="Z45" si="542">Z44/Z40</f>
        <v>3.5431034482758621</v>
      </c>
      <c r="AA45" s="13">
        <f t="shared" ref="AA45:AD45" si="543">AA44/AA40</f>
        <v>0.58333333333333337</v>
      </c>
      <c r="AB45" s="13" t="e">
        <f t="shared" ref="AB45" si="544">AB44/AB40</f>
        <v>#DIV/0!</v>
      </c>
      <c r="AC45" s="160">
        <f t="shared" si="543"/>
        <v>4.2842885657256913E-2</v>
      </c>
      <c r="AD45" s="217">
        <f t="shared" si="543"/>
        <v>7.9112014116367896E-2</v>
      </c>
      <c r="AE45" s="13">
        <f t="shared" ref="AE45" si="545">AE44/AE40</f>
        <v>-0.51428571428571423</v>
      </c>
      <c r="AF45" s="13">
        <f t="shared" ref="AF45" si="546">AF44/AF40</f>
        <v>-0.54545454545454541</v>
      </c>
      <c r="AG45" s="13" t="e">
        <f t="shared" ref="AG45" si="547">AG44/AG40</f>
        <v>#DIV/0!</v>
      </c>
      <c r="AH45" s="13" t="e">
        <f t="shared" ref="AH45" si="548">AH44/AH40</f>
        <v>#DIV/0!</v>
      </c>
      <c r="AI45" s="13" t="e">
        <f t="shared" ref="AI45" si="549">AI44/AI40</f>
        <v>#DIV/0!</v>
      </c>
      <c r="AJ45" s="13" t="e">
        <f t="shared" ref="AJ45" si="550">AJ44/AJ40</f>
        <v>#DIV/0!</v>
      </c>
      <c r="AK45" s="13">
        <f t="shared" ref="AK45" si="551">AK44/AK40</f>
        <v>6.514674606550404</v>
      </c>
      <c r="AL45" s="13">
        <f t="shared" ref="AL45" si="552">AL44/AL40</f>
        <v>1.5725925925925925</v>
      </c>
      <c r="AM45" s="13" t="e">
        <f t="shared" ref="AM45" si="553">AM44/AM40</f>
        <v>#DIV/0!</v>
      </c>
      <c r="AN45" s="13" t="e">
        <f t="shared" ref="AN45" si="554">AN44/AN40</f>
        <v>#DIV/0!</v>
      </c>
      <c r="AO45" s="160">
        <f t="shared" ref="AO45" si="555">AO44/AO40</f>
        <v>-0.47369393790044356</v>
      </c>
      <c r="AP45" s="13">
        <f t="shared" ref="AP45" si="556">AP44/AP40</f>
        <v>-10.632328929790708</v>
      </c>
      <c r="AQ45" s="160">
        <f t="shared" ref="AQ45" si="557">AQ44/AQ40</f>
        <v>-7.588123815540114E-2</v>
      </c>
      <c r="AR45" s="13" t="e">
        <f t="shared" ref="AR45" si="558">AR44/AR40</f>
        <v>#DIV/0!</v>
      </c>
      <c r="AS45" s="13" t="e">
        <f t="shared" ref="AS45" si="559">AS44/AS40</f>
        <v>#DIV/0!</v>
      </c>
      <c r="AT45" s="13" t="e">
        <f t="shared" ref="AT45" si="560">AT44/AT40</f>
        <v>#DIV/0!</v>
      </c>
      <c r="AU45" s="13" t="e">
        <f t="shared" ref="AU45" si="561">AU44/AU40</f>
        <v>#DIV/0!</v>
      </c>
      <c r="AV45" s="13" t="e">
        <f t="shared" ref="AV45" si="562">AV44/AV40</f>
        <v>#DIV/0!</v>
      </c>
      <c r="AW45" s="13" t="e">
        <f t="shared" ref="AW45" si="563">AW44/AW40</f>
        <v>#DIV/0!</v>
      </c>
      <c r="AX45" s="13" t="e">
        <f t="shared" ref="AX45" si="564">AX44/AX40</f>
        <v>#DIV/0!</v>
      </c>
      <c r="AY45" s="13" t="e">
        <f t="shared" ref="AY45" si="565">AY44/AY40</f>
        <v>#DIV/0!</v>
      </c>
      <c r="AZ45" s="13" t="e">
        <f t="shared" ref="AZ45" si="566">AZ44/AZ40</f>
        <v>#DIV/0!</v>
      </c>
      <c r="BA45" s="13" t="e">
        <f t="shared" ref="BA45" si="567">BA44/BA40</f>
        <v>#DIV/0!</v>
      </c>
      <c r="BB45" s="160">
        <f t="shared" ref="BB45" si="568">BB44/BB40</f>
        <v>9.4240570101783022E-2</v>
      </c>
      <c r="BC45" s="13">
        <f t="shared" ref="BC45" si="569">BC44/BC40</f>
        <v>0.70370370370370372</v>
      </c>
      <c r="BD45" s="13">
        <f t="shared" ref="BD45" si="570">BD44/BD40</f>
        <v>0.70370370370370372</v>
      </c>
      <c r="BE45" s="13" t="e">
        <f t="shared" ref="BE45" si="571">BE44/BE40</f>
        <v>#DIV/0!</v>
      </c>
      <c r="BF45" s="13">
        <f t="shared" ref="BF45" si="572">BF44/BF40</f>
        <v>-6.2609303952430917E-2</v>
      </c>
      <c r="BG45" s="13">
        <f t="shared" ref="BG45:BH45" si="573">BG44/BG40</f>
        <v>-1</v>
      </c>
      <c r="BH45" s="160">
        <f t="shared" si="573"/>
        <v>-0.24654848855957215</v>
      </c>
      <c r="BI45" s="160">
        <f t="shared" ref="BI45" si="574">BI44/BI40</f>
        <v>-3.2708725351984852E-2</v>
      </c>
      <c r="BJ45" s="13">
        <f t="shared" ref="BJ45:BK45" si="575">BJ44/BJ40</f>
        <v>-8.7333474307464576E-2</v>
      </c>
      <c r="BK45" s="50">
        <f t="shared" si="575"/>
        <v>-3.2315171570083748E-2</v>
      </c>
      <c r="BM45" s="14">
        <f t="shared" ref="BM45" si="576">BM44/BM40</f>
        <v>-0.24993588964921515</v>
      </c>
    </row>
    <row r="46" spans="1:65">
      <c r="A46" s="128"/>
      <c r="B46" s="5" t="s">
        <v>431</v>
      </c>
      <c r="C46" s="126">
        <f>C41/C38</f>
        <v>0.20507209400104551</v>
      </c>
      <c r="D46" s="126">
        <f t="shared" ref="D46:BK46" si="577">D41/D38</f>
        <v>0.20919921522059012</v>
      </c>
      <c r="E46" s="126" t="e">
        <f t="shared" si="577"/>
        <v>#DIV/0!</v>
      </c>
      <c r="F46" s="126">
        <f t="shared" si="577"/>
        <v>0.18384685833905734</v>
      </c>
      <c r="G46" s="126">
        <f t="shared" si="577"/>
        <v>0.20734151080884139</v>
      </c>
      <c r="H46" s="126" t="e">
        <f t="shared" si="577"/>
        <v>#DIV/0!</v>
      </c>
      <c r="I46" s="126" t="e">
        <f t="shared" si="577"/>
        <v>#DIV/0!</v>
      </c>
      <c r="J46" s="126" t="e">
        <f t="shared" si="577"/>
        <v>#DIV/0!</v>
      </c>
      <c r="K46" s="126">
        <f t="shared" si="577"/>
        <v>0.31793842034805891</v>
      </c>
      <c r="L46" s="126">
        <f t="shared" si="577"/>
        <v>0.23436878458033486</v>
      </c>
      <c r="M46" s="126">
        <f t="shared" si="577"/>
        <v>0.16808573980351296</v>
      </c>
      <c r="N46" s="126">
        <f t="shared" si="577"/>
        <v>0.25552825552825553</v>
      </c>
      <c r="O46" s="126">
        <f t="shared" si="577"/>
        <v>9.0732842186894147E-2</v>
      </c>
      <c r="P46" s="126">
        <f t="shared" si="577"/>
        <v>0.20052216886568139</v>
      </c>
      <c r="Q46" s="126" t="e">
        <f t="shared" si="577"/>
        <v>#DIV/0!</v>
      </c>
      <c r="R46" s="126">
        <f t="shared" si="577"/>
        <v>0.2883168316831683</v>
      </c>
      <c r="S46" s="126" t="e">
        <f t="shared" si="577"/>
        <v>#DIV/0!</v>
      </c>
      <c r="T46" s="126" t="e">
        <f t="shared" si="577"/>
        <v>#DIV/0!</v>
      </c>
      <c r="U46" s="126" t="e">
        <f t="shared" si="577"/>
        <v>#DIV/0!</v>
      </c>
      <c r="V46" s="175">
        <f t="shared" si="577"/>
        <v>6.100493081313995E-2</v>
      </c>
      <c r="W46" s="126">
        <f t="shared" si="577"/>
        <v>0</v>
      </c>
      <c r="X46" s="126" t="e">
        <f t="shared" si="577"/>
        <v>#DIV/0!</v>
      </c>
      <c r="Y46" s="126">
        <f t="shared" si="577"/>
        <v>0.71728691476590634</v>
      </c>
      <c r="Z46" s="126">
        <f t="shared" si="577"/>
        <v>1.0233009708737864</v>
      </c>
      <c r="AA46" s="126">
        <f t="shared" si="577"/>
        <v>0.43606557377049182</v>
      </c>
      <c r="AB46" s="126">
        <f t="shared" ref="AB46" si="578">AB41/AB38</f>
        <v>0</v>
      </c>
      <c r="AC46" s="175">
        <f t="shared" si="577"/>
        <v>0.15739585126527803</v>
      </c>
      <c r="AD46" s="218">
        <f t="shared" si="577"/>
        <v>0.17168422788660645</v>
      </c>
      <c r="AE46" s="126">
        <f t="shared" si="577"/>
        <v>0.18994413407821228</v>
      </c>
      <c r="AF46" s="126">
        <f t="shared" si="577"/>
        <v>9.9009900990099015E-2</v>
      </c>
      <c r="AG46" s="126">
        <f t="shared" si="577"/>
        <v>0</v>
      </c>
      <c r="AH46" s="126" t="e">
        <f t="shared" si="577"/>
        <v>#DIV/0!</v>
      </c>
      <c r="AI46" s="126" t="e">
        <f t="shared" si="577"/>
        <v>#DIV/0!</v>
      </c>
      <c r="AJ46" s="126" t="e">
        <f t="shared" si="577"/>
        <v>#DIV/0!</v>
      </c>
      <c r="AK46" s="126">
        <f t="shared" si="577"/>
        <v>0.45213746084392853</v>
      </c>
      <c r="AL46" s="126">
        <f t="shared" si="577"/>
        <v>0.49362185978751377</v>
      </c>
      <c r="AM46" s="126">
        <f t="shared" si="577"/>
        <v>0.11666666666666667</v>
      </c>
      <c r="AN46" s="126" t="e">
        <f t="shared" si="577"/>
        <v>#DIV/0!</v>
      </c>
      <c r="AO46" s="175">
        <f t="shared" si="577"/>
        <v>0.14436839881706801</v>
      </c>
      <c r="AP46" s="126">
        <f t="shared" si="577"/>
        <v>0.54631325057773172</v>
      </c>
      <c r="AQ46" s="175">
        <f t="shared" si="577"/>
        <v>9.6798697775366246E-2</v>
      </c>
      <c r="AR46" s="126" t="e">
        <f t="shared" si="577"/>
        <v>#DIV/0!</v>
      </c>
      <c r="AS46" s="126" t="e">
        <f t="shared" si="577"/>
        <v>#DIV/0!</v>
      </c>
      <c r="AT46" s="126" t="e">
        <f t="shared" si="577"/>
        <v>#DIV/0!</v>
      </c>
      <c r="AU46" s="126" t="e">
        <f t="shared" si="577"/>
        <v>#DIV/0!</v>
      </c>
      <c r="AV46" s="126" t="e">
        <f t="shared" si="577"/>
        <v>#DIV/0!</v>
      </c>
      <c r="AW46" s="126" t="e">
        <f t="shared" si="577"/>
        <v>#DIV/0!</v>
      </c>
      <c r="AX46" s="126" t="e">
        <f t="shared" si="577"/>
        <v>#DIV/0!</v>
      </c>
      <c r="AY46" s="126" t="e">
        <f t="shared" si="577"/>
        <v>#DIV/0!</v>
      </c>
      <c r="AZ46" s="126" t="e">
        <f t="shared" si="577"/>
        <v>#DIV/0!</v>
      </c>
      <c r="BA46" s="126" t="e">
        <f t="shared" si="577"/>
        <v>#DIV/0!</v>
      </c>
      <c r="BB46" s="175">
        <f t="shared" si="577"/>
        <v>0.19250135514582911</v>
      </c>
      <c r="BC46" s="126">
        <f t="shared" si="577"/>
        <v>0.28298017771701983</v>
      </c>
      <c r="BD46" s="126">
        <f t="shared" si="577"/>
        <v>0.27655310621242485</v>
      </c>
      <c r="BE46" s="126" t="e">
        <f t="shared" si="577"/>
        <v>#DIV/0!</v>
      </c>
      <c r="BF46" s="126">
        <f t="shared" si="577"/>
        <v>0.22402407422887236</v>
      </c>
      <c r="BG46" s="126">
        <f t="shared" si="577"/>
        <v>0</v>
      </c>
      <c r="BH46" s="175">
        <f t="shared" si="577"/>
        <v>0.14049918757157009</v>
      </c>
      <c r="BI46" s="175">
        <f t="shared" si="577"/>
        <v>0.16206339358846475</v>
      </c>
      <c r="BJ46" s="126">
        <f t="shared" si="577"/>
        <v>7.0221108634463014E-2</v>
      </c>
      <c r="BK46" s="126">
        <f t="shared" si="577"/>
        <v>0.16351660799217388</v>
      </c>
      <c r="BM46" s="126" t="e">
        <f t="shared" ref="BM46" si="579">BM41/BM38</f>
        <v>#DIV/0!</v>
      </c>
    </row>
    <row r="47" spans="1:65" s="178" customFormat="1">
      <c r="A47" s="128"/>
      <c r="B47" s="5" t="s">
        <v>432</v>
      </c>
      <c r="C47" s="11">
        <f>C38-C41</f>
        <v>637153</v>
      </c>
      <c r="D47" s="11">
        <f t="shared" ref="D47:BK47" si="580">D38-D41</f>
        <v>367599</v>
      </c>
      <c r="E47" s="11">
        <f t="shared" si="580"/>
        <v>-58</v>
      </c>
      <c r="F47" s="11">
        <f t="shared" si="580"/>
        <v>99809</v>
      </c>
      <c r="G47" s="11">
        <f t="shared" si="580"/>
        <v>52214</v>
      </c>
      <c r="H47" s="11">
        <f t="shared" si="580"/>
        <v>0</v>
      </c>
      <c r="I47" s="11">
        <f t="shared" si="580"/>
        <v>0</v>
      </c>
      <c r="J47" s="11">
        <f t="shared" si="580"/>
        <v>0</v>
      </c>
      <c r="K47" s="11">
        <f t="shared" si="580"/>
        <v>1019</v>
      </c>
      <c r="L47" s="11">
        <f t="shared" si="580"/>
        <v>21172</v>
      </c>
      <c r="M47" s="11">
        <f t="shared" si="580"/>
        <v>13972</v>
      </c>
      <c r="N47" s="11">
        <f t="shared" si="580"/>
        <v>303</v>
      </c>
      <c r="O47" s="11">
        <f t="shared" si="580"/>
        <v>2345</v>
      </c>
      <c r="P47" s="11">
        <f t="shared" si="580"/>
        <v>17148</v>
      </c>
      <c r="Q47" s="11">
        <f t="shared" si="580"/>
        <v>0</v>
      </c>
      <c r="R47" s="11">
        <f t="shared" si="580"/>
        <v>1797</v>
      </c>
      <c r="S47" s="11">
        <f t="shared" si="580"/>
        <v>0</v>
      </c>
      <c r="T47" s="11">
        <f t="shared" si="580"/>
        <v>0</v>
      </c>
      <c r="U47" s="11">
        <f t="shared" si="580"/>
        <v>0</v>
      </c>
      <c r="V47" s="11">
        <f t="shared" si="580"/>
        <v>338211</v>
      </c>
      <c r="W47" s="11">
        <f t="shared" si="580"/>
        <v>344</v>
      </c>
      <c r="X47" s="11">
        <f t="shared" si="580"/>
        <v>0</v>
      </c>
      <c r="Y47" s="11">
        <f t="shared" si="580"/>
        <v>471</v>
      </c>
      <c r="Z47" s="11">
        <f t="shared" si="580"/>
        <v>-12</v>
      </c>
      <c r="AA47" s="11">
        <f t="shared" si="580"/>
        <v>172</v>
      </c>
      <c r="AB47" s="11">
        <f t="shared" si="580"/>
        <v>1607</v>
      </c>
      <c r="AC47" s="11">
        <f t="shared" si="580"/>
        <v>704835</v>
      </c>
      <c r="AD47" s="11">
        <f t="shared" si="580"/>
        <v>2260101</v>
      </c>
      <c r="AE47" s="11">
        <f t="shared" si="580"/>
        <v>290</v>
      </c>
      <c r="AF47" s="11">
        <f t="shared" si="580"/>
        <v>91</v>
      </c>
      <c r="AG47" s="11">
        <f t="shared" si="580"/>
        <v>7</v>
      </c>
      <c r="AH47" s="11">
        <f t="shared" si="580"/>
        <v>0</v>
      </c>
      <c r="AI47" s="11">
        <f t="shared" si="580"/>
        <v>0</v>
      </c>
      <c r="AJ47" s="11">
        <f t="shared" si="580"/>
        <v>0</v>
      </c>
      <c r="AK47" s="11">
        <f t="shared" si="580"/>
        <v>107037</v>
      </c>
      <c r="AL47" s="11">
        <f t="shared" si="580"/>
        <v>14251</v>
      </c>
      <c r="AM47" s="11">
        <f t="shared" si="580"/>
        <v>212</v>
      </c>
      <c r="AN47" s="11">
        <f t="shared" si="580"/>
        <v>0</v>
      </c>
      <c r="AO47" s="11">
        <f t="shared" si="580"/>
        <v>50632</v>
      </c>
      <c r="AP47" s="11">
        <f t="shared" si="580"/>
        <v>-107781</v>
      </c>
      <c r="AQ47" s="11">
        <f t="shared" si="580"/>
        <v>341243</v>
      </c>
      <c r="AR47" s="11">
        <f t="shared" si="580"/>
        <v>0</v>
      </c>
      <c r="AS47" s="11">
        <f t="shared" si="580"/>
        <v>0</v>
      </c>
      <c r="AT47" s="11">
        <f t="shared" si="580"/>
        <v>0</v>
      </c>
      <c r="AU47" s="11">
        <f t="shared" si="580"/>
        <v>0</v>
      </c>
      <c r="AV47" s="11">
        <f t="shared" si="580"/>
        <v>0</v>
      </c>
      <c r="AW47" s="11">
        <f t="shared" si="580"/>
        <v>0</v>
      </c>
      <c r="AX47" s="11">
        <f t="shared" si="580"/>
        <v>0</v>
      </c>
      <c r="AY47" s="11">
        <f t="shared" si="580"/>
        <v>0</v>
      </c>
      <c r="AZ47" s="11">
        <f t="shared" si="580"/>
        <v>0</v>
      </c>
      <c r="BA47" s="11">
        <f t="shared" si="580"/>
        <v>0</v>
      </c>
      <c r="BB47" s="11">
        <f t="shared" si="580"/>
        <v>628649</v>
      </c>
      <c r="BC47" s="11">
        <f t="shared" si="580"/>
        <v>1049</v>
      </c>
      <c r="BD47" s="11">
        <f t="shared" si="580"/>
        <v>1083</v>
      </c>
      <c r="BE47" s="11">
        <f t="shared" si="580"/>
        <v>0</v>
      </c>
      <c r="BF47" s="11">
        <f t="shared" si="580"/>
        <v>9283</v>
      </c>
      <c r="BG47" s="11">
        <f t="shared" si="580"/>
        <v>257</v>
      </c>
      <c r="BH47" s="11">
        <f t="shared" si="580"/>
        <v>1046303</v>
      </c>
      <c r="BI47" s="11">
        <f t="shared" si="580"/>
        <v>3306404</v>
      </c>
      <c r="BJ47" s="11">
        <f t="shared" si="580"/>
        <v>57147</v>
      </c>
      <c r="BK47" s="11">
        <f t="shared" si="580"/>
        <v>3249257</v>
      </c>
      <c r="BL47" s="11">
        <f t="shared" ref="BL47:BM47" si="581">BL41-BL38</f>
        <v>635169</v>
      </c>
      <c r="BM47" s="11">
        <f t="shared" si="581"/>
        <v>166719</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9"/>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9"/>
      <c r="BJ48" s="5"/>
      <c r="BK48" s="48"/>
    </row>
    <row r="49" spans="1:65" s="265" customFormat="1">
      <c r="A49" s="15" t="s">
        <v>137</v>
      </c>
      <c r="B49" s="11" t="s">
        <v>430</v>
      </c>
      <c r="C49" s="266">
        <v>1216913</v>
      </c>
      <c r="D49" s="120">
        <v>705604</v>
      </c>
      <c r="E49" s="120">
        <v>0</v>
      </c>
      <c r="F49" s="120">
        <v>134116</v>
      </c>
      <c r="G49" s="120">
        <v>94727</v>
      </c>
      <c r="H49" s="120">
        <v>0</v>
      </c>
      <c r="I49" s="120">
        <v>0</v>
      </c>
      <c r="J49" s="120">
        <v>3332</v>
      </c>
      <c r="K49" s="120">
        <v>854</v>
      </c>
      <c r="L49" s="120">
        <v>24091</v>
      </c>
      <c r="M49" s="120">
        <v>25051</v>
      </c>
      <c r="N49" s="120">
        <v>199</v>
      </c>
      <c r="O49" s="120">
        <v>4878</v>
      </c>
      <c r="P49" s="120">
        <v>119642</v>
      </c>
      <c r="Q49" s="120">
        <v>0</v>
      </c>
      <c r="R49" s="120">
        <v>4043</v>
      </c>
      <c r="S49" s="120">
        <v>0</v>
      </c>
      <c r="T49" s="120">
        <v>0</v>
      </c>
      <c r="U49" s="120">
        <v>0</v>
      </c>
      <c r="V49" s="267">
        <v>4605</v>
      </c>
      <c r="W49" s="120">
        <v>0</v>
      </c>
      <c r="X49" s="120">
        <v>0</v>
      </c>
      <c r="Y49" s="120">
        <v>6939</v>
      </c>
      <c r="Z49" s="120">
        <v>3655</v>
      </c>
      <c r="AA49" s="120">
        <v>2008</v>
      </c>
      <c r="AB49" s="120">
        <v>237</v>
      </c>
      <c r="AC49" s="267">
        <v>0</v>
      </c>
      <c r="AD49" s="121">
        <f t="shared" ref="AD49" si="582">SUM(C49:AC49)</f>
        <v>2350894</v>
      </c>
      <c r="AE49" s="120">
        <v>2620</v>
      </c>
      <c r="AF49" s="120">
        <v>5276</v>
      </c>
      <c r="AG49" s="120">
        <v>3018</v>
      </c>
      <c r="AH49" s="120">
        <v>0</v>
      </c>
      <c r="AI49" s="120">
        <v>0</v>
      </c>
      <c r="AJ49" s="120">
        <v>13</v>
      </c>
      <c r="AK49" s="120">
        <v>160473</v>
      </c>
      <c r="AL49" s="120">
        <v>141892</v>
      </c>
      <c r="AM49" s="120">
        <v>0</v>
      </c>
      <c r="AN49" s="120">
        <v>7075</v>
      </c>
      <c r="AO49" s="267">
        <v>370088</v>
      </c>
      <c r="AP49" s="120">
        <v>102935</v>
      </c>
      <c r="AQ49" s="267">
        <v>29</v>
      </c>
      <c r="AR49" s="120">
        <v>0</v>
      </c>
      <c r="AS49" s="120">
        <v>0</v>
      </c>
      <c r="AT49" s="120">
        <v>0</v>
      </c>
      <c r="AU49" s="120">
        <v>0</v>
      </c>
      <c r="AV49" s="120">
        <v>0</v>
      </c>
      <c r="AW49" s="120">
        <v>281</v>
      </c>
      <c r="AX49" s="120">
        <v>555</v>
      </c>
      <c r="AY49" s="120">
        <v>0</v>
      </c>
      <c r="AZ49" s="120">
        <v>0</v>
      </c>
      <c r="BA49" s="120">
        <v>0</v>
      </c>
      <c r="BB49" s="267">
        <v>0</v>
      </c>
      <c r="BC49" s="120">
        <v>15788</v>
      </c>
      <c r="BD49" s="120">
        <v>15734</v>
      </c>
      <c r="BE49" s="120">
        <v>0</v>
      </c>
      <c r="BF49" s="120">
        <v>51577</v>
      </c>
      <c r="BG49" s="120">
        <v>452008</v>
      </c>
      <c r="BH49" s="120">
        <f t="shared" ref="BH49" si="583">SUM(AE49:BG49)</f>
        <v>1329362</v>
      </c>
      <c r="BI49" s="125">
        <f t="shared" ref="BI49" si="584">AD49+BH49</f>
        <v>3680256</v>
      </c>
      <c r="BJ49" s="268">
        <v>42758</v>
      </c>
      <c r="BK49" s="124">
        <f t="shared" ref="BK49" si="585">BI49-BJ49</f>
        <v>3637498</v>
      </c>
    </row>
    <row r="50" spans="1:65" s="41" customFormat="1">
      <c r="A50" s="134" t="s">
        <v>137</v>
      </c>
      <c r="B50" s="210" t="s">
        <v>418</v>
      </c>
      <c r="C50" s="266">
        <v>231213</v>
      </c>
      <c r="D50" s="120">
        <v>134065</v>
      </c>
      <c r="E50" s="120">
        <v>0</v>
      </c>
      <c r="F50" s="120">
        <v>25482</v>
      </c>
      <c r="G50" s="120">
        <v>17998</v>
      </c>
      <c r="H50" s="120">
        <v>0</v>
      </c>
      <c r="I50" s="120">
        <v>0</v>
      </c>
      <c r="J50" s="120">
        <v>633</v>
      </c>
      <c r="K50" s="120">
        <v>162</v>
      </c>
      <c r="L50" s="120">
        <v>4577</v>
      </c>
      <c r="M50" s="120">
        <v>4760</v>
      </c>
      <c r="N50" s="120">
        <v>38</v>
      </c>
      <c r="O50" s="120">
        <v>927</v>
      </c>
      <c r="P50" s="120">
        <v>22732</v>
      </c>
      <c r="Q50" s="120">
        <v>0</v>
      </c>
      <c r="R50" s="120">
        <v>768</v>
      </c>
      <c r="S50" s="120">
        <v>0</v>
      </c>
      <c r="T50" s="120">
        <v>0</v>
      </c>
      <c r="U50" s="120">
        <v>0</v>
      </c>
      <c r="V50" s="267">
        <v>875</v>
      </c>
      <c r="W50" s="120">
        <v>0</v>
      </c>
      <c r="X50" s="120">
        <v>0</v>
      </c>
      <c r="Y50" s="120">
        <v>1318</v>
      </c>
      <c r="Z50" s="120">
        <v>694</v>
      </c>
      <c r="AA50" s="120">
        <v>382</v>
      </c>
      <c r="AB50" s="120">
        <v>45</v>
      </c>
      <c r="AC50" s="267">
        <v>0</v>
      </c>
      <c r="AD50" s="121">
        <f t="shared" ref="AD50" si="586">SUM(C50:AC50)</f>
        <v>446669</v>
      </c>
      <c r="AE50" s="120">
        <v>629</v>
      </c>
      <c r="AF50" s="120">
        <v>1266</v>
      </c>
      <c r="AG50" s="120">
        <v>724</v>
      </c>
      <c r="AH50" s="120">
        <v>0</v>
      </c>
      <c r="AI50" s="120">
        <v>0</v>
      </c>
      <c r="AJ50" s="120">
        <v>3</v>
      </c>
      <c r="AK50" s="120">
        <v>38514</v>
      </c>
      <c r="AL50" s="120">
        <v>34054</v>
      </c>
      <c r="AM50" s="120">
        <v>0</v>
      </c>
      <c r="AN50" s="120">
        <v>1698</v>
      </c>
      <c r="AO50" s="267">
        <v>88821</v>
      </c>
      <c r="AP50" s="120">
        <v>24704</v>
      </c>
      <c r="AQ50" s="267">
        <v>7</v>
      </c>
      <c r="AR50" s="120">
        <v>0</v>
      </c>
      <c r="AS50" s="120">
        <v>0</v>
      </c>
      <c r="AT50" s="120">
        <v>0</v>
      </c>
      <c r="AU50" s="120">
        <v>0</v>
      </c>
      <c r="AV50" s="120">
        <v>0</v>
      </c>
      <c r="AW50" s="120">
        <v>0</v>
      </c>
      <c r="AX50" s="120">
        <v>133</v>
      </c>
      <c r="AY50" s="120">
        <v>0</v>
      </c>
      <c r="AZ50" s="120">
        <v>0</v>
      </c>
      <c r="BA50" s="120">
        <v>0</v>
      </c>
      <c r="BB50" s="267">
        <v>0</v>
      </c>
      <c r="BC50" s="120">
        <v>3789</v>
      </c>
      <c r="BD50" s="120">
        <v>3776</v>
      </c>
      <c r="BE50" s="120">
        <v>0</v>
      </c>
      <c r="BF50" s="120">
        <v>12378</v>
      </c>
      <c r="BG50" s="120">
        <v>108482</v>
      </c>
      <c r="BH50" s="120">
        <f t="shared" ref="BH50" si="587">SUM(AE50:BG50)</f>
        <v>318978</v>
      </c>
      <c r="BI50" s="125">
        <f t="shared" ref="BI50" si="588">AD50+BH50</f>
        <v>765647</v>
      </c>
      <c r="BJ50" s="268">
        <v>10259</v>
      </c>
      <c r="BK50" s="124">
        <f t="shared" ref="BK50" si="589">BI50-BJ50</f>
        <v>755388</v>
      </c>
      <c r="BM50" s="211"/>
    </row>
    <row r="51" spans="1:65">
      <c r="A51" s="128"/>
      <c r="B51" s="12" t="s">
        <v>425</v>
      </c>
      <c r="C51" s="9">
        <f>IF('Upto Month COPPY'!$F$4="",0,'Upto Month COPPY'!$F$4)</f>
        <v>215205</v>
      </c>
      <c r="D51" s="9">
        <f>IF('Upto Month COPPY'!$F$5="",0,'Upto Month COPPY'!$F$5)</f>
        <v>115060</v>
      </c>
      <c r="E51" s="9">
        <f>IF('Upto Month COPPY'!$F$6="",0,'Upto Month COPPY'!$F$6)</f>
        <v>70</v>
      </c>
      <c r="F51" s="9">
        <f>IF('Upto Month COPPY'!$F$7="",0,'Upto Month COPPY'!$F$7)</f>
        <v>20139</v>
      </c>
      <c r="G51" s="9">
        <f>IF('Upto Month COPPY'!$F$8="",0,'Upto Month COPPY'!$F$8)</f>
        <v>16518</v>
      </c>
      <c r="H51" s="9">
        <f>IF('Upto Month COPPY'!$F$9="",0,'Upto Month COPPY'!$F$9)</f>
        <v>0</v>
      </c>
      <c r="I51" s="9">
        <f>IF('Upto Month COPPY'!$F$10="",0,'Upto Month COPPY'!$F$10)</f>
        <v>0</v>
      </c>
      <c r="J51" s="9">
        <f>IF('Upto Month COPPY'!$F$11="",0,'Upto Month COPPY'!$F$11)</f>
        <v>1595</v>
      </c>
      <c r="K51" s="9">
        <f>IF('Upto Month COPPY'!$F$12="",0,'Upto Month COPPY'!$F$12)</f>
        <v>216</v>
      </c>
      <c r="L51" s="9">
        <f>IF('Upto Month COPPY'!$F$13="",0,'Upto Month COPPY'!$F$13)</f>
        <v>8830</v>
      </c>
      <c r="M51" s="9">
        <f>IF('Upto Month COPPY'!$F$14="",0,'Upto Month COPPY'!$F$14)</f>
        <v>4302</v>
      </c>
      <c r="N51" s="9">
        <f>IF('Upto Month COPPY'!$F$15="",0,'Upto Month COPPY'!$F$15)</f>
        <v>10</v>
      </c>
      <c r="O51" s="9">
        <f>IF('Upto Month COPPY'!$F$16="",0,'Upto Month COPPY'!$F$16)</f>
        <v>1247</v>
      </c>
      <c r="P51" s="9">
        <f>IF('Upto Month COPPY'!$F$17="",0,'Upto Month COPPY'!$F$17)</f>
        <v>43746</v>
      </c>
      <c r="Q51" s="9">
        <f>IF('Upto Month COPPY'!$F$18="",0,'Upto Month COPPY'!$F$18)</f>
        <v>0</v>
      </c>
      <c r="R51" s="9">
        <f>IF('Upto Month COPPY'!$F$21="",0,'Upto Month COPPY'!$F$21)</f>
        <v>1652</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1609</v>
      </c>
      <c r="Z51" s="9">
        <f>IF('Upto Month COPPY'!$F$43="",0,'Upto Month COPPY'!$F$43)</f>
        <v>464</v>
      </c>
      <c r="AA51" s="9">
        <f>IF('Upto Month COPPY'!$F$44="",0,'Upto Month COPPY'!$F$44)</f>
        <v>386</v>
      </c>
      <c r="AB51" s="9">
        <f>IF('Upto Month COPPY'!$F$48="",0,'Upto Month COPPY'!$F$48)</f>
        <v>0</v>
      </c>
      <c r="AC51" s="9">
        <f>IF('Upto Month COPPY'!$F$51="",0,'Upto Month COPPY'!$F$51)</f>
        <v>0</v>
      </c>
      <c r="AD51" s="221">
        <f t="shared" ref="AD51:AD52" si="590">SUM(C51:AC51)</f>
        <v>431049</v>
      </c>
      <c r="AE51" s="9">
        <v>629</v>
      </c>
      <c r="AF51" s="9">
        <f>IF('Upto Month COPPY'!$F$20="",0,'Upto Month COPPY'!$F$20)</f>
        <v>815</v>
      </c>
      <c r="AG51" s="9">
        <f>IF('Upto Month COPPY'!$F$22="",0,'Upto Month COPPY'!$F$22)</f>
        <v>1166</v>
      </c>
      <c r="AH51" s="9">
        <f>IF('Upto Month COPPY'!$F$23="",0,'Upto Month COPPY'!$F$23)</f>
        <v>0</v>
      </c>
      <c r="AI51" s="9">
        <f>IF('Upto Month COPPY'!$F$24="",0,'Upto Month COPPY'!$F$24)</f>
        <v>0</v>
      </c>
      <c r="AJ51" s="9">
        <f>IF('Upto Month COPPY'!$F$25="",0,'Upto Month COPPY'!$F$25)</f>
        <v>19</v>
      </c>
      <c r="AK51" s="9">
        <f>IF('Upto Month COPPY'!$F$28="",0,'Upto Month COPPY'!$F$28)</f>
        <v>82954</v>
      </c>
      <c r="AL51" s="9">
        <f>IF('Upto Month COPPY'!$F$29="",0,'Upto Month COPPY'!$F$29)</f>
        <v>91653</v>
      </c>
      <c r="AM51" s="9">
        <f>IF('Upto Month COPPY'!$F$31="",0,'Upto Month COPPY'!$F$31)</f>
        <v>0</v>
      </c>
      <c r="AN51" s="9">
        <f>IF('Upto Month COPPY'!$F$32="",0,'Upto Month COPPY'!$F$32)</f>
        <v>143</v>
      </c>
      <c r="AO51" s="9">
        <f>IF('Upto Month COPPY'!$F$33="",0,'Upto Month COPPY'!$F$33)</f>
        <v>90723</v>
      </c>
      <c r="AP51" s="9">
        <f>IF('Upto Month COPPY'!$F$34="",0,'Upto Month COPPY'!$F$34)</f>
        <v>39106</v>
      </c>
      <c r="AQ51" s="9">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5019</v>
      </c>
      <c r="BD51" s="9">
        <f>IF('Upto Month COPPY'!$F$54="",0,'Upto Month COPPY'!$F$54)</f>
        <v>5019</v>
      </c>
      <c r="BE51" s="9">
        <f>IF('Upto Month COPPY'!$F$55="",0,'Upto Month COPPY'!$F$55)</f>
        <v>0</v>
      </c>
      <c r="BF51" s="9">
        <f>IF('Upto Month COPPY'!$F$56="",0,'Upto Month COPPY'!$F$56)</f>
        <v>10959</v>
      </c>
      <c r="BG51" s="9">
        <f>IF('Upto Month COPPY'!$F$58="",0,'Upto Month COPPY'!$F$58)</f>
        <v>16335</v>
      </c>
      <c r="BH51" s="9">
        <f>SUM(AE51:BG51)</f>
        <v>344540</v>
      </c>
      <c r="BI51" s="274">
        <f>AD51+BH51</f>
        <v>775589</v>
      </c>
      <c r="BJ51" s="9">
        <f>IF('Upto Month COPPY'!$F$60="",0,'Upto Month COPPY'!$F$60)</f>
        <v>5282</v>
      </c>
      <c r="BK51" s="49">
        <f t="shared" ref="BK51:BK52" si="591">BI51-BJ51</f>
        <v>770307</v>
      </c>
      <c r="BL51">
        <f>'Upto Month COPPY'!$F$61</f>
        <v>770558</v>
      </c>
      <c r="BM51" s="30">
        <f t="shared" ref="BM51:BM55" si="592">BK51-AD51</f>
        <v>339258</v>
      </c>
    </row>
    <row r="52" spans="1:65">
      <c r="A52" s="128"/>
      <c r="B52" s="180" t="s">
        <v>426</v>
      </c>
      <c r="C52" s="9">
        <f>IF('Upto Month Current'!$F$4="",0,'Upto Month Current'!$F$4)</f>
        <v>227168</v>
      </c>
      <c r="D52" s="9">
        <f>IF('Upto Month Current'!$F$5="",0,'Upto Month Current'!$F$5)</f>
        <v>138964</v>
      </c>
      <c r="E52" s="9">
        <f>IF('Upto Month Current'!$F$6="",0,'Upto Month Current'!$F$6)</f>
        <v>61</v>
      </c>
      <c r="F52" s="9">
        <f>IF('Upto Month Current'!$F$7="",0,'Upto Month Current'!$F$7)</f>
        <v>21307</v>
      </c>
      <c r="G52" s="9">
        <f>IF('Upto Month Current'!$F$8="",0,'Upto Month Current'!$F$8)</f>
        <v>18600</v>
      </c>
      <c r="H52" s="9">
        <f>IF('Upto Month Current'!$F$9="",0,'Upto Month Current'!$F$9)</f>
        <v>0</v>
      </c>
      <c r="I52" s="9">
        <f>IF('Upto Month Current'!$F$10="",0,'Upto Month Current'!$F$10)</f>
        <v>0</v>
      </c>
      <c r="J52" s="9">
        <f>IF('Upto Month Current'!$F$11="",0,'Upto Month Current'!$F$11)</f>
        <v>667</v>
      </c>
      <c r="K52" s="9">
        <f>IF('Upto Month Current'!$F$12="",0,'Upto Month Current'!$F$12)</f>
        <v>25</v>
      </c>
      <c r="L52" s="9">
        <f>IF('Upto Month Current'!$F$13="",0,'Upto Month Current'!$F$13)</f>
        <v>5882</v>
      </c>
      <c r="M52" s="9">
        <f>IF('Upto Month Current'!$F$14="",0,'Upto Month Current'!$F$14)</f>
        <v>4542</v>
      </c>
      <c r="N52" s="9">
        <f>IF('Upto Month Current'!$F$15="",0,'Upto Month Current'!$F$15)</f>
        <v>32</v>
      </c>
      <c r="O52" s="9">
        <f>IF('Upto Month Current'!$F$16="",0,'Upto Month Current'!$F$16)</f>
        <v>457</v>
      </c>
      <c r="P52" s="9">
        <f>IF('Upto Month Current'!$F$17="",0,'Upto Month Current'!$F$17)</f>
        <v>32979</v>
      </c>
      <c r="Q52" s="9">
        <f>IF('Upto Month Current'!$F$18="",0,'Upto Month Current'!$F$18)</f>
        <v>0</v>
      </c>
      <c r="R52" s="9">
        <f>IF('Upto Month Current'!$F$21="",0,'Upto Month Current'!$F$21)</f>
        <v>276</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1193</v>
      </c>
      <c r="Z52" s="9">
        <f>IF('Upto Month Current'!$F$43="",0,'Upto Month Current'!$F$43)</f>
        <v>347</v>
      </c>
      <c r="AA52" s="9">
        <f>IF('Upto Month Current'!$F$44="",0,'Upto Month Current'!$F$44)</f>
        <v>152</v>
      </c>
      <c r="AB52" s="9">
        <f>IF('Upto Month Current'!$F$48="",0,'Upto Month Current'!$F$48)</f>
        <v>0</v>
      </c>
      <c r="AC52" s="9">
        <f>IF('Upto Month Current'!$F$51="",0,'Upto Month Current'!$F$51)</f>
        <v>561</v>
      </c>
      <c r="AD52" s="221">
        <f t="shared" si="590"/>
        <v>453213</v>
      </c>
      <c r="AE52" s="9">
        <f>IF('Upto Month Current'!$F$19="",0,'Upto Month Current'!$F$19)</f>
        <v>412</v>
      </c>
      <c r="AF52" s="9">
        <f>IF('Upto Month Current'!$F$20="",0,'Upto Month Current'!$F$20)</f>
        <v>284</v>
      </c>
      <c r="AG52" s="9">
        <f>IF('Upto Month Current'!$F$22="",0,'Upto Month Current'!$F$22)</f>
        <v>2985</v>
      </c>
      <c r="AH52" s="9">
        <f>IF('Upto Month Current'!$F$23="",0,'Upto Month Current'!$F$23)</f>
        <v>0</v>
      </c>
      <c r="AI52" s="9">
        <f>IF('Upto Month Current'!$F$24="",0,'Upto Month Current'!$F$24)</f>
        <v>0</v>
      </c>
      <c r="AJ52" s="9">
        <f>IF('Upto Month Current'!$F$25="",0,'Upto Month Current'!$F$25)</f>
        <v>0</v>
      </c>
      <c r="AK52" s="9">
        <f>IF('Upto Month Current'!$F$28="",0,'Upto Month Current'!$F$28)</f>
        <v>41211</v>
      </c>
      <c r="AL52" s="9">
        <f>IF('Upto Month Current'!$F$29="",0,'Upto Month Current'!$F$29)</f>
        <v>56596</v>
      </c>
      <c r="AM52" s="9">
        <f>IF('Upto Month Current'!$F$31="",0,'Upto Month Current'!$F$31)</f>
        <v>0</v>
      </c>
      <c r="AN52" s="9">
        <f>IF('Upto Month Current'!$F$32="",0,'Upto Month Current'!$F$32)</f>
        <v>321</v>
      </c>
      <c r="AO52" s="9">
        <f>IF('Upto Month Current'!$F$33="",0,'Upto Month Current'!$F$33)</f>
        <v>146935</v>
      </c>
      <c r="AP52" s="9">
        <f>IF('Upto Month Current'!$F$34="",0,'Upto Month Current'!$F$34)</f>
        <v>42785</v>
      </c>
      <c r="AQ52" s="9">
        <f>IF('Upto Month Current'!$F$36="",0,'Upto Month Current'!$F$36)</f>
        <v>2</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532</v>
      </c>
      <c r="BC52" s="9">
        <f>IF('Upto Month Current'!$F$53="",0,'Upto Month Current'!$F$53)</f>
        <v>4938</v>
      </c>
      <c r="BD52" s="9">
        <f>IF('Upto Month Current'!$F$54="",0,'Upto Month Current'!$F$54)</f>
        <v>4938</v>
      </c>
      <c r="BE52" s="9">
        <f>IF('Upto Month Current'!$F$55="",0,'Upto Month Current'!$F$55)</f>
        <v>0</v>
      </c>
      <c r="BF52" s="9">
        <f>IF('Upto Month Current'!$F$56="",0,'Upto Month Current'!$F$56)</f>
        <v>17941</v>
      </c>
      <c r="BG52" s="9">
        <f>IF('Upto Month Current'!$F$58="",0,'Upto Month Current'!$F$58)</f>
        <v>228791</v>
      </c>
      <c r="BH52" s="9">
        <f>SUM(AE52:BG52)</f>
        <v>548671</v>
      </c>
      <c r="BI52" s="274">
        <f>AD52+BH52</f>
        <v>1001884</v>
      </c>
      <c r="BJ52" s="9">
        <f>IF('Upto Month Current'!$F$60="",0,'Upto Month Current'!$F$60)</f>
        <v>17613</v>
      </c>
      <c r="BK52" s="49">
        <f t="shared" si="591"/>
        <v>984271</v>
      </c>
      <c r="BL52">
        <f>'Upto Month Current'!$F$61</f>
        <v>984270</v>
      </c>
      <c r="BM52" s="30">
        <f t="shared" si="592"/>
        <v>531058</v>
      </c>
    </row>
    <row r="53" spans="1:65">
      <c r="A53" s="128"/>
      <c r="B53" s="5" t="s">
        <v>130</v>
      </c>
      <c r="C53" s="11">
        <f>C52-C50</f>
        <v>-4045</v>
      </c>
      <c r="D53" s="11">
        <f t="shared" ref="D53" si="593">D52-D50</f>
        <v>4899</v>
      </c>
      <c r="E53" s="11">
        <f t="shared" ref="E53" si="594">E52-E50</f>
        <v>61</v>
      </c>
      <c r="F53" s="11">
        <f t="shared" ref="F53" si="595">F52-F50</f>
        <v>-4175</v>
      </c>
      <c r="G53" s="11">
        <f t="shared" ref="G53" si="596">G52-G50</f>
        <v>602</v>
      </c>
      <c r="H53" s="11">
        <f t="shared" ref="H53" si="597">H52-H50</f>
        <v>0</v>
      </c>
      <c r="I53" s="11">
        <f t="shared" ref="I53" si="598">I52-I50</f>
        <v>0</v>
      </c>
      <c r="J53" s="11">
        <f t="shared" ref="J53" si="599">J52-J50</f>
        <v>34</v>
      </c>
      <c r="K53" s="11">
        <f t="shared" ref="K53" si="600">K52-K50</f>
        <v>-137</v>
      </c>
      <c r="L53" s="11">
        <f t="shared" ref="L53" si="601">L52-L50</f>
        <v>1305</v>
      </c>
      <c r="M53" s="11">
        <f t="shared" ref="M53" si="602">M52-M50</f>
        <v>-218</v>
      </c>
      <c r="N53" s="11">
        <f t="shared" ref="N53" si="603">N52-N50</f>
        <v>-6</v>
      </c>
      <c r="O53" s="11">
        <f t="shared" ref="O53" si="604">O52-O50</f>
        <v>-470</v>
      </c>
      <c r="P53" s="11">
        <f t="shared" ref="P53" si="605">P52-P50</f>
        <v>10247</v>
      </c>
      <c r="Q53" s="11">
        <f t="shared" ref="Q53" si="606">Q52-Q50</f>
        <v>0</v>
      </c>
      <c r="R53" s="11">
        <f t="shared" ref="R53" si="607">R52-R50</f>
        <v>-492</v>
      </c>
      <c r="S53" s="11">
        <f t="shared" ref="S53" si="608">S52-S50</f>
        <v>0</v>
      </c>
      <c r="T53" s="11">
        <f t="shared" ref="T53:U53" si="609">T52-T50</f>
        <v>0</v>
      </c>
      <c r="U53" s="11">
        <f t="shared" si="609"/>
        <v>0</v>
      </c>
      <c r="V53" s="9">
        <f t="shared" ref="V53" si="610">V52-V50</f>
        <v>-875</v>
      </c>
      <c r="W53" s="11">
        <f t="shared" ref="W53" si="611">W52-W50</f>
        <v>0</v>
      </c>
      <c r="X53" s="11">
        <f t="shared" ref="X53" si="612">X52-X50</f>
        <v>0</v>
      </c>
      <c r="Y53" s="11">
        <f t="shared" ref="Y53" si="613">Y52-Y50</f>
        <v>-125</v>
      </c>
      <c r="Z53" s="11">
        <f t="shared" ref="Z53" si="614">Z52-Z50</f>
        <v>-347</v>
      </c>
      <c r="AA53" s="11">
        <f t="shared" ref="AA53:AD53" si="615">AA52-AA50</f>
        <v>-230</v>
      </c>
      <c r="AB53" s="11">
        <f t="shared" ref="AB53" si="616">AB52-AB50</f>
        <v>-45</v>
      </c>
      <c r="AC53" s="9">
        <f t="shared" si="615"/>
        <v>561</v>
      </c>
      <c r="AD53" s="216">
        <f t="shared" si="615"/>
        <v>6544</v>
      </c>
      <c r="AE53" s="11">
        <f t="shared" ref="AE53" si="617">AE52-AE50</f>
        <v>-217</v>
      </c>
      <c r="AF53" s="11">
        <f t="shared" ref="AF53" si="618">AF52-AF50</f>
        <v>-982</v>
      </c>
      <c r="AG53" s="11">
        <f t="shared" ref="AG53" si="619">AG52-AG50</f>
        <v>2261</v>
      </c>
      <c r="AH53" s="11">
        <f t="shared" ref="AH53" si="620">AH52-AH50</f>
        <v>0</v>
      </c>
      <c r="AI53" s="11">
        <f t="shared" ref="AI53" si="621">AI52-AI50</f>
        <v>0</v>
      </c>
      <c r="AJ53" s="11">
        <f t="shared" ref="AJ53" si="622">AJ52-AJ50</f>
        <v>-3</v>
      </c>
      <c r="AK53" s="11">
        <f t="shared" ref="AK53" si="623">AK52-AK50</f>
        <v>2697</v>
      </c>
      <c r="AL53" s="11">
        <f t="shared" ref="AL53" si="624">AL52-AL50</f>
        <v>22542</v>
      </c>
      <c r="AM53" s="11">
        <f t="shared" ref="AM53" si="625">AM52-AM50</f>
        <v>0</v>
      </c>
      <c r="AN53" s="11">
        <f t="shared" ref="AN53" si="626">AN52-AN50</f>
        <v>-1377</v>
      </c>
      <c r="AO53" s="9">
        <f t="shared" ref="AO53" si="627">AO52-AO50</f>
        <v>58114</v>
      </c>
      <c r="AP53" s="11">
        <f t="shared" ref="AP53" si="628">AP52-AP50</f>
        <v>18081</v>
      </c>
      <c r="AQ53" s="9">
        <f t="shared" ref="AQ53" si="629">AQ52-AQ50</f>
        <v>-5</v>
      </c>
      <c r="AR53" s="11">
        <f t="shared" ref="AR53" si="630">AR52-AR50</f>
        <v>0</v>
      </c>
      <c r="AS53" s="11">
        <f t="shared" ref="AS53" si="631">AS52-AS50</f>
        <v>0</v>
      </c>
      <c r="AT53" s="11">
        <f t="shared" ref="AT53" si="632">AT52-AT50</f>
        <v>0</v>
      </c>
      <c r="AU53" s="11">
        <f t="shared" ref="AU53" si="633">AU52-AU50</f>
        <v>0</v>
      </c>
      <c r="AV53" s="11">
        <f t="shared" ref="AV53" si="634">AV52-AV50</f>
        <v>0</v>
      </c>
      <c r="AW53" s="11">
        <f t="shared" ref="AW53" si="635">AW52-AW50</f>
        <v>0</v>
      </c>
      <c r="AX53" s="11">
        <f t="shared" ref="AX53" si="636">AX52-AX50</f>
        <v>-133</v>
      </c>
      <c r="AY53" s="11">
        <f t="shared" ref="AY53" si="637">AY52-AY50</f>
        <v>0</v>
      </c>
      <c r="AZ53" s="11">
        <f t="shared" ref="AZ53" si="638">AZ52-AZ50</f>
        <v>0</v>
      </c>
      <c r="BA53" s="11">
        <f t="shared" ref="BA53" si="639">BA52-BA50</f>
        <v>0</v>
      </c>
      <c r="BB53" s="9">
        <f t="shared" ref="BB53" si="640">BB52-BB50</f>
        <v>532</v>
      </c>
      <c r="BC53" s="11">
        <f t="shared" ref="BC53" si="641">BC52-BC50</f>
        <v>1149</v>
      </c>
      <c r="BD53" s="11">
        <f t="shared" ref="BD53" si="642">BD52-BD50</f>
        <v>1162</v>
      </c>
      <c r="BE53" s="11">
        <f t="shared" ref="BE53" si="643">BE52-BE50</f>
        <v>0</v>
      </c>
      <c r="BF53" s="11">
        <f t="shared" ref="BF53" si="644">BF52-BF50</f>
        <v>5563</v>
      </c>
      <c r="BG53" s="11">
        <f t="shared" ref="BG53:BH53" si="645">BG52-BG50</f>
        <v>120309</v>
      </c>
      <c r="BH53" s="9">
        <f t="shared" si="645"/>
        <v>229693</v>
      </c>
      <c r="BI53" s="9">
        <f t="shared" ref="BI53" si="646">BI52-BI50</f>
        <v>236237</v>
      </c>
      <c r="BJ53" s="11">
        <f t="shared" ref="BJ53:BK53" si="647">BJ52-BJ50</f>
        <v>7354</v>
      </c>
      <c r="BK53" s="49">
        <f t="shared" si="647"/>
        <v>228883</v>
      </c>
      <c r="BM53" s="30">
        <f t="shared" si="592"/>
        <v>222339</v>
      </c>
    </row>
    <row r="54" spans="1:65">
      <c r="A54" s="128"/>
      <c r="B54" s="5" t="s">
        <v>131</v>
      </c>
      <c r="C54" s="13">
        <f>C53/C50</f>
        <v>-1.7494691042458686E-2</v>
      </c>
      <c r="D54" s="13">
        <f t="shared" ref="D54" si="648">D53/D50</f>
        <v>3.6541975907209187E-2</v>
      </c>
      <c r="E54" s="13" t="e">
        <f t="shared" ref="E54" si="649">E53/E50</f>
        <v>#DIV/0!</v>
      </c>
      <c r="F54" s="13">
        <f t="shared" ref="F54" si="650">F53/F50</f>
        <v>-0.16384114276744369</v>
      </c>
      <c r="G54" s="13">
        <f t="shared" ref="G54" si="651">G53/G50</f>
        <v>3.3448160906767416E-2</v>
      </c>
      <c r="H54" s="13" t="e">
        <f t="shared" ref="H54" si="652">H53/H50</f>
        <v>#DIV/0!</v>
      </c>
      <c r="I54" s="13" t="e">
        <f t="shared" ref="I54" si="653">I53/I50</f>
        <v>#DIV/0!</v>
      </c>
      <c r="J54" s="13">
        <f t="shared" ref="J54" si="654">J53/J50</f>
        <v>5.3712480252764615E-2</v>
      </c>
      <c r="K54" s="13">
        <f t="shared" ref="K54" si="655">K53/K50</f>
        <v>-0.84567901234567899</v>
      </c>
      <c r="L54" s="13">
        <f t="shared" ref="L54" si="656">L53/L50</f>
        <v>0.28512125846624425</v>
      </c>
      <c r="M54" s="13">
        <f t="shared" ref="M54" si="657">M53/M50</f>
        <v>-4.5798319327731089E-2</v>
      </c>
      <c r="N54" s="13">
        <f t="shared" ref="N54" si="658">N53/N50</f>
        <v>-0.15789473684210525</v>
      </c>
      <c r="O54" s="13">
        <f t="shared" ref="O54" si="659">O53/O50</f>
        <v>-0.50701186623516725</v>
      </c>
      <c r="P54" s="13">
        <f t="shared" ref="P54" si="660">P53/P50</f>
        <v>0.45077423895829666</v>
      </c>
      <c r="Q54" s="13" t="e">
        <f t="shared" ref="Q54" si="661">Q53/Q50</f>
        <v>#DIV/0!</v>
      </c>
      <c r="R54" s="13">
        <f t="shared" ref="R54" si="662">R53/R50</f>
        <v>-0.640625</v>
      </c>
      <c r="S54" s="13" t="e">
        <f t="shared" ref="S54" si="663">S53/S50</f>
        <v>#DIV/0!</v>
      </c>
      <c r="T54" s="13" t="e">
        <f t="shared" ref="T54:U54" si="664">T53/T50</f>
        <v>#DIV/0!</v>
      </c>
      <c r="U54" s="13" t="e">
        <f t="shared" si="664"/>
        <v>#DIV/0!</v>
      </c>
      <c r="V54" s="160">
        <f t="shared" ref="V54" si="665">V53/V50</f>
        <v>-1</v>
      </c>
      <c r="W54" s="13" t="e">
        <f t="shared" ref="W54" si="666">W53/W50</f>
        <v>#DIV/0!</v>
      </c>
      <c r="X54" s="13" t="e">
        <f t="shared" ref="X54" si="667">X53/X50</f>
        <v>#DIV/0!</v>
      </c>
      <c r="Y54" s="13">
        <f t="shared" ref="Y54" si="668">Y53/Y50</f>
        <v>-9.4840667678300461E-2</v>
      </c>
      <c r="Z54" s="13">
        <f t="shared" ref="Z54" si="669">Z53/Z50</f>
        <v>-0.5</v>
      </c>
      <c r="AA54" s="13">
        <f t="shared" ref="AA54:AD54" si="670">AA53/AA50</f>
        <v>-0.60209424083769636</v>
      </c>
      <c r="AB54" s="13">
        <f t="shared" ref="AB54" si="671">AB53/AB50</f>
        <v>-1</v>
      </c>
      <c r="AC54" s="160" t="e">
        <f t="shared" si="670"/>
        <v>#DIV/0!</v>
      </c>
      <c r="AD54" s="217">
        <f t="shared" si="670"/>
        <v>1.4650669735307353E-2</v>
      </c>
      <c r="AE54" s="13">
        <f t="shared" ref="AE54" si="672">AE53/AE50</f>
        <v>-0.34499205087440382</v>
      </c>
      <c r="AF54" s="13">
        <f t="shared" ref="AF54" si="673">AF53/AF50</f>
        <v>-0.77567140600315954</v>
      </c>
      <c r="AG54" s="13">
        <f t="shared" ref="AG54" si="674">AG53/AG50</f>
        <v>3.1229281767955803</v>
      </c>
      <c r="AH54" s="13" t="e">
        <f t="shared" ref="AH54" si="675">AH53/AH50</f>
        <v>#DIV/0!</v>
      </c>
      <c r="AI54" s="13" t="e">
        <f t="shared" ref="AI54" si="676">AI53/AI50</f>
        <v>#DIV/0!</v>
      </c>
      <c r="AJ54" s="13">
        <f t="shared" ref="AJ54" si="677">AJ53/AJ50</f>
        <v>-1</v>
      </c>
      <c r="AK54" s="13">
        <f t="shared" ref="AK54" si="678">AK53/AK50</f>
        <v>7.002648387599314E-2</v>
      </c>
      <c r="AL54" s="13">
        <f t="shared" ref="AL54" si="679">AL53/AL50</f>
        <v>0.66194866975979327</v>
      </c>
      <c r="AM54" s="13" t="e">
        <f t="shared" ref="AM54" si="680">AM53/AM50</f>
        <v>#DIV/0!</v>
      </c>
      <c r="AN54" s="13">
        <f t="shared" ref="AN54" si="681">AN53/AN50</f>
        <v>-0.81095406360424027</v>
      </c>
      <c r="AO54" s="160">
        <f t="shared" ref="AO54" si="682">AO53/AO50</f>
        <v>0.65428220803638781</v>
      </c>
      <c r="AP54" s="13">
        <f t="shared" ref="AP54" si="683">AP53/AP50</f>
        <v>0.73190576424870468</v>
      </c>
      <c r="AQ54" s="160">
        <f t="shared" ref="AQ54" si="684">AQ53/AQ50</f>
        <v>-0.7142857142857143</v>
      </c>
      <c r="AR54" s="13" t="e">
        <f t="shared" ref="AR54" si="685">AR53/AR50</f>
        <v>#DIV/0!</v>
      </c>
      <c r="AS54" s="13" t="e">
        <f t="shared" ref="AS54" si="686">AS53/AS50</f>
        <v>#DIV/0!</v>
      </c>
      <c r="AT54" s="13" t="e">
        <f t="shared" ref="AT54" si="687">AT53/AT50</f>
        <v>#DIV/0!</v>
      </c>
      <c r="AU54" s="13" t="e">
        <f t="shared" ref="AU54" si="688">AU53/AU50</f>
        <v>#DIV/0!</v>
      </c>
      <c r="AV54" s="13" t="e">
        <f t="shared" ref="AV54" si="689">AV53/AV50</f>
        <v>#DIV/0!</v>
      </c>
      <c r="AW54" s="13" t="e">
        <f t="shared" ref="AW54" si="690">AW53/AW50</f>
        <v>#DIV/0!</v>
      </c>
      <c r="AX54" s="13">
        <f t="shared" ref="AX54" si="691">AX53/AX50</f>
        <v>-1</v>
      </c>
      <c r="AY54" s="13" t="e">
        <f t="shared" ref="AY54" si="692">AY53/AY50</f>
        <v>#DIV/0!</v>
      </c>
      <c r="AZ54" s="13" t="e">
        <f t="shared" ref="AZ54" si="693">AZ53/AZ50</f>
        <v>#DIV/0!</v>
      </c>
      <c r="BA54" s="13" t="e">
        <f t="shared" ref="BA54" si="694">BA53/BA50</f>
        <v>#DIV/0!</v>
      </c>
      <c r="BB54" s="160" t="e">
        <f t="shared" ref="BB54" si="695">BB53/BB50</f>
        <v>#DIV/0!</v>
      </c>
      <c r="BC54" s="13">
        <f t="shared" ref="BC54" si="696">BC53/BC50</f>
        <v>0.30324623911322246</v>
      </c>
      <c r="BD54" s="13">
        <f t="shared" ref="BD54" si="697">BD53/BD50</f>
        <v>0.30773305084745761</v>
      </c>
      <c r="BE54" s="13" t="e">
        <f t="shared" ref="BE54" si="698">BE53/BE50</f>
        <v>#DIV/0!</v>
      </c>
      <c r="BF54" s="13">
        <f t="shared" ref="BF54" si="699">BF53/BF50</f>
        <v>0.44942640168040071</v>
      </c>
      <c r="BG54" s="13">
        <f t="shared" ref="BG54:BH54" si="700">BG53/BG50</f>
        <v>1.1090226950093103</v>
      </c>
      <c r="BH54" s="160">
        <f t="shared" si="700"/>
        <v>0.72009041375894267</v>
      </c>
      <c r="BI54" s="160">
        <f t="shared" ref="BI54" si="701">BI53/BI50</f>
        <v>0.30854558301671658</v>
      </c>
      <c r="BJ54" s="13">
        <f t="shared" ref="BJ54:BK54" si="702">BJ53/BJ50</f>
        <v>0.71683399941514769</v>
      </c>
      <c r="BK54" s="50">
        <f t="shared" si="702"/>
        <v>0.30300057718682322</v>
      </c>
      <c r="BM54" s="160" t="e">
        <f t="shared" ref="BM54" si="703">BM53/BM50</f>
        <v>#DIV/0!</v>
      </c>
    </row>
    <row r="55" spans="1:65">
      <c r="A55" s="128"/>
      <c r="B55" s="5" t="s">
        <v>132</v>
      </c>
      <c r="C55" s="11">
        <f>C52-C51</f>
        <v>11963</v>
      </c>
      <c r="D55" s="11">
        <f t="shared" ref="D55:BK55" si="704">D52-D51</f>
        <v>23904</v>
      </c>
      <c r="E55" s="11">
        <f t="shared" si="704"/>
        <v>-9</v>
      </c>
      <c r="F55" s="11">
        <f t="shared" si="704"/>
        <v>1168</v>
      </c>
      <c r="G55" s="11">
        <f t="shared" si="704"/>
        <v>2082</v>
      </c>
      <c r="H55" s="11">
        <f t="shared" si="704"/>
        <v>0</v>
      </c>
      <c r="I55" s="11">
        <f t="shared" si="704"/>
        <v>0</v>
      </c>
      <c r="J55" s="11">
        <f t="shared" si="704"/>
        <v>-928</v>
      </c>
      <c r="K55" s="11">
        <f t="shared" si="704"/>
        <v>-191</v>
      </c>
      <c r="L55" s="11">
        <f t="shared" si="704"/>
        <v>-2948</v>
      </c>
      <c r="M55" s="11">
        <f t="shared" si="704"/>
        <v>240</v>
      </c>
      <c r="N55" s="11">
        <f t="shared" si="704"/>
        <v>22</v>
      </c>
      <c r="O55" s="11">
        <f t="shared" si="704"/>
        <v>-790</v>
      </c>
      <c r="P55" s="11">
        <f t="shared" si="704"/>
        <v>-10767</v>
      </c>
      <c r="Q55" s="11">
        <f t="shared" si="704"/>
        <v>0</v>
      </c>
      <c r="R55" s="11">
        <f t="shared" si="704"/>
        <v>-1376</v>
      </c>
      <c r="S55" s="11">
        <f t="shared" si="704"/>
        <v>0</v>
      </c>
      <c r="T55" s="11">
        <f t="shared" si="704"/>
        <v>0</v>
      </c>
      <c r="U55" s="11">
        <f t="shared" ref="U55" si="705">U52-U51</f>
        <v>0</v>
      </c>
      <c r="V55" s="9">
        <f t="shared" si="704"/>
        <v>0</v>
      </c>
      <c r="W55" s="11">
        <f t="shared" si="704"/>
        <v>0</v>
      </c>
      <c r="X55" s="11">
        <f t="shared" si="704"/>
        <v>0</v>
      </c>
      <c r="Y55" s="11">
        <f t="shared" si="704"/>
        <v>-416</v>
      </c>
      <c r="Z55" s="11">
        <f t="shared" si="704"/>
        <v>-117</v>
      </c>
      <c r="AA55" s="11">
        <f t="shared" si="704"/>
        <v>-234</v>
      </c>
      <c r="AB55" s="11">
        <f t="shared" ref="AB55" si="706">AB52-AB51</f>
        <v>0</v>
      </c>
      <c r="AC55" s="9">
        <f t="shared" ref="AC55:AD55" si="707">AC52-AC51</f>
        <v>561</v>
      </c>
      <c r="AD55" s="216">
        <f t="shared" si="707"/>
        <v>22164</v>
      </c>
      <c r="AE55" s="11">
        <f t="shared" si="704"/>
        <v>-217</v>
      </c>
      <c r="AF55" s="11">
        <f t="shared" si="704"/>
        <v>-531</v>
      </c>
      <c r="AG55" s="11">
        <f t="shared" si="704"/>
        <v>1819</v>
      </c>
      <c r="AH55" s="11">
        <f t="shared" si="704"/>
        <v>0</v>
      </c>
      <c r="AI55" s="11">
        <f t="shared" si="704"/>
        <v>0</v>
      </c>
      <c r="AJ55" s="11">
        <f t="shared" si="704"/>
        <v>-19</v>
      </c>
      <c r="AK55" s="11">
        <f t="shared" si="704"/>
        <v>-41743</v>
      </c>
      <c r="AL55" s="11">
        <f t="shared" si="704"/>
        <v>-35057</v>
      </c>
      <c r="AM55" s="11">
        <f t="shared" si="704"/>
        <v>0</v>
      </c>
      <c r="AN55" s="11">
        <f t="shared" si="704"/>
        <v>178</v>
      </c>
      <c r="AO55" s="9">
        <f t="shared" si="704"/>
        <v>56212</v>
      </c>
      <c r="AP55" s="11">
        <f t="shared" si="704"/>
        <v>3679</v>
      </c>
      <c r="AQ55" s="9">
        <f t="shared" si="704"/>
        <v>2</v>
      </c>
      <c r="AR55" s="11">
        <f t="shared" si="704"/>
        <v>0</v>
      </c>
      <c r="AS55" s="11">
        <f t="shared" si="704"/>
        <v>0</v>
      </c>
      <c r="AT55" s="11">
        <f t="shared" si="704"/>
        <v>0</v>
      </c>
      <c r="AU55" s="11">
        <f t="shared" si="704"/>
        <v>0</v>
      </c>
      <c r="AV55" s="11">
        <f t="shared" si="704"/>
        <v>0</v>
      </c>
      <c r="AW55" s="11">
        <f t="shared" si="704"/>
        <v>0</v>
      </c>
      <c r="AX55" s="11">
        <f t="shared" si="704"/>
        <v>0</v>
      </c>
      <c r="AY55" s="11">
        <f t="shared" si="704"/>
        <v>0</v>
      </c>
      <c r="AZ55" s="11">
        <f t="shared" si="704"/>
        <v>0</v>
      </c>
      <c r="BA55" s="11">
        <f t="shared" si="704"/>
        <v>0</v>
      </c>
      <c r="BB55" s="9">
        <f t="shared" si="704"/>
        <v>532</v>
      </c>
      <c r="BC55" s="11">
        <f t="shared" si="704"/>
        <v>-81</v>
      </c>
      <c r="BD55" s="11">
        <f t="shared" si="704"/>
        <v>-81</v>
      </c>
      <c r="BE55" s="11">
        <f t="shared" si="704"/>
        <v>0</v>
      </c>
      <c r="BF55" s="11">
        <f t="shared" si="704"/>
        <v>6982</v>
      </c>
      <c r="BG55" s="11">
        <f t="shared" si="704"/>
        <v>212456</v>
      </c>
      <c r="BH55" s="9">
        <f t="shared" si="704"/>
        <v>204131</v>
      </c>
      <c r="BI55" s="9">
        <f t="shared" si="704"/>
        <v>226295</v>
      </c>
      <c r="BJ55" s="11">
        <f t="shared" si="704"/>
        <v>12331</v>
      </c>
      <c r="BK55" s="49">
        <f t="shared" si="704"/>
        <v>213964</v>
      </c>
      <c r="BM55" s="30">
        <f t="shared" si="592"/>
        <v>191800</v>
      </c>
    </row>
    <row r="56" spans="1:65">
      <c r="A56" s="128"/>
      <c r="B56" s="5" t="s">
        <v>133</v>
      </c>
      <c r="C56" s="13">
        <f>C55/C51</f>
        <v>5.5588857136218951E-2</v>
      </c>
      <c r="D56" s="13">
        <f>D55/D51</f>
        <v>0.20775247696853816</v>
      </c>
      <c r="E56" s="13">
        <f t="shared" ref="E56" si="708">E55/E51</f>
        <v>-0.12857142857142856</v>
      </c>
      <c r="F56" s="13">
        <f t="shared" ref="F56" si="709">F55/F51</f>
        <v>5.7996921396295746E-2</v>
      </c>
      <c r="G56" s="13">
        <f t="shared" ref="G56" si="710">G55/G51</f>
        <v>0.12604431529240828</v>
      </c>
      <c r="H56" s="13" t="e">
        <f t="shared" ref="H56" si="711">H55/H51</f>
        <v>#DIV/0!</v>
      </c>
      <c r="I56" s="13" t="e">
        <f t="shared" ref="I56" si="712">I55/I51</f>
        <v>#DIV/0!</v>
      </c>
      <c r="J56" s="13">
        <f t="shared" ref="J56" si="713">J55/J51</f>
        <v>-0.58181818181818179</v>
      </c>
      <c r="K56" s="13">
        <f t="shared" ref="K56" si="714">K55/K51</f>
        <v>-0.8842592592592593</v>
      </c>
      <c r="L56" s="13">
        <f t="shared" ref="L56" si="715">L55/L51</f>
        <v>-0.33386183465458663</v>
      </c>
      <c r="M56" s="13">
        <f t="shared" ref="M56" si="716">M55/M51</f>
        <v>5.5788005578800558E-2</v>
      </c>
      <c r="N56" s="13">
        <f t="shared" ref="N56" si="717">N55/N51</f>
        <v>2.2000000000000002</v>
      </c>
      <c r="O56" s="13">
        <f t="shared" ref="O56" si="718">O55/O51</f>
        <v>-0.63352044907778671</v>
      </c>
      <c r="P56" s="13">
        <f t="shared" ref="P56" si="719">P55/P51</f>
        <v>-0.2461253600329173</v>
      </c>
      <c r="Q56" s="13" t="e">
        <f t="shared" ref="Q56" si="720">Q55/Q51</f>
        <v>#DIV/0!</v>
      </c>
      <c r="R56" s="13">
        <f t="shared" ref="R56" si="721">R55/R51</f>
        <v>-0.83292978208232449</v>
      </c>
      <c r="S56" s="13" t="e">
        <f t="shared" ref="S56" si="722">S55/S51</f>
        <v>#DIV/0!</v>
      </c>
      <c r="T56" s="13" t="e">
        <f t="shared" ref="T56:U56" si="723">T55/T51</f>
        <v>#DIV/0!</v>
      </c>
      <c r="U56" s="13" t="e">
        <f t="shared" si="723"/>
        <v>#DIV/0!</v>
      </c>
      <c r="V56" s="160" t="e">
        <f t="shared" ref="V56" si="724">V55/V51</f>
        <v>#DIV/0!</v>
      </c>
      <c r="W56" s="13" t="e">
        <f t="shared" ref="W56" si="725">W55/W51</f>
        <v>#DIV/0!</v>
      </c>
      <c r="X56" s="13" t="e">
        <f t="shared" ref="X56" si="726">X55/X51</f>
        <v>#DIV/0!</v>
      </c>
      <c r="Y56" s="13">
        <f t="shared" ref="Y56" si="727">Y55/Y51</f>
        <v>-0.25854568054692356</v>
      </c>
      <c r="Z56" s="13">
        <f t="shared" ref="Z56" si="728">Z55/Z51</f>
        <v>-0.25215517241379309</v>
      </c>
      <c r="AA56" s="13">
        <f t="shared" ref="AA56:AD56" si="729">AA55/AA51</f>
        <v>-0.60621761658031093</v>
      </c>
      <c r="AB56" s="13" t="e">
        <f t="shared" ref="AB56" si="730">AB55/AB51</f>
        <v>#DIV/0!</v>
      </c>
      <c r="AC56" s="160" t="e">
        <f t="shared" si="729"/>
        <v>#DIV/0!</v>
      </c>
      <c r="AD56" s="217">
        <f t="shared" si="729"/>
        <v>5.1418748216560069E-2</v>
      </c>
      <c r="AE56" s="13">
        <f t="shared" ref="AE56" si="731">AE55/AE51</f>
        <v>-0.34499205087440382</v>
      </c>
      <c r="AF56" s="13">
        <f t="shared" ref="AF56" si="732">AF55/AF51</f>
        <v>-0.65153374233128836</v>
      </c>
      <c r="AG56" s="13">
        <f t="shared" ref="AG56" si="733">AG55/AG51</f>
        <v>1.5600343053173242</v>
      </c>
      <c r="AH56" s="13" t="e">
        <f t="shared" ref="AH56" si="734">AH55/AH51</f>
        <v>#DIV/0!</v>
      </c>
      <c r="AI56" s="13" t="e">
        <f t="shared" ref="AI56" si="735">AI55/AI51</f>
        <v>#DIV/0!</v>
      </c>
      <c r="AJ56" s="13">
        <f t="shared" ref="AJ56" si="736">AJ55/AJ51</f>
        <v>-1</v>
      </c>
      <c r="AK56" s="13">
        <f t="shared" ref="AK56" si="737">AK55/AK51</f>
        <v>-0.50320659642693544</v>
      </c>
      <c r="AL56" s="13">
        <f t="shared" ref="AL56" si="738">AL55/AL51</f>
        <v>-0.38249702682945458</v>
      </c>
      <c r="AM56" s="13" t="e">
        <f t="shared" ref="AM56" si="739">AM55/AM51</f>
        <v>#DIV/0!</v>
      </c>
      <c r="AN56" s="13">
        <f t="shared" ref="AN56" si="740">AN55/AN51</f>
        <v>1.2447552447552448</v>
      </c>
      <c r="AO56" s="160">
        <f t="shared" ref="AO56" si="741">AO55/AO51</f>
        <v>0.61960032185884506</v>
      </c>
      <c r="AP56" s="13">
        <f t="shared" ref="AP56" si="742">AP55/AP51</f>
        <v>9.4077635145501964E-2</v>
      </c>
      <c r="AQ56" s="160" t="e">
        <f t="shared" ref="AQ56" si="743">AQ55/AQ51</f>
        <v>#DIV/0!</v>
      </c>
      <c r="AR56" s="13" t="e">
        <f t="shared" ref="AR56" si="744">AR55/AR51</f>
        <v>#DIV/0!</v>
      </c>
      <c r="AS56" s="13" t="e">
        <f t="shared" ref="AS56" si="745">AS55/AS51</f>
        <v>#DIV/0!</v>
      </c>
      <c r="AT56" s="13" t="e">
        <f t="shared" ref="AT56" si="746">AT55/AT51</f>
        <v>#DIV/0!</v>
      </c>
      <c r="AU56" s="13" t="e">
        <f t="shared" ref="AU56" si="747">AU55/AU51</f>
        <v>#DIV/0!</v>
      </c>
      <c r="AV56" s="13" t="e">
        <f t="shared" ref="AV56" si="748">AV55/AV51</f>
        <v>#DIV/0!</v>
      </c>
      <c r="AW56" s="13" t="e">
        <f t="shared" ref="AW56" si="749">AW55/AW51</f>
        <v>#DIV/0!</v>
      </c>
      <c r="AX56" s="13" t="e">
        <f t="shared" ref="AX56" si="750">AX55/AX51</f>
        <v>#DIV/0!</v>
      </c>
      <c r="AY56" s="13" t="e">
        <f t="shared" ref="AY56" si="751">AY55/AY51</f>
        <v>#DIV/0!</v>
      </c>
      <c r="AZ56" s="13" t="e">
        <f t="shared" ref="AZ56" si="752">AZ55/AZ51</f>
        <v>#DIV/0!</v>
      </c>
      <c r="BA56" s="13" t="e">
        <f t="shared" ref="BA56" si="753">BA55/BA51</f>
        <v>#DIV/0!</v>
      </c>
      <c r="BB56" s="160" t="e">
        <f t="shared" ref="BB56" si="754">BB55/BB51</f>
        <v>#DIV/0!</v>
      </c>
      <c r="BC56" s="13">
        <f t="shared" ref="BC56" si="755">BC55/BC51</f>
        <v>-1.6138673042438732E-2</v>
      </c>
      <c r="BD56" s="13">
        <f t="shared" ref="BD56" si="756">BD55/BD51</f>
        <v>-1.6138673042438732E-2</v>
      </c>
      <c r="BE56" s="13" t="e">
        <f t="shared" ref="BE56" si="757">BE55/BE51</f>
        <v>#DIV/0!</v>
      </c>
      <c r="BF56" s="13">
        <f t="shared" ref="BF56" si="758">BF55/BF51</f>
        <v>0.63710192535815313</v>
      </c>
      <c r="BG56" s="13">
        <f t="shared" ref="BG56:BH56" si="759">BG55/BG51</f>
        <v>13.006183042546679</v>
      </c>
      <c r="BH56" s="160">
        <f t="shared" si="759"/>
        <v>0.59247402333546173</v>
      </c>
      <c r="BI56" s="160">
        <f t="shared" ref="BI56" si="760">BI55/BI51</f>
        <v>0.29177180181771534</v>
      </c>
      <c r="BJ56" s="13">
        <f t="shared" ref="BJ56:BK56" si="761">BJ55/BJ51</f>
        <v>2.3345323741007196</v>
      </c>
      <c r="BK56" s="50">
        <f t="shared" si="761"/>
        <v>0.27776457957671424</v>
      </c>
      <c r="BM56" s="14">
        <f t="shared" ref="BM56" si="762">BM55/BM51</f>
        <v>0.56535144344422239</v>
      </c>
    </row>
    <row r="57" spans="1:65">
      <c r="A57" s="128"/>
      <c r="B57" s="5" t="s">
        <v>431</v>
      </c>
      <c r="C57" s="126">
        <f>C52/C49</f>
        <v>0.18667562923561504</v>
      </c>
      <c r="D57" s="126">
        <f>D52/D49</f>
        <v>0.19694332798566902</v>
      </c>
      <c r="E57" s="126" t="e">
        <f t="shared" ref="E57:BK57" si="763">E52/E49</f>
        <v>#DIV/0!</v>
      </c>
      <c r="F57" s="126">
        <f t="shared" si="763"/>
        <v>0.15886993349041129</v>
      </c>
      <c r="G57" s="126">
        <f t="shared" si="763"/>
        <v>0.19635373230441164</v>
      </c>
      <c r="H57" s="126" t="e">
        <f t="shared" si="763"/>
        <v>#DIV/0!</v>
      </c>
      <c r="I57" s="126" t="e">
        <f t="shared" si="763"/>
        <v>#DIV/0!</v>
      </c>
      <c r="J57" s="126">
        <f t="shared" si="763"/>
        <v>0.20018007202881152</v>
      </c>
      <c r="K57" s="126">
        <f t="shared" si="763"/>
        <v>2.9274004683840751E-2</v>
      </c>
      <c r="L57" s="126">
        <f t="shared" si="763"/>
        <v>0.24415756921671994</v>
      </c>
      <c r="M57" s="126">
        <f t="shared" si="763"/>
        <v>0.18131012734022595</v>
      </c>
      <c r="N57" s="126">
        <f t="shared" si="763"/>
        <v>0.16080402010050251</v>
      </c>
      <c r="O57" s="126">
        <f t="shared" si="763"/>
        <v>9.3685936859368588E-2</v>
      </c>
      <c r="P57" s="126">
        <f t="shared" si="763"/>
        <v>0.27564734792129852</v>
      </c>
      <c r="Q57" s="126" t="e">
        <f t="shared" si="763"/>
        <v>#DIV/0!</v>
      </c>
      <c r="R57" s="126">
        <f t="shared" si="763"/>
        <v>6.8266139005688842E-2</v>
      </c>
      <c r="S57" s="126" t="e">
        <f t="shared" si="763"/>
        <v>#DIV/0!</v>
      </c>
      <c r="T57" s="126" t="e">
        <f t="shared" si="763"/>
        <v>#DIV/0!</v>
      </c>
      <c r="U57" s="126" t="e">
        <f t="shared" si="763"/>
        <v>#DIV/0!</v>
      </c>
      <c r="V57" s="175">
        <f t="shared" si="763"/>
        <v>0</v>
      </c>
      <c r="W57" s="126" t="e">
        <f t="shared" si="763"/>
        <v>#DIV/0!</v>
      </c>
      <c r="X57" s="126" t="e">
        <f t="shared" si="763"/>
        <v>#DIV/0!</v>
      </c>
      <c r="Y57" s="126">
        <f t="shared" si="763"/>
        <v>0.1719267906038334</v>
      </c>
      <c r="Z57" s="126">
        <f t="shared" si="763"/>
        <v>9.4938440492476059E-2</v>
      </c>
      <c r="AA57" s="126">
        <f t="shared" si="763"/>
        <v>7.5697211155378488E-2</v>
      </c>
      <c r="AB57" s="126">
        <f t="shared" ref="AB57" si="764">AB52/AB49</f>
        <v>0</v>
      </c>
      <c r="AC57" s="175" t="e">
        <f t="shared" si="763"/>
        <v>#DIV/0!</v>
      </c>
      <c r="AD57" s="218">
        <f t="shared" si="763"/>
        <v>0.19278325607194541</v>
      </c>
      <c r="AE57" s="126">
        <f t="shared" si="763"/>
        <v>0.15725190839694655</v>
      </c>
      <c r="AF57" s="126">
        <f t="shared" si="763"/>
        <v>5.3828658074298714E-2</v>
      </c>
      <c r="AG57" s="126">
        <f t="shared" si="763"/>
        <v>0.98906560636182905</v>
      </c>
      <c r="AH57" s="126" t="e">
        <f t="shared" si="763"/>
        <v>#DIV/0!</v>
      </c>
      <c r="AI57" s="126" t="e">
        <f t="shared" si="763"/>
        <v>#DIV/0!</v>
      </c>
      <c r="AJ57" s="126">
        <f t="shared" si="763"/>
        <v>0</v>
      </c>
      <c r="AK57" s="126">
        <f t="shared" si="763"/>
        <v>0.25680955674786415</v>
      </c>
      <c r="AL57" s="126">
        <f t="shared" si="763"/>
        <v>0.39886674372057623</v>
      </c>
      <c r="AM57" s="126" t="e">
        <f t="shared" si="763"/>
        <v>#DIV/0!</v>
      </c>
      <c r="AN57" s="126">
        <f t="shared" si="763"/>
        <v>4.5371024734982335E-2</v>
      </c>
      <c r="AO57" s="175">
        <f t="shared" si="763"/>
        <v>0.39702719353234905</v>
      </c>
      <c r="AP57" s="126">
        <f t="shared" si="763"/>
        <v>0.4156506533249138</v>
      </c>
      <c r="AQ57" s="175">
        <f t="shared" si="763"/>
        <v>6.8965517241379309E-2</v>
      </c>
      <c r="AR57" s="126" t="e">
        <f t="shared" si="763"/>
        <v>#DIV/0!</v>
      </c>
      <c r="AS57" s="126" t="e">
        <f t="shared" si="763"/>
        <v>#DIV/0!</v>
      </c>
      <c r="AT57" s="126" t="e">
        <f t="shared" si="763"/>
        <v>#DIV/0!</v>
      </c>
      <c r="AU57" s="126" t="e">
        <f t="shared" si="763"/>
        <v>#DIV/0!</v>
      </c>
      <c r="AV57" s="126" t="e">
        <f t="shared" si="763"/>
        <v>#DIV/0!</v>
      </c>
      <c r="AW57" s="126">
        <f t="shared" si="763"/>
        <v>0</v>
      </c>
      <c r="AX57" s="126">
        <f t="shared" si="763"/>
        <v>0</v>
      </c>
      <c r="AY57" s="126" t="e">
        <f t="shared" si="763"/>
        <v>#DIV/0!</v>
      </c>
      <c r="AZ57" s="126" t="e">
        <f t="shared" si="763"/>
        <v>#DIV/0!</v>
      </c>
      <c r="BA57" s="126" t="e">
        <f t="shared" si="763"/>
        <v>#DIV/0!</v>
      </c>
      <c r="BB57" s="175" t="e">
        <f t="shared" si="763"/>
        <v>#DIV/0!</v>
      </c>
      <c r="BC57" s="126">
        <f t="shared" si="763"/>
        <v>0.31276919179123386</v>
      </c>
      <c r="BD57" s="126">
        <f t="shared" si="763"/>
        <v>0.31384263378670396</v>
      </c>
      <c r="BE57" s="126" t="e">
        <f t="shared" si="763"/>
        <v>#DIV/0!</v>
      </c>
      <c r="BF57" s="126">
        <f t="shared" si="763"/>
        <v>0.34784884735444094</v>
      </c>
      <c r="BG57" s="126">
        <f t="shared" si="763"/>
        <v>0.50616582007398103</v>
      </c>
      <c r="BH57" s="175">
        <f t="shared" si="763"/>
        <v>0.41273257397157431</v>
      </c>
      <c r="BI57" s="175">
        <f t="shared" si="763"/>
        <v>0.27223214906789095</v>
      </c>
      <c r="BJ57" s="126">
        <f t="shared" si="763"/>
        <v>0.41192291501005662</v>
      </c>
      <c r="BK57" s="126">
        <f t="shared" si="763"/>
        <v>0.27059011441380859</v>
      </c>
      <c r="BM57" s="126" t="e">
        <f t="shared" ref="BM57" si="765">BM52/BM49</f>
        <v>#DIV/0!</v>
      </c>
    </row>
    <row r="58" spans="1:65" s="178" customFormat="1">
      <c r="A58" s="128"/>
      <c r="B58" s="5" t="s">
        <v>432</v>
      </c>
      <c r="C58" s="11">
        <f>C49-C52</f>
        <v>989745</v>
      </c>
      <c r="D58" s="11">
        <f t="shared" ref="D58:BK58" si="766">D49-D52</f>
        <v>566640</v>
      </c>
      <c r="E58" s="11">
        <f t="shared" si="766"/>
        <v>-61</v>
      </c>
      <c r="F58" s="11">
        <f t="shared" si="766"/>
        <v>112809</v>
      </c>
      <c r="G58" s="11">
        <f t="shared" si="766"/>
        <v>76127</v>
      </c>
      <c r="H58" s="11">
        <f t="shared" si="766"/>
        <v>0</v>
      </c>
      <c r="I58" s="11">
        <f t="shared" si="766"/>
        <v>0</v>
      </c>
      <c r="J58" s="11">
        <f t="shared" si="766"/>
        <v>2665</v>
      </c>
      <c r="K58" s="11">
        <f t="shared" si="766"/>
        <v>829</v>
      </c>
      <c r="L58" s="11">
        <f t="shared" si="766"/>
        <v>18209</v>
      </c>
      <c r="M58" s="11">
        <f t="shared" si="766"/>
        <v>20509</v>
      </c>
      <c r="N58" s="11">
        <f t="shared" si="766"/>
        <v>167</v>
      </c>
      <c r="O58" s="11">
        <f t="shared" si="766"/>
        <v>4421</v>
      </c>
      <c r="P58" s="11">
        <f t="shared" si="766"/>
        <v>86663</v>
      </c>
      <c r="Q58" s="11">
        <f t="shared" si="766"/>
        <v>0</v>
      </c>
      <c r="R58" s="11">
        <f t="shared" si="766"/>
        <v>3767</v>
      </c>
      <c r="S58" s="11">
        <f t="shared" si="766"/>
        <v>0</v>
      </c>
      <c r="T58" s="11">
        <f t="shared" si="766"/>
        <v>0</v>
      </c>
      <c r="U58" s="11">
        <f t="shared" si="766"/>
        <v>0</v>
      </c>
      <c r="V58" s="11">
        <f t="shared" si="766"/>
        <v>4605</v>
      </c>
      <c r="W58" s="11">
        <f t="shared" si="766"/>
        <v>0</v>
      </c>
      <c r="X58" s="11">
        <f t="shared" si="766"/>
        <v>0</v>
      </c>
      <c r="Y58" s="11">
        <f t="shared" si="766"/>
        <v>5746</v>
      </c>
      <c r="Z58" s="11">
        <f t="shared" si="766"/>
        <v>3308</v>
      </c>
      <c r="AA58" s="11">
        <f t="shared" si="766"/>
        <v>1856</v>
      </c>
      <c r="AB58" s="11">
        <f t="shared" si="766"/>
        <v>237</v>
      </c>
      <c r="AC58" s="11">
        <f t="shared" si="766"/>
        <v>-561</v>
      </c>
      <c r="AD58" s="11">
        <f t="shared" si="766"/>
        <v>1897681</v>
      </c>
      <c r="AE58" s="11">
        <f t="shared" si="766"/>
        <v>2208</v>
      </c>
      <c r="AF58" s="11">
        <f t="shared" si="766"/>
        <v>4992</v>
      </c>
      <c r="AG58" s="11">
        <f t="shared" si="766"/>
        <v>33</v>
      </c>
      <c r="AH58" s="11">
        <f t="shared" si="766"/>
        <v>0</v>
      </c>
      <c r="AI58" s="11">
        <f t="shared" si="766"/>
        <v>0</v>
      </c>
      <c r="AJ58" s="11">
        <f t="shared" si="766"/>
        <v>13</v>
      </c>
      <c r="AK58" s="11">
        <f t="shared" si="766"/>
        <v>119262</v>
      </c>
      <c r="AL58" s="11">
        <f t="shared" si="766"/>
        <v>85296</v>
      </c>
      <c r="AM58" s="11">
        <f t="shared" si="766"/>
        <v>0</v>
      </c>
      <c r="AN58" s="11">
        <f t="shared" si="766"/>
        <v>6754</v>
      </c>
      <c r="AO58" s="11">
        <f t="shared" si="766"/>
        <v>223153</v>
      </c>
      <c r="AP58" s="11">
        <f t="shared" si="766"/>
        <v>60150</v>
      </c>
      <c r="AQ58" s="11">
        <f t="shared" si="766"/>
        <v>27</v>
      </c>
      <c r="AR58" s="11">
        <f t="shared" si="766"/>
        <v>0</v>
      </c>
      <c r="AS58" s="11">
        <f t="shared" si="766"/>
        <v>0</v>
      </c>
      <c r="AT58" s="11">
        <f t="shared" si="766"/>
        <v>0</v>
      </c>
      <c r="AU58" s="11">
        <f t="shared" si="766"/>
        <v>0</v>
      </c>
      <c r="AV58" s="11">
        <f t="shared" si="766"/>
        <v>0</v>
      </c>
      <c r="AW58" s="11">
        <f t="shared" si="766"/>
        <v>281</v>
      </c>
      <c r="AX58" s="11">
        <f t="shared" si="766"/>
        <v>555</v>
      </c>
      <c r="AY58" s="11">
        <f t="shared" si="766"/>
        <v>0</v>
      </c>
      <c r="AZ58" s="11">
        <f t="shared" si="766"/>
        <v>0</v>
      </c>
      <c r="BA58" s="11">
        <f t="shared" si="766"/>
        <v>0</v>
      </c>
      <c r="BB58" s="11">
        <f t="shared" si="766"/>
        <v>-532</v>
      </c>
      <c r="BC58" s="11">
        <f t="shared" si="766"/>
        <v>10850</v>
      </c>
      <c r="BD58" s="11">
        <f t="shared" si="766"/>
        <v>10796</v>
      </c>
      <c r="BE58" s="11">
        <f t="shared" si="766"/>
        <v>0</v>
      </c>
      <c r="BF58" s="11">
        <f t="shared" si="766"/>
        <v>33636</v>
      </c>
      <c r="BG58" s="11">
        <f t="shared" si="766"/>
        <v>223217</v>
      </c>
      <c r="BH58" s="11">
        <f t="shared" si="766"/>
        <v>780691</v>
      </c>
      <c r="BI58" s="11">
        <f t="shared" si="766"/>
        <v>2678372</v>
      </c>
      <c r="BJ58" s="11">
        <f t="shared" si="766"/>
        <v>25145</v>
      </c>
      <c r="BK58" s="11">
        <f t="shared" si="766"/>
        <v>2653227</v>
      </c>
      <c r="BL58" s="11">
        <f t="shared" ref="BL58:BM58" si="767">BL52-BL49</f>
        <v>984270</v>
      </c>
      <c r="BM58" s="11">
        <f t="shared" si="767"/>
        <v>531058</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9"/>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9"/>
      <c r="BJ59" s="5"/>
      <c r="BK59" s="48"/>
    </row>
    <row r="60" spans="1:65" s="265" customFormat="1">
      <c r="A60" s="15" t="s">
        <v>138</v>
      </c>
      <c r="B60" s="11" t="s">
        <v>430</v>
      </c>
      <c r="C60" s="266">
        <v>2449046</v>
      </c>
      <c r="D60" s="120">
        <v>1882977</v>
      </c>
      <c r="E60" s="120">
        <v>0</v>
      </c>
      <c r="F60" s="120">
        <v>550330</v>
      </c>
      <c r="G60" s="120">
        <v>176214</v>
      </c>
      <c r="H60" s="361">
        <v>0</v>
      </c>
      <c r="I60" s="120">
        <v>0</v>
      </c>
      <c r="J60" s="120">
        <v>1060436</v>
      </c>
      <c r="K60" s="120">
        <v>34650</v>
      </c>
      <c r="L60" s="120">
        <v>120982</v>
      </c>
      <c r="M60" s="120">
        <v>164515</v>
      </c>
      <c r="N60" s="120">
        <v>469</v>
      </c>
      <c r="O60" s="120">
        <v>5629</v>
      </c>
      <c r="P60" s="120">
        <v>7522</v>
      </c>
      <c r="Q60" s="120">
        <v>0</v>
      </c>
      <c r="R60" s="120">
        <v>10495</v>
      </c>
      <c r="S60" s="120">
        <v>0</v>
      </c>
      <c r="T60" s="120">
        <v>0</v>
      </c>
      <c r="U60" s="120">
        <v>0</v>
      </c>
      <c r="V60" s="267">
        <v>0</v>
      </c>
      <c r="W60" s="120">
        <v>0</v>
      </c>
      <c r="X60" s="120">
        <v>0</v>
      </c>
      <c r="Y60" s="120">
        <v>1386</v>
      </c>
      <c r="Z60" s="120">
        <v>867</v>
      </c>
      <c r="AA60" s="120">
        <v>528</v>
      </c>
      <c r="AB60" s="120">
        <v>538</v>
      </c>
      <c r="AC60" s="267">
        <v>0</v>
      </c>
      <c r="AD60" s="121">
        <f t="shared" ref="AD60" si="768">SUM(C60:AC60)</f>
        <v>6466584</v>
      </c>
      <c r="AE60" s="120">
        <v>1592</v>
      </c>
      <c r="AF60" s="120">
        <v>577</v>
      </c>
      <c r="AG60" s="120">
        <v>786</v>
      </c>
      <c r="AH60" s="120">
        <v>0</v>
      </c>
      <c r="AI60" s="120">
        <v>0</v>
      </c>
      <c r="AJ60" s="120">
        <v>117</v>
      </c>
      <c r="AK60" s="120">
        <v>55525</v>
      </c>
      <c r="AL60" s="120">
        <v>22431</v>
      </c>
      <c r="AM60" s="120">
        <v>439689</v>
      </c>
      <c r="AN60" s="120">
        <v>105617</v>
      </c>
      <c r="AO60" s="267">
        <v>448831</v>
      </c>
      <c r="AP60" s="120">
        <v>4842</v>
      </c>
      <c r="AQ60" s="267">
        <v>0</v>
      </c>
      <c r="AR60" s="120">
        <v>0</v>
      </c>
      <c r="AS60" s="120">
        <v>0</v>
      </c>
      <c r="AT60" s="120">
        <v>0</v>
      </c>
      <c r="AU60" s="120">
        <v>0</v>
      </c>
      <c r="AV60" s="120">
        <v>0</v>
      </c>
      <c r="AW60" s="120">
        <v>1046</v>
      </c>
      <c r="AX60" s="120">
        <v>401</v>
      </c>
      <c r="AY60" s="120">
        <v>0</v>
      </c>
      <c r="AZ60" s="120">
        <v>0</v>
      </c>
      <c r="BA60" s="120">
        <v>0</v>
      </c>
      <c r="BB60" s="267">
        <v>0</v>
      </c>
      <c r="BC60" s="120">
        <v>14130</v>
      </c>
      <c r="BD60" s="120">
        <v>14443</v>
      </c>
      <c r="BE60" s="120">
        <v>0</v>
      </c>
      <c r="BF60" s="120">
        <v>27381</v>
      </c>
      <c r="BG60" s="120">
        <v>163</v>
      </c>
      <c r="BH60" s="120">
        <f t="shared" ref="BH60" si="769">SUM(AE60:BG60)</f>
        <v>1137571</v>
      </c>
      <c r="BI60" s="125">
        <f t="shared" ref="BI60" si="770">AD60+BH60</f>
        <v>7604155</v>
      </c>
      <c r="BJ60" s="268">
        <v>19917</v>
      </c>
      <c r="BK60" s="124">
        <f t="shared" ref="BK60" si="771">BI60-BJ60</f>
        <v>7584238</v>
      </c>
    </row>
    <row r="61" spans="1:65" s="41" customFormat="1">
      <c r="A61" s="134" t="s">
        <v>138</v>
      </c>
      <c r="B61" s="210" t="s">
        <v>424</v>
      </c>
      <c r="C61" s="266">
        <v>465319</v>
      </c>
      <c r="D61" s="120">
        <v>357766</v>
      </c>
      <c r="E61" s="120">
        <v>0</v>
      </c>
      <c r="F61" s="120">
        <v>104563</v>
      </c>
      <c r="G61" s="120">
        <v>33481</v>
      </c>
      <c r="H61" s="361">
        <v>0</v>
      </c>
      <c r="I61" s="120">
        <v>0</v>
      </c>
      <c r="J61" s="120">
        <v>201483</v>
      </c>
      <c r="K61" s="120">
        <v>6584</v>
      </c>
      <c r="L61" s="120">
        <v>22987</v>
      </c>
      <c r="M61" s="120">
        <v>31258</v>
      </c>
      <c r="N61" s="120">
        <v>89</v>
      </c>
      <c r="O61" s="120">
        <v>1070</v>
      </c>
      <c r="P61" s="120">
        <v>1429</v>
      </c>
      <c r="Q61" s="120">
        <v>0</v>
      </c>
      <c r="R61" s="120">
        <v>1994</v>
      </c>
      <c r="S61" s="120">
        <v>0</v>
      </c>
      <c r="T61" s="120">
        <v>0</v>
      </c>
      <c r="U61" s="120">
        <v>0</v>
      </c>
      <c r="V61" s="267">
        <v>0</v>
      </c>
      <c r="W61" s="120">
        <v>0</v>
      </c>
      <c r="X61" s="120">
        <v>0</v>
      </c>
      <c r="Y61" s="120">
        <v>263</v>
      </c>
      <c r="Z61" s="120">
        <v>165</v>
      </c>
      <c r="AA61" s="120">
        <v>100</v>
      </c>
      <c r="AB61" s="120">
        <v>102</v>
      </c>
      <c r="AC61" s="267">
        <v>0</v>
      </c>
      <c r="AD61" s="121">
        <f t="shared" ref="AD61" si="772">SUM(C61:AC61)</f>
        <v>1228653</v>
      </c>
      <c r="AE61" s="120">
        <v>382</v>
      </c>
      <c r="AF61" s="120">
        <v>138</v>
      </c>
      <c r="AG61" s="120">
        <v>189</v>
      </c>
      <c r="AH61" s="120">
        <v>0</v>
      </c>
      <c r="AI61" s="120">
        <v>0</v>
      </c>
      <c r="AJ61" s="120">
        <v>28</v>
      </c>
      <c r="AK61" s="120">
        <v>13326</v>
      </c>
      <c r="AL61" s="120">
        <v>5383</v>
      </c>
      <c r="AM61" s="120">
        <v>105525</v>
      </c>
      <c r="AN61" s="120">
        <v>25348</v>
      </c>
      <c r="AO61" s="267">
        <v>107719</v>
      </c>
      <c r="AP61" s="120">
        <v>1162</v>
      </c>
      <c r="AQ61" s="267">
        <v>0</v>
      </c>
      <c r="AR61" s="120">
        <v>0</v>
      </c>
      <c r="AS61" s="120">
        <v>0</v>
      </c>
      <c r="AT61" s="120">
        <v>0</v>
      </c>
      <c r="AU61" s="120">
        <v>0</v>
      </c>
      <c r="AV61" s="120">
        <v>0</v>
      </c>
      <c r="AW61" s="120">
        <v>0</v>
      </c>
      <c r="AX61" s="120">
        <v>96</v>
      </c>
      <c r="AY61" s="120">
        <v>0</v>
      </c>
      <c r="AZ61" s="120">
        <v>0</v>
      </c>
      <c r="BA61" s="120">
        <v>0</v>
      </c>
      <c r="BB61" s="267">
        <v>0</v>
      </c>
      <c r="BC61" s="120">
        <v>3391</v>
      </c>
      <c r="BD61" s="120">
        <v>3466</v>
      </c>
      <c r="BE61" s="120">
        <v>0</v>
      </c>
      <c r="BF61" s="120">
        <v>6571</v>
      </c>
      <c r="BG61" s="120">
        <v>39</v>
      </c>
      <c r="BH61" s="120">
        <f t="shared" ref="BH61" si="773">SUM(AE61:BG61)</f>
        <v>272763</v>
      </c>
      <c r="BI61" s="125">
        <f t="shared" ref="BI61" si="774">AD61+BH61</f>
        <v>1501416</v>
      </c>
      <c r="BJ61" s="268">
        <v>4779</v>
      </c>
      <c r="BK61" s="124">
        <f t="shared" ref="BK61" si="775">BI61-BJ61</f>
        <v>1496637</v>
      </c>
      <c r="BM61" s="211"/>
    </row>
    <row r="62" spans="1:65">
      <c r="A62" s="128"/>
      <c r="B62" s="12" t="s">
        <v>425</v>
      </c>
      <c r="C62" s="9">
        <f>IF('Upto Month COPPY'!$G$4="",0,'Upto Month COPPY'!$G$4)</f>
        <v>428107</v>
      </c>
      <c r="D62" s="9">
        <f>IF('Upto Month COPPY'!$G$5="",0,'Upto Month COPPY'!$G$5)</f>
        <v>284900</v>
      </c>
      <c r="E62" s="9">
        <f>IF('Upto Month COPPY'!$G$6="",0,'Upto Month COPPY'!$G$6)</f>
        <v>64</v>
      </c>
      <c r="F62" s="9">
        <f>IF('Upto Month COPPY'!$G$7="",0,'Upto Month COPPY'!$G$7)</f>
        <v>81226</v>
      </c>
      <c r="G62" s="9">
        <f>IF('Upto Month COPPY'!$G$8="",0,'Upto Month COPPY'!$G$8)</f>
        <v>30858</v>
      </c>
      <c r="H62" s="9">
        <f>IF('Upto Month COPPY'!$G$9="",0,'Upto Month COPPY'!$G$9)</f>
        <v>0</v>
      </c>
      <c r="I62" s="9">
        <f>IF('Upto Month COPPY'!$G$10="",0,'Upto Month COPPY'!$G$10)</f>
        <v>0</v>
      </c>
      <c r="J62" s="9">
        <f>IF('Upto Month COPPY'!$G$11="",0,'Upto Month COPPY'!$G$11)</f>
        <v>296067</v>
      </c>
      <c r="K62" s="9">
        <f>IF('Upto Month COPPY'!$G$12="",0,'Upto Month COPPY'!$G$12)</f>
        <v>16898</v>
      </c>
      <c r="L62" s="9">
        <f>IF('Upto Month COPPY'!$G$13="",0,'Upto Month COPPY'!$G$13)</f>
        <v>43896</v>
      </c>
      <c r="M62" s="9">
        <f>IF('Upto Month COPPY'!$G$14="",0,'Upto Month COPPY'!$G$14)</f>
        <v>39804</v>
      </c>
      <c r="N62" s="9">
        <f>IF('Upto Month COPPY'!$G$15="",0,'Upto Month COPPY'!$G$15)</f>
        <v>135</v>
      </c>
      <c r="O62" s="9">
        <f>IF('Upto Month COPPY'!$G$16="",0,'Upto Month COPPY'!$G$16)</f>
        <v>775</v>
      </c>
      <c r="P62" s="9">
        <f>IF('Upto Month COPPY'!$G$17="",0,'Upto Month COPPY'!$G$17)</f>
        <v>3364</v>
      </c>
      <c r="Q62" s="9">
        <f>IF('Upto Month COPPY'!$G$18="",0,'Upto Month COPPY'!$G$18)</f>
        <v>0</v>
      </c>
      <c r="R62" s="9">
        <f>IF('Upto Month COPPY'!$G$21="",0,'Upto Month COPPY'!$G$21)</f>
        <v>2956</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257</v>
      </c>
      <c r="Z62" s="9">
        <f>IF('Upto Month COPPY'!$G$43="",0,'Upto Month COPPY'!$G$43)</f>
        <v>102</v>
      </c>
      <c r="AA62" s="9">
        <f>IF('Upto Month COPPY'!$G$44="",0,'Upto Month COPPY'!$G$44)</f>
        <v>67</v>
      </c>
      <c r="AB62" s="9">
        <f>IF('Upto Month COPPY'!$G$48="",0,'Upto Month COPPY'!$G$48)</f>
        <v>0</v>
      </c>
      <c r="AC62" s="9">
        <f>IF('Upto Month COPPY'!$G$51="",0,'Upto Month COPPY'!$G$51)</f>
        <v>0</v>
      </c>
      <c r="AD62" s="221">
        <f t="shared" ref="AD62:AD63" si="776">SUM(C62:AC62)</f>
        <v>1229476</v>
      </c>
      <c r="AE62" s="9">
        <f>IF('Upto Month COPPY'!$G$19="",0,'Upto Month COPPY'!$G$19)</f>
        <v>316</v>
      </c>
      <c r="AF62" s="9">
        <f>IF('Upto Month COPPY'!$G$20="",0,'Upto Month COPPY'!$G$20)</f>
        <v>194</v>
      </c>
      <c r="AG62" s="9">
        <f>IF('Upto Month COPPY'!$G$22="",0,'Upto Month COPPY'!$G$22)</f>
        <v>0</v>
      </c>
      <c r="AH62" s="9">
        <f>IF('Upto Month COPPY'!$G$23="",0,'Upto Month COPPY'!$G$23)</f>
        <v>0</v>
      </c>
      <c r="AI62" s="9">
        <f>IF('Upto Month COPPY'!$G$24="",0,'Upto Month COPPY'!$G$24)</f>
        <v>0</v>
      </c>
      <c r="AJ62" s="9">
        <f>IF('Upto Month COPPY'!$G$25="",0,'Upto Month COPPY'!$G$25)</f>
        <v>2</v>
      </c>
      <c r="AK62" s="9">
        <f>IF('Upto Month COPPY'!$G$28="",0,'Upto Month COPPY'!$G$28)</f>
        <v>11489</v>
      </c>
      <c r="AL62" s="9">
        <f>IF('Upto Month COPPY'!$G$29="",0,'Upto Month COPPY'!$G$29)</f>
        <v>7260</v>
      </c>
      <c r="AM62" s="9">
        <f>IF('Upto Month COPPY'!$G$31="",0,'Upto Month COPPY'!$G$31)</f>
        <v>39129</v>
      </c>
      <c r="AN62" s="9">
        <f>IF('Upto Month COPPY'!$G$32="",0,'Upto Month COPPY'!$G$32)</f>
        <v>12417</v>
      </c>
      <c r="AO62" s="9">
        <f>IF('Upto Month COPPY'!$G$33="",0,'Upto Month COPPY'!$G$33)</f>
        <v>82842</v>
      </c>
      <c r="AP62" s="9">
        <f>IF('Upto Month COPPY'!$G$34="",0,'Upto Month COPPY'!$G$34)</f>
        <v>5</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161</v>
      </c>
      <c r="AX62" s="9">
        <f>IF('Upto Month COPPY'!$G$46="",0,'Upto Month COPPY'!$G$46)</f>
        <v>42</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4243</v>
      </c>
      <c r="BD62" s="9">
        <f>IF('Upto Month COPPY'!$G$54="",0,'Upto Month COPPY'!$G$54)</f>
        <v>4243</v>
      </c>
      <c r="BE62" s="9">
        <f>IF('Upto Month COPPY'!$G$55="",0,'Upto Month COPPY'!$G$55)</f>
        <v>0</v>
      </c>
      <c r="BF62" s="9">
        <f>IF('Upto Month COPPY'!$G$56="",0,'Upto Month COPPY'!$G$56)</f>
        <v>4415</v>
      </c>
      <c r="BG62" s="9">
        <f>IF('Upto Month COPPY'!$G$58="",0,'Upto Month COPPY'!$G$58)</f>
        <v>4</v>
      </c>
      <c r="BH62" s="9">
        <f>SUM(AE62:BG62)</f>
        <v>166762</v>
      </c>
      <c r="BI62" s="274">
        <f>AD62+BH62</f>
        <v>1396238</v>
      </c>
      <c r="BJ62" s="9">
        <f>IF('Upto Month COPPY'!$G$60="",0,'Upto Month COPPY'!$G$60)</f>
        <v>3934</v>
      </c>
      <c r="BK62" s="49">
        <f t="shared" ref="BK62:BK63" si="777">BI62-BJ62</f>
        <v>1392304</v>
      </c>
      <c r="BL62">
        <f>'Upto Month COPPY'!$G$61</f>
        <v>1392305</v>
      </c>
      <c r="BM62" s="30">
        <f t="shared" ref="BM62:BM66" si="778">BK62-AD62</f>
        <v>162828</v>
      </c>
    </row>
    <row r="63" spans="1:65">
      <c r="A63" s="128"/>
      <c r="B63" s="180" t="s">
        <v>426</v>
      </c>
      <c r="C63" s="9">
        <f>IF('Upto Month Current'!$G$4="",0,'Upto Month Current'!$G$4)</f>
        <v>436108</v>
      </c>
      <c r="D63" s="9">
        <f>IF('Upto Month Current'!$G$5="",0,'Upto Month Current'!$G$5)</f>
        <v>335071</v>
      </c>
      <c r="E63" s="9">
        <f>IF('Upto Month Current'!$G$6="",0,'Upto Month Current'!$G$6)</f>
        <v>140</v>
      </c>
      <c r="F63" s="9">
        <f>IF('Upto Month Current'!$G$7="",0,'Upto Month Current'!$G$7)</f>
        <v>84387</v>
      </c>
      <c r="G63" s="9">
        <f>IF('Upto Month Current'!$G$8="",0,'Upto Month Current'!$G$8)</f>
        <v>35443</v>
      </c>
      <c r="H63" s="9">
        <f>IF('Upto Month Current'!$G$9="",0,'Upto Month Current'!$G$9)</f>
        <v>0</v>
      </c>
      <c r="I63" s="9">
        <f>IF('Upto Month Current'!$G$10="",0,'Upto Month Current'!$G$10)</f>
        <v>0</v>
      </c>
      <c r="J63" s="9">
        <f>IF('Upto Month Current'!$G$11="",0,'Upto Month Current'!$G$11)</f>
        <v>180984</v>
      </c>
      <c r="K63" s="9">
        <f>IF('Upto Month Current'!$G$12="",0,'Upto Month Current'!$G$12)</f>
        <v>3614</v>
      </c>
      <c r="L63" s="9">
        <f>IF('Upto Month Current'!$G$13="",0,'Upto Month Current'!$G$13)</f>
        <v>22513</v>
      </c>
      <c r="M63" s="9">
        <f>IF('Upto Month Current'!$G$14="",0,'Upto Month Current'!$G$14)</f>
        <v>30546</v>
      </c>
      <c r="N63" s="9">
        <f>IF('Upto Month Current'!$G$15="",0,'Upto Month Current'!$G$15)</f>
        <v>76</v>
      </c>
      <c r="O63" s="9">
        <f>IF('Upto Month Current'!$G$16="",0,'Upto Month Current'!$G$16)</f>
        <v>1147</v>
      </c>
      <c r="P63" s="9">
        <f>IF('Upto Month Current'!$G$17="",0,'Upto Month Current'!$G$17)</f>
        <v>1323</v>
      </c>
      <c r="Q63" s="9">
        <f>IF('Upto Month Current'!$G$18="",0,'Upto Month Current'!$G$18)</f>
        <v>0</v>
      </c>
      <c r="R63" s="9">
        <f>IF('Upto Month Current'!$G$21="",0,'Upto Month Current'!$G$21)</f>
        <v>467</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2205</v>
      </c>
      <c r="Z63" s="9">
        <f>IF('Upto Month Current'!$G$43="",0,'Upto Month Current'!$G$43)</f>
        <v>886</v>
      </c>
      <c r="AA63" s="9">
        <f>IF('Upto Month Current'!$G$44="",0,'Upto Month Current'!$G$44)</f>
        <v>623</v>
      </c>
      <c r="AB63" s="9">
        <f>IF('Upto Month Current'!$G$48="",0,'Upto Month Current'!$G$48)</f>
        <v>0</v>
      </c>
      <c r="AC63" s="9">
        <f>IF('Upto Month Current'!$G$51="",0,'Upto Month Current'!$G$51)</f>
        <v>0</v>
      </c>
      <c r="AD63" s="221">
        <f t="shared" si="776"/>
        <v>1135533</v>
      </c>
      <c r="AE63" s="9">
        <f>IF('Upto Month Current'!$G$19="",0,'Upto Month Current'!$G$19)</f>
        <v>392</v>
      </c>
      <c r="AF63" s="9">
        <f>IF('Upto Month Current'!$G$20="",0,'Upto Month Current'!$G$20)</f>
        <v>344</v>
      </c>
      <c r="AG63" s="9">
        <f>IF('Upto Month Current'!$G$22="",0,'Upto Month Current'!$G$22)</f>
        <v>887</v>
      </c>
      <c r="AH63" s="9">
        <f>IF('Upto Month Current'!$G$23="",0,'Upto Month Current'!$G$23)</f>
        <v>0</v>
      </c>
      <c r="AI63" s="9">
        <f>IF('Upto Month Current'!$G$24="",0,'Upto Month Current'!$G$24)</f>
        <v>0</v>
      </c>
      <c r="AJ63" s="9">
        <f>IF('Upto Month Current'!$G$25="",0,'Upto Month Current'!$G$25)</f>
        <v>0</v>
      </c>
      <c r="AK63" s="9">
        <f>IF('Upto Month Current'!$G$28="",0,'Upto Month Current'!$G$28)</f>
        <v>3458</v>
      </c>
      <c r="AL63" s="9">
        <f>IF('Upto Month Current'!$G$29="",0,'Upto Month Current'!$G$29)</f>
        <v>9620</v>
      </c>
      <c r="AM63" s="9">
        <f>IF('Upto Month Current'!$G$31="",0,'Upto Month Current'!$G$31)</f>
        <v>49108</v>
      </c>
      <c r="AN63" s="9">
        <f>IF('Upto Month Current'!$G$32="",0,'Upto Month Current'!$G$32)</f>
        <v>8827</v>
      </c>
      <c r="AO63" s="9">
        <f>IF('Upto Month Current'!$G$33="",0,'Upto Month Current'!$G$33)</f>
        <v>173860</v>
      </c>
      <c r="AP63" s="9">
        <f>IF('Upto Month Current'!$G$34="",0,'Upto Month Current'!$G$34)</f>
        <v>151</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5791</v>
      </c>
      <c r="BD63" s="9">
        <f>IF('Upto Month Current'!$G$54="",0,'Upto Month Current'!$G$54)</f>
        <v>5791</v>
      </c>
      <c r="BE63" s="9">
        <f>IF('Upto Month Current'!$G$55="",0,'Upto Month Current'!$G$55)</f>
        <v>0</v>
      </c>
      <c r="BF63" s="9">
        <f>IF('Upto Month Current'!$G$56="",0,'Upto Month Current'!$G$56)</f>
        <v>15920</v>
      </c>
      <c r="BG63" s="9">
        <f>IF('Upto Month Current'!$G$58="",0,'Upto Month Current'!$G$58)</f>
        <v>0</v>
      </c>
      <c r="BH63" s="9">
        <f>SUM(AE63:BG63)</f>
        <v>274149</v>
      </c>
      <c r="BI63" s="274">
        <f>AD63+BH63</f>
        <v>1409682</v>
      </c>
      <c r="BJ63" s="9">
        <f>IF('Upto Month Current'!$G$60="",0,'Upto Month Current'!$G$60)</f>
        <v>3126</v>
      </c>
      <c r="BK63" s="49">
        <f t="shared" si="777"/>
        <v>1406556</v>
      </c>
      <c r="BL63">
        <f>'Upto Month Current'!$G$61</f>
        <v>1406558</v>
      </c>
      <c r="BM63" s="30">
        <f t="shared" si="778"/>
        <v>271023</v>
      </c>
    </row>
    <row r="64" spans="1:65">
      <c r="A64" s="128"/>
      <c r="B64" s="5" t="s">
        <v>130</v>
      </c>
      <c r="C64" s="11">
        <f>C63-C61</f>
        <v>-29211</v>
      </c>
      <c r="D64" s="11">
        <f t="shared" ref="D64" si="779">D63-D61</f>
        <v>-22695</v>
      </c>
      <c r="E64" s="11">
        <f t="shared" ref="E64" si="780">E63-E61</f>
        <v>140</v>
      </c>
      <c r="F64" s="11">
        <f t="shared" ref="F64" si="781">F63-F61</f>
        <v>-20176</v>
      </c>
      <c r="G64" s="11">
        <f t="shared" ref="G64" si="782">G63-G61</f>
        <v>1962</v>
      </c>
      <c r="H64" s="11">
        <f t="shared" ref="H64" si="783">H63-H61</f>
        <v>0</v>
      </c>
      <c r="I64" s="11">
        <f t="shared" ref="I64" si="784">I63-I61</f>
        <v>0</v>
      </c>
      <c r="J64" s="11">
        <f t="shared" ref="J64" si="785">J63-J61</f>
        <v>-20499</v>
      </c>
      <c r="K64" s="11">
        <f t="shared" ref="K64" si="786">K63-K61</f>
        <v>-2970</v>
      </c>
      <c r="L64" s="11">
        <f t="shared" ref="L64" si="787">L63-L61</f>
        <v>-474</v>
      </c>
      <c r="M64" s="11">
        <f t="shared" ref="M64" si="788">M63-M61</f>
        <v>-712</v>
      </c>
      <c r="N64" s="11">
        <f t="shared" ref="N64" si="789">N63-N61</f>
        <v>-13</v>
      </c>
      <c r="O64" s="11">
        <f t="shared" ref="O64" si="790">O63-O61</f>
        <v>77</v>
      </c>
      <c r="P64" s="11">
        <f t="shared" ref="P64" si="791">P63-P61</f>
        <v>-106</v>
      </c>
      <c r="Q64" s="11">
        <f t="shared" ref="Q64" si="792">Q63-Q61</f>
        <v>0</v>
      </c>
      <c r="R64" s="11">
        <f t="shared" ref="R64" si="793">R63-R61</f>
        <v>-1527</v>
      </c>
      <c r="S64" s="11">
        <f t="shared" ref="S64" si="794">S63-S61</f>
        <v>0</v>
      </c>
      <c r="T64" s="11">
        <f t="shared" ref="T64:U64" si="795">T63-T61</f>
        <v>0</v>
      </c>
      <c r="U64" s="11">
        <f t="shared" si="795"/>
        <v>0</v>
      </c>
      <c r="V64" s="9">
        <f t="shared" ref="V64" si="796">V63-V61</f>
        <v>0</v>
      </c>
      <c r="W64" s="11">
        <f t="shared" ref="W64" si="797">W63-W61</f>
        <v>0</v>
      </c>
      <c r="X64" s="11">
        <f t="shared" ref="X64" si="798">X63-X61</f>
        <v>0</v>
      </c>
      <c r="Y64" s="11">
        <f t="shared" ref="Y64" si="799">Y63-Y61</f>
        <v>1942</v>
      </c>
      <c r="Z64" s="11">
        <f t="shared" ref="Z64" si="800">Z63-Z61</f>
        <v>721</v>
      </c>
      <c r="AA64" s="11">
        <f t="shared" ref="AA64:AD64" si="801">AA63-AA61</f>
        <v>523</v>
      </c>
      <c r="AB64" s="11">
        <f t="shared" ref="AB64" si="802">AB63-AB61</f>
        <v>-102</v>
      </c>
      <c r="AC64" s="9">
        <f t="shared" si="801"/>
        <v>0</v>
      </c>
      <c r="AD64" s="216">
        <f t="shared" si="801"/>
        <v>-93120</v>
      </c>
      <c r="AE64" s="11">
        <f t="shared" ref="AE64" si="803">AE63-AE61</f>
        <v>10</v>
      </c>
      <c r="AF64" s="11">
        <f t="shared" ref="AF64" si="804">AF63-AF61</f>
        <v>206</v>
      </c>
      <c r="AG64" s="11">
        <f t="shared" ref="AG64" si="805">AG63-AG61</f>
        <v>698</v>
      </c>
      <c r="AH64" s="11">
        <f t="shared" ref="AH64" si="806">AH63-AH61</f>
        <v>0</v>
      </c>
      <c r="AI64" s="11">
        <f t="shared" ref="AI64" si="807">AI63-AI61</f>
        <v>0</v>
      </c>
      <c r="AJ64" s="11">
        <f t="shared" ref="AJ64" si="808">AJ63-AJ61</f>
        <v>-28</v>
      </c>
      <c r="AK64" s="11">
        <f t="shared" ref="AK64" si="809">AK63-AK61</f>
        <v>-9868</v>
      </c>
      <c r="AL64" s="11">
        <f t="shared" ref="AL64" si="810">AL63-AL61</f>
        <v>4237</v>
      </c>
      <c r="AM64" s="11">
        <f t="shared" ref="AM64" si="811">AM63-AM61</f>
        <v>-56417</v>
      </c>
      <c r="AN64" s="11">
        <f t="shared" ref="AN64" si="812">AN63-AN61</f>
        <v>-16521</v>
      </c>
      <c r="AO64" s="9">
        <f t="shared" ref="AO64" si="813">AO63-AO61</f>
        <v>66141</v>
      </c>
      <c r="AP64" s="11">
        <f t="shared" ref="AP64" si="814">AP63-AP61</f>
        <v>-1011</v>
      </c>
      <c r="AQ64" s="9">
        <f t="shared" ref="AQ64" si="815">AQ63-AQ61</f>
        <v>0</v>
      </c>
      <c r="AR64" s="11">
        <f t="shared" ref="AR64" si="816">AR63-AR61</f>
        <v>0</v>
      </c>
      <c r="AS64" s="11">
        <f t="shared" ref="AS64" si="817">AS63-AS61</f>
        <v>0</v>
      </c>
      <c r="AT64" s="11">
        <f t="shared" ref="AT64" si="818">AT63-AT61</f>
        <v>0</v>
      </c>
      <c r="AU64" s="11">
        <f t="shared" ref="AU64" si="819">AU63-AU61</f>
        <v>0</v>
      </c>
      <c r="AV64" s="11">
        <f t="shared" ref="AV64" si="820">AV63-AV61</f>
        <v>0</v>
      </c>
      <c r="AW64" s="11">
        <f t="shared" ref="AW64" si="821">AW63-AW61</f>
        <v>0</v>
      </c>
      <c r="AX64" s="11">
        <f t="shared" ref="AX64" si="822">AX63-AX61</f>
        <v>-96</v>
      </c>
      <c r="AY64" s="11">
        <f t="shared" ref="AY64" si="823">AY63-AY61</f>
        <v>0</v>
      </c>
      <c r="AZ64" s="11">
        <f t="shared" ref="AZ64" si="824">AZ63-AZ61</f>
        <v>0</v>
      </c>
      <c r="BA64" s="11">
        <f t="shared" ref="BA64" si="825">BA63-BA61</f>
        <v>0</v>
      </c>
      <c r="BB64" s="9">
        <f t="shared" ref="BB64" si="826">BB63-BB61</f>
        <v>0</v>
      </c>
      <c r="BC64" s="11">
        <f t="shared" ref="BC64" si="827">BC63-BC61</f>
        <v>2400</v>
      </c>
      <c r="BD64" s="11">
        <f t="shared" ref="BD64" si="828">BD63-BD61</f>
        <v>2325</v>
      </c>
      <c r="BE64" s="11">
        <f t="shared" ref="BE64" si="829">BE63-BE61</f>
        <v>0</v>
      </c>
      <c r="BF64" s="11">
        <f t="shared" ref="BF64" si="830">BF63-BF61</f>
        <v>9349</v>
      </c>
      <c r="BG64" s="11">
        <f t="shared" ref="BG64:BH64" si="831">BG63-BG61</f>
        <v>-39</v>
      </c>
      <c r="BH64" s="9">
        <f t="shared" si="831"/>
        <v>1386</v>
      </c>
      <c r="BI64" s="9">
        <f t="shared" ref="BI64" si="832">BI63-BI61</f>
        <v>-91734</v>
      </c>
      <c r="BJ64" s="11">
        <f t="shared" ref="BJ64:BK64" si="833">BJ63-BJ61</f>
        <v>-1653</v>
      </c>
      <c r="BK64" s="49">
        <f t="shared" si="833"/>
        <v>-90081</v>
      </c>
      <c r="BM64" s="30">
        <f t="shared" si="778"/>
        <v>3039</v>
      </c>
    </row>
    <row r="65" spans="1:65">
      <c r="A65" s="129"/>
      <c r="B65" s="5" t="s">
        <v>131</v>
      </c>
      <c r="C65" s="13">
        <f>C64/C61</f>
        <v>-6.2776288954459206E-2</v>
      </c>
      <c r="D65" s="13">
        <f t="shared" ref="D65" si="834">D64/D61</f>
        <v>-6.3435318057054046E-2</v>
      </c>
      <c r="E65" s="13" t="e">
        <f t="shared" ref="E65" si="835">E64/E61</f>
        <v>#DIV/0!</v>
      </c>
      <c r="F65" s="13">
        <f t="shared" ref="F65" si="836">F64/F61</f>
        <v>-0.19295544312997906</v>
      </c>
      <c r="G65" s="13">
        <f t="shared" ref="G65" si="837">G64/G61</f>
        <v>5.8600400226994413E-2</v>
      </c>
      <c r="H65" s="13" t="e">
        <f t="shared" ref="H65" si="838">H64/H61</f>
        <v>#DIV/0!</v>
      </c>
      <c r="I65" s="13" t="e">
        <f t="shared" ref="I65" si="839">I64/I61</f>
        <v>#DIV/0!</v>
      </c>
      <c r="J65" s="13">
        <f t="shared" ref="J65" si="840">J64/J61</f>
        <v>-0.10174059349920341</v>
      </c>
      <c r="K65" s="13">
        <f t="shared" ref="K65" si="841">K64/K61</f>
        <v>-0.45109356014580804</v>
      </c>
      <c r="L65" s="13">
        <f t="shared" ref="L65" si="842">L64/L61</f>
        <v>-2.062035063296646E-2</v>
      </c>
      <c r="M65" s="13">
        <f t="shared" ref="M65" si="843">M64/M61</f>
        <v>-2.2778168788790069E-2</v>
      </c>
      <c r="N65" s="13">
        <f t="shared" ref="N65" si="844">N64/N61</f>
        <v>-0.14606741573033707</v>
      </c>
      <c r="O65" s="13">
        <f t="shared" ref="O65" si="845">O64/O61</f>
        <v>7.1962616822429909E-2</v>
      </c>
      <c r="P65" s="13">
        <f t="shared" ref="P65" si="846">P64/P61</f>
        <v>-7.4177746675997205E-2</v>
      </c>
      <c r="Q65" s="13" t="e">
        <f t="shared" ref="Q65" si="847">Q64/Q61</f>
        <v>#DIV/0!</v>
      </c>
      <c r="R65" s="13">
        <f t="shared" ref="R65" si="848">R64/R61</f>
        <v>-0.76579739217652953</v>
      </c>
      <c r="S65" s="13" t="e">
        <f t="shared" ref="S65" si="849">S64/S61</f>
        <v>#DIV/0!</v>
      </c>
      <c r="T65" s="13" t="e">
        <f t="shared" ref="T65:U65" si="850">T64/T61</f>
        <v>#DIV/0!</v>
      </c>
      <c r="U65" s="13" t="e">
        <f t="shared" si="850"/>
        <v>#DIV/0!</v>
      </c>
      <c r="V65" s="160" t="e">
        <f t="shared" ref="V65" si="851">V64/V61</f>
        <v>#DIV/0!</v>
      </c>
      <c r="W65" s="13" t="e">
        <f t="shared" ref="W65" si="852">W64/W61</f>
        <v>#DIV/0!</v>
      </c>
      <c r="X65" s="13" t="e">
        <f t="shared" ref="X65" si="853">X64/X61</f>
        <v>#DIV/0!</v>
      </c>
      <c r="Y65" s="13">
        <f t="shared" ref="Y65" si="854">Y64/Y61</f>
        <v>7.3840304182509504</v>
      </c>
      <c r="Z65" s="13">
        <f t="shared" ref="Z65" si="855">Z64/Z61</f>
        <v>4.3696969696969701</v>
      </c>
      <c r="AA65" s="13">
        <f t="shared" ref="AA65:AD65" si="856">AA64/AA61</f>
        <v>5.23</v>
      </c>
      <c r="AB65" s="13">
        <f t="shared" ref="AB65" si="857">AB64/AB61</f>
        <v>-1</v>
      </c>
      <c r="AC65" s="160" t="e">
        <f t="shared" si="856"/>
        <v>#DIV/0!</v>
      </c>
      <c r="AD65" s="217">
        <f t="shared" si="856"/>
        <v>-7.5790316712692679E-2</v>
      </c>
      <c r="AE65" s="13">
        <f t="shared" ref="AE65" si="858">AE64/AE61</f>
        <v>2.6178010471204188E-2</v>
      </c>
      <c r="AF65" s="13">
        <f t="shared" ref="AF65" si="859">AF64/AF61</f>
        <v>1.4927536231884058</v>
      </c>
      <c r="AG65" s="13">
        <f t="shared" ref="AG65" si="860">AG64/AG61</f>
        <v>3.693121693121693</v>
      </c>
      <c r="AH65" s="13" t="e">
        <f t="shared" ref="AH65" si="861">AH64/AH61</f>
        <v>#DIV/0!</v>
      </c>
      <c r="AI65" s="13" t="e">
        <f t="shared" ref="AI65" si="862">AI64/AI61</f>
        <v>#DIV/0!</v>
      </c>
      <c r="AJ65" s="13">
        <f t="shared" ref="AJ65" si="863">AJ64/AJ61</f>
        <v>-1</v>
      </c>
      <c r="AK65" s="13">
        <f t="shared" ref="AK65" si="864">AK64/AK61</f>
        <v>-0.74050727900345192</v>
      </c>
      <c r="AL65" s="13">
        <f t="shared" ref="AL65" si="865">AL64/AL61</f>
        <v>0.78710756083968048</v>
      </c>
      <c r="AM65" s="13">
        <f t="shared" ref="AM65" si="866">AM64/AM61</f>
        <v>-0.53463160388533526</v>
      </c>
      <c r="AN65" s="13">
        <f t="shared" ref="AN65" si="867">AN64/AN61</f>
        <v>-0.65176739782231341</v>
      </c>
      <c r="AO65" s="160">
        <f t="shared" ref="AO65" si="868">AO64/AO61</f>
        <v>0.61401424075604116</v>
      </c>
      <c r="AP65" s="13">
        <f t="shared" ref="AP65" si="869">AP64/AP61</f>
        <v>-0.87005163511187611</v>
      </c>
      <c r="AQ65" s="160" t="e">
        <f t="shared" ref="AQ65" si="870">AQ64/AQ61</f>
        <v>#DIV/0!</v>
      </c>
      <c r="AR65" s="13" t="e">
        <f t="shared" ref="AR65" si="871">AR64/AR61</f>
        <v>#DIV/0!</v>
      </c>
      <c r="AS65" s="13" t="e">
        <f t="shared" ref="AS65" si="872">AS64/AS61</f>
        <v>#DIV/0!</v>
      </c>
      <c r="AT65" s="13" t="e">
        <f t="shared" ref="AT65" si="873">AT64/AT61</f>
        <v>#DIV/0!</v>
      </c>
      <c r="AU65" s="13" t="e">
        <f t="shared" ref="AU65" si="874">AU64/AU61</f>
        <v>#DIV/0!</v>
      </c>
      <c r="AV65" s="13" t="e">
        <f t="shared" ref="AV65" si="875">AV64/AV61</f>
        <v>#DIV/0!</v>
      </c>
      <c r="AW65" s="13" t="e">
        <f t="shared" ref="AW65" si="876">AW64/AW61</f>
        <v>#DIV/0!</v>
      </c>
      <c r="AX65" s="13">
        <f t="shared" ref="AX65" si="877">AX64/AX61</f>
        <v>-1</v>
      </c>
      <c r="AY65" s="13" t="e">
        <f t="shared" ref="AY65" si="878">AY64/AY61</f>
        <v>#DIV/0!</v>
      </c>
      <c r="AZ65" s="13" t="e">
        <f t="shared" ref="AZ65" si="879">AZ64/AZ61</f>
        <v>#DIV/0!</v>
      </c>
      <c r="BA65" s="13" t="e">
        <f t="shared" ref="BA65" si="880">BA64/BA61</f>
        <v>#DIV/0!</v>
      </c>
      <c r="BB65" s="160" t="e">
        <f t="shared" ref="BB65" si="881">BB64/BB61</f>
        <v>#DIV/0!</v>
      </c>
      <c r="BC65" s="13">
        <f t="shared" ref="BC65" si="882">BC64/BC61</f>
        <v>0.70775582424063699</v>
      </c>
      <c r="BD65" s="13">
        <f t="shared" ref="BD65" si="883">BD64/BD61</f>
        <v>0.67080207732256203</v>
      </c>
      <c r="BE65" s="13" t="e">
        <f t="shared" ref="BE65" si="884">BE64/BE61</f>
        <v>#DIV/0!</v>
      </c>
      <c r="BF65" s="13">
        <f t="shared" ref="BF65" si="885">BF64/BF61</f>
        <v>1.4227667021762289</v>
      </c>
      <c r="BG65" s="13">
        <f t="shared" ref="BG65:BH65" si="886">BG64/BG61</f>
        <v>-1</v>
      </c>
      <c r="BH65" s="160">
        <f t="shared" si="886"/>
        <v>5.0813343452007784E-3</v>
      </c>
      <c r="BI65" s="160">
        <f t="shared" ref="BI65" si="887">BI64/BI61</f>
        <v>-6.1098323182915325E-2</v>
      </c>
      <c r="BJ65" s="13">
        <f t="shared" ref="BJ65:BK65" si="888">BJ64/BJ61</f>
        <v>-0.34588826114249843</v>
      </c>
      <c r="BK65" s="50">
        <f t="shared" si="888"/>
        <v>-6.0188943611577159E-2</v>
      </c>
      <c r="BM65" s="160" t="e">
        <f t="shared" ref="BM65" si="889">BM64/BM61</f>
        <v>#DIV/0!</v>
      </c>
    </row>
    <row r="66" spans="1:65">
      <c r="A66" s="128"/>
      <c r="B66" s="5" t="s">
        <v>132</v>
      </c>
      <c r="C66" s="11">
        <f>C63-C62</f>
        <v>8001</v>
      </c>
      <c r="D66" s="11">
        <f t="shared" ref="D66:BK66" si="890">D63-D62</f>
        <v>50171</v>
      </c>
      <c r="E66" s="11">
        <f t="shared" si="890"/>
        <v>76</v>
      </c>
      <c r="F66" s="11">
        <f t="shared" si="890"/>
        <v>3161</v>
      </c>
      <c r="G66" s="11">
        <f t="shared" si="890"/>
        <v>4585</v>
      </c>
      <c r="H66" s="11">
        <f t="shared" si="890"/>
        <v>0</v>
      </c>
      <c r="I66" s="11">
        <f t="shared" si="890"/>
        <v>0</v>
      </c>
      <c r="J66" s="11">
        <f t="shared" si="890"/>
        <v>-115083</v>
      </c>
      <c r="K66" s="11">
        <f t="shared" si="890"/>
        <v>-13284</v>
      </c>
      <c r="L66" s="11">
        <f t="shared" si="890"/>
        <v>-21383</v>
      </c>
      <c r="M66" s="11">
        <f t="shared" si="890"/>
        <v>-9258</v>
      </c>
      <c r="N66" s="11">
        <f t="shared" si="890"/>
        <v>-59</v>
      </c>
      <c r="O66" s="11">
        <f t="shared" si="890"/>
        <v>372</v>
      </c>
      <c r="P66" s="11">
        <f t="shared" si="890"/>
        <v>-2041</v>
      </c>
      <c r="Q66" s="11">
        <f t="shared" si="890"/>
        <v>0</v>
      </c>
      <c r="R66" s="11">
        <f t="shared" si="890"/>
        <v>-2489</v>
      </c>
      <c r="S66" s="11">
        <f t="shared" si="890"/>
        <v>0</v>
      </c>
      <c r="T66" s="11">
        <f t="shared" si="890"/>
        <v>0</v>
      </c>
      <c r="U66" s="11">
        <f t="shared" ref="U66" si="891">U63-U62</f>
        <v>0</v>
      </c>
      <c r="V66" s="9">
        <f t="shared" si="890"/>
        <v>0</v>
      </c>
      <c r="W66" s="11">
        <f t="shared" si="890"/>
        <v>0</v>
      </c>
      <c r="X66" s="11">
        <f t="shared" si="890"/>
        <v>0</v>
      </c>
      <c r="Y66" s="11">
        <f t="shared" si="890"/>
        <v>1948</v>
      </c>
      <c r="Z66" s="11">
        <f t="shared" si="890"/>
        <v>784</v>
      </c>
      <c r="AA66" s="11">
        <f t="shared" si="890"/>
        <v>556</v>
      </c>
      <c r="AB66" s="11">
        <f t="shared" ref="AB66" si="892">AB63-AB62</f>
        <v>0</v>
      </c>
      <c r="AC66" s="9">
        <f t="shared" ref="AC66:AD66" si="893">AC63-AC62</f>
        <v>0</v>
      </c>
      <c r="AD66" s="216">
        <f t="shared" si="893"/>
        <v>-93943</v>
      </c>
      <c r="AE66" s="11">
        <f t="shared" si="890"/>
        <v>76</v>
      </c>
      <c r="AF66" s="11">
        <f t="shared" si="890"/>
        <v>150</v>
      </c>
      <c r="AG66" s="11">
        <f t="shared" si="890"/>
        <v>887</v>
      </c>
      <c r="AH66" s="11">
        <f t="shared" si="890"/>
        <v>0</v>
      </c>
      <c r="AI66" s="11">
        <f t="shared" si="890"/>
        <v>0</v>
      </c>
      <c r="AJ66" s="11">
        <f t="shared" si="890"/>
        <v>-2</v>
      </c>
      <c r="AK66" s="11">
        <f t="shared" si="890"/>
        <v>-8031</v>
      </c>
      <c r="AL66" s="11">
        <f t="shared" si="890"/>
        <v>2360</v>
      </c>
      <c r="AM66" s="11">
        <f t="shared" si="890"/>
        <v>9979</v>
      </c>
      <c r="AN66" s="11">
        <f t="shared" si="890"/>
        <v>-3590</v>
      </c>
      <c r="AO66" s="9">
        <f t="shared" si="890"/>
        <v>91018</v>
      </c>
      <c r="AP66" s="11">
        <f t="shared" si="890"/>
        <v>146</v>
      </c>
      <c r="AQ66" s="9">
        <f t="shared" si="890"/>
        <v>0</v>
      </c>
      <c r="AR66" s="11">
        <f t="shared" si="890"/>
        <v>0</v>
      </c>
      <c r="AS66" s="11">
        <f t="shared" si="890"/>
        <v>0</v>
      </c>
      <c r="AT66" s="11">
        <f t="shared" si="890"/>
        <v>0</v>
      </c>
      <c r="AU66" s="11">
        <f t="shared" si="890"/>
        <v>0</v>
      </c>
      <c r="AV66" s="11">
        <f t="shared" si="890"/>
        <v>0</v>
      </c>
      <c r="AW66" s="11">
        <f t="shared" si="890"/>
        <v>-161</v>
      </c>
      <c r="AX66" s="11">
        <f t="shared" si="890"/>
        <v>-42</v>
      </c>
      <c r="AY66" s="11">
        <f t="shared" si="890"/>
        <v>0</v>
      </c>
      <c r="AZ66" s="11">
        <f t="shared" si="890"/>
        <v>0</v>
      </c>
      <c r="BA66" s="11">
        <f t="shared" si="890"/>
        <v>0</v>
      </c>
      <c r="BB66" s="9">
        <f t="shared" si="890"/>
        <v>0</v>
      </c>
      <c r="BC66" s="11">
        <f t="shared" si="890"/>
        <v>1548</v>
      </c>
      <c r="BD66" s="11">
        <f t="shared" si="890"/>
        <v>1548</v>
      </c>
      <c r="BE66" s="11">
        <f t="shared" si="890"/>
        <v>0</v>
      </c>
      <c r="BF66" s="11">
        <f t="shared" si="890"/>
        <v>11505</v>
      </c>
      <c r="BG66" s="11">
        <f t="shared" si="890"/>
        <v>-4</v>
      </c>
      <c r="BH66" s="9">
        <f t="shared" si="890"/>
        <v>107387</v>
      </c>
      <c r="BI66" s="9">
        <f t="shared" si="890"/>
        <v>13444</v>
      </c>
      <c r="BJ66" s="11">
        <f t="shared" si="890"/>
        <v>-808</v>
      </c>
      <c r="BK66" s="49">
        <f t="shared" si="890"/>
        <v>14252</v>
      </c>
      <c r="BM66" s="30">
        <f t="shared" si="778"/>
        <v>108195</v>
      </c>
    </row>
    <row r="67" spans="1:65">
      <c r="A67" s="128"/>
      <c r="B67" s="5" t="s">
        <v>133</v>
      </c>
      <c r="C67" s="13">
        <f>C66/C62</f>
        <v>1.8689252920414755E-2</v>
      </c>
      <c r="D67" s="13">
        <f t="shared" ref="D67" si="894">D66/D62</f>
        <v>0.17610038610038611</v>
      </c>
      <c r="E67" s="13">
        <f t="shared" ref="E67" si="895">E66/E62</f>
        <v>1.1875</v>
      </c>
      <c r="F67" s="13">
        <f t="shared" ref="F67" si="896">F66/F62</f>
        <v>3.8916110604978703E-2</v>
      </c>
      <c r="G67" s="13">
        <f t="shared" ref="G67" si="897">G66/G62</f>
        <v>0.14858383563419533</v>
      </c>
      <c r="H67" s="13" t="e">
        <f t="shared" ref="H67" si="898">H66/H62</f>
        <v>#DIV/0!</v>
      </c>
      <c r="I67" s="13" t="e">
        <f t="shared" ref="I67" si="899">I66/I62</f>
        <v>#DIV/0!</v>
      </c>
      <c r="J67" s="13">
        <f t="shared" ref="J67" si="900">J66/J62</f>
        <v>-0.38870593480529747</v>
      </c>
      <c r="K67" s="13">
        <f t="shared" ref="K67" si="901">K66/K62</f>
        <v>-0.78612853592141085</v>
      </c>
      <c r="L67" s="13">
        <f t="shared" ref="L67" si="902">L66/L62</f>
        <v>-0.48712866776016039</v>
      </c>
      <c r="M67" s="13">
        <f t="shared" ref="M67" si="903">M66/M62</f>
        <v>-0.23258968947844438</v>
      </c>
      <c r="N67" s="13">
        <f t="shared" ref="N67" si="904">N66/N62</f>
        <v>-0.43703703703703706</v>
      </c>
      <c r="O67" s="13">
        <f t="shared" ref="O67" si="905">O66/O62</f>
        <v>0.48</v>
      </c>
      <c r="P67" s="13">
        <f t="shared" ref="P67" si="906">P66/P62</f>
        <v>-0.606718192627824</v>
      </c>
      <c r="Q67" s="13" t="e">
        <f t="shared" ref="Q67" si="907">Q66/Q62</f>
        <v>#DIV/0!</v>
      </c>
      <c r="R67" s="13">
        <f t="shared" ref="R67" si="908">R66/R62</f>
        <v>-0.84201623815967519</v>
      </c>
      <c r="S67" s="13" t="e">
        <f t="shared" ref="S67" si="909">S66/S62</f>
        <v>#DIV/0!</v>
      </c>
      <c r="T67" s="13" t="e">
        <f t="shared" ref="T67:U67" si="910">T66/T62</f>
        <v>#DIV/0!</v>
      </c>
      <c r="U67" s="13" t="e">
        <f t="shared" si="910"/>
        <v>#DIV/0!</v>
      </c>
      <c r="V67" s="160" t="e">
        <f t="shared" ref="V67" si="911">V66/V62</f>
        <v>#DIV/0!</v>
      </c>
      <c r="W67" s="13" t="e">
        <f t="shared" ref="W67" si="912">W66/W62</f>
        <v>#DIV/0!</v>
      </c>
      <c r="X67" s="13" t="e">
        <f t="shared" ref="X67" si="913">X66/X62</f>
        <v>#DIV/0!</v>
      </c>
      <c r="Y67" s="13">
        <f t="shared" ref="Y67" si="914">Y66/Y62</f>
        <v>7.5797665369649803</v>
      </c>
      <c r="Z67" s="13">
        <f t="shared" ref="Z67" si="915">Z66/Z62</f>
        <v>7.6862745098039218</v>
      </c>
      <c r="AA67" s="13">
        <f t="shared" ref="AA67:AD67" si="916">AA66/AA62</f>
        <v>8.2985074626865671</v>
      </c>
      <c r="AB67" s="13" t="e">
        <f t="shared" ref="AB67" si="917">AB66/AB62</f>
        <v>#DIV/0!</v>
      </c>
      <c r="AC67" s="160" t="e">
        <f t="shared" si="916"/>
        <v>#DIV/0!</v>
      </c>
      <c r="AD67" s="217">
        <f t="shared" si="916"/>
        <v>-7.6408974229671828E-2</v>
      </c>
      <c r="AE67" s="13">
        <f t="shared" ref="AE67" si="918">AE66/AE62</f>
        <v>0.24050632911392406</v>
      </c>
      <c r="AF67" s="13">
        <f t="shared" ref="AF67" si="919">AF66/AF62</f>
        <v>0.77319587628865982</v>
      </c>
      <c r="AG67" s="13" t="e">
        <f t="shared" ref="AG67" si="920">AG66/AG62</f>
        <v>#DIV/0!</v>
      </c>
      <c r="AH67" s="13" t="e">
        <f t="shared" ref="AH67" si="921">AH66/AH62</f>
        <v>#DIV/0!</v>
      </c>
      <c r="AI67" s="13" t="e">
        <f t="shared" ref="AI67" si="922">AI66/AI62</f>
        <v>#DIV/0!</v>
      </c>
      <c r="AJ67" s="13">
        <f t="shared" ref="AJ67" si="923">AJ66/AJ62</f>
        <v>-1</v>
      </c>
      <c r="AK67" s="13">
        <f t="shared" ref="AK67" si="924">AK66/AK62</f>
        <v>-0.69901645051788663</v>
      </c>
      <c r="AL67" s="13">
        <f t="shared" ref="AL67" si="925">AL66/AL62</f>
        <v>0.32506887052341599</v>
      </c>
      <c r="AM67" s="13">
        <f t="shared" ref="AM67" si="926">AM66/AM62</f>
        <v>0.25502823992435281</v>
      </c>
      <c r="AN67" s="13">
        <f t="shared" ref="AN67" si="927">AN66/AN62</f>
        <v>-0.28911975517435773</v>
      </c>
      <c r="AO67" s="160">
        <f t="shared" ref="AO67" si="928">AO66/AO62</f>
        <v>1.0986938992298592</v>
      </c>
      <c r="AP67" s="13">
        <f t="shared" ref="AP67" si="929">AP66/AP62</f>
        <v>29.2</v>
      </c>
      <c r="AQ67" s="160" t="e">
        <f t="shared" ref="AQ67" si="930">AQ66/AQ62</f>
        <v>#DIV/0!</v>
      </c>
      <c r="AR67" s="13" t="e">
        <f t="shared" ref="AR67" si="931">AR66/AR62</f>
        <v>#DIV/0!</v>
      </c>
      <c r="AS67" s="13" t="e">
        <f t="shared" ref="AS67" si="932">AS66/AS62</f>
        <v>#DIV/0!</v>
      </c>
      <c r="AT67" s="13" t="e">
        <f t="shared" ref="AT67" si="933">AT66/AT62</f>
        <v>#DIV/0!</v>
      </c>
      <c r="AU67" s="13" t="e">
        <f t="shared" ref="AU67" si="934">AU66/AU62</f>
        <v>#DIV/0!</v>
      </c>
      <c r="AV67" s="13" t="e">
        <f t="shared" ref="AV67" si="935">AV66/AV62</f>
        <v>#DIV/0!</v>
      </c>
      <c r="AW67" s="13">
        <f t="shared" ref="AW67" si="936">AW66/AW62</f>
        <v>-1</v>
      </c>
      <c r="AX67" s="13">
        <f t="shared" ref="AX67" si="937">AX66/AX62</f>
        <v>-1</v>
      </c>
      <c r="AY67" s="13" t="e">
        <f t="shared" ref="AY67" si="938">AY66/AY62</f>
        <v>#DIV/0!</v>
      </c>
      <c r="AZ67" s="13" t="e">
        <f t="shared" ref="AZ67" si="939">AZ66/AZ62</f>
        <v>#DIV/0!</v>
      </c>
      <c r="BA67" s="13" t="e">
        <f t="shared" ref="BA67" si="940">BA66/BA62</f>
        <v>#DIV/0!</v>
      </c>
      <c r="BB67" s="160" t="e">
        <f t="shared" ref="BB67" si="941">BB66/BB62</f>
        <v>#DIV/0!</v>
      </c>
      <c r="BC67" s="13">
        <f t="shared" ref="BC67" si="942">BC66/BC62</f>
        <v>0.36483620080131984</v>
      </c>
      <c r="BD67" s="13">
        <f t="shared" ref="BD67" si="943">BD66/BD62</f>
        <v>0.36483620080131984</v>
      </c>
      <c r="BE67" s="13" t="e">
        <f t="shared" ref="BE67" si="944">BE66/BE62</f>
        <v>#DIV/0!</v>
      </c>
      <c r="BF67" s="13">
        <f t="shared" ref="BF67" si="945">BF66/BF62</f>
        <v>2.6058890147225369</v>
      </c>
      <c r="BG67" s="13">
        <f t="shared" ref="BG67:BH67" si="946">BG66/BG62</f>
        <v>-1</v>
      </c>
      <c r="BH67" s="160">
        <f t="shared" si="946"/>
        <v>0.64395365850733377</v>
      </c>
      <c r="BI67" s="160">
        <f t="shared" ref="BI67" si="947">BI66/BI62</f>
        <v>9.6287309183677849E-3</v>
      </c>
      <c r="BJ67" s="13">
        <f t="shared" ref="BJ67:BK67" si="948">BJ66/BJ62</f>
        <v>-0.20538891713268936</v>
      </c>
      <c r="BK67" s="50">
        <f t="shared" si="948"/>
        <v>1.023627023983268E-2</v>
      </c>
      <c r="BM67" s="14">
        <f t="shared" ref="BM67" si="949">BM66/BM62</f>
        <v>0.6644741690618321</v>
      </c>
    </row>
    <row r="68" spans="1:65">
      <c r="A68" s="128"/>
      <c r="B68" s="5" t="s">
        <v>431</v>
      </c>
      <c r="C68" s="126">
        <f>C63/C60</f>
        <v>0.178072604597872</v>
      </c>
      <c r="D68" s="126">
        <f t="shared" ref="D68:BK68" si="950">D63/D60</f>
        <v>0.17794747360164251</v>
      </c>
      <c r="E68" s="126" t="e">
        <f t="shared" si="950"/>
        <v>#DIV/0!</v>
      </c>
      <c r="F68" s="126">
        <f t="shared" si="950"/>
        <v>0.15333890574746062</v>
      </c>
      <c r="G68" s="126">
        <f t="shared" si="950"/>
        <v>0.20113611858308647</v>
      </c>
      <c r="H68" s="126">
        <f>H63/J60</f>
        <v>0</v>
      </c>
      <c r="I68" s="126" t="e">
        <f t="shared" si="950"/>
        <v>#DIV/0!</v>
      </c>
      <c r="J68" s="126" t="e">
        <f>J63/#REF!</f>
        <v>#REF!</v>
      </c>
      <c r="K68" s="126">
        <f t="shared" si="950"/>
        <v>0.1043001443001443</v>
      </c>
      <c r="L68" s="126">
        <f t="shared" si="950"/>
        <v>0.18608553338513167</v>
      </c>
      <c r="M68" s="126">
        <f t="shared" si="950"/>
        <v>0.18567303893262013</v>
      </c>
      <c r="N68" s="126">
        <f t="shared" si="950"/>
        <v>0.16204690831556504</v>
      </c>
      <c r="O68" s="126">
        <f t="shared" si="950"/>
        <v>0.20376621069461717</v>
      </c>
      <c r="P68" s="126">
        <f t="shared" si="950"/>
        <v>0.1758840733847381</v>
      </c>
      <c r="Q68" s="126" t="e">
        <f t="shared" si="950"/>
        <v>#DIV/0!</v>
      </c>
      <c r="R68" s="126">
        <f t="shared" si="950"/>
        <v>4.4497379704621247E-2</v>
      </c>
      <c r="S68" s="126" t="e">
        <f t="shared" si="950"/>
        <v>#DIV/0!</v>
      </c>
      <c r="T68" s="126" t="e">
        <f t="shared" si="950"/>
        <v>#DIV/0!</v>
      </c>
      <c r="U68" s="126" t="e">
        <f t="shared" si="950"/>
        <v>#DIV/0!</v>
      </c>
      <c r="V68" s="175" t="e">
        <f t="shared" si="950"/>
        <v>#DIV/0!</v>
      </c>
      <c r="W68" s="126" t="e">
        <f t="shared" si="950"/>
        <v>#DIV/0!</v>
      </c>
      <c r="X68" s="126" t="e">
        <f t="shared" si="950"/>
        <v>#DIV/0!</v>
      </c>
      <c r="Y68" s="126">
        <f t="shared" si="950"/>
        <v>1.5909090909090908</v>
      </c>
      <c r="Z68" s="126">
        <f t="shared" si="950"/>
        <v>1.0219146482122261</v>
      </c>
      <c r="AA68" s="126">
        <f t="shared" si="950"/>
        <v>1.1799242424242424</v>
      </c>
      <c r="AB68" s="126">
        <f t="shared" ref="AB68" si="951">AB63/AB60</f>
        <v>0</v>
      </c>
      <c r="AC68" s="175" t="e">
        <f t="shared" si="950"/>
        <v>#DIV/0!</v>
      </c>
      <c r="AD68" s="218">
        <f t="shared" si="950"/>
        <v>0.17560013138312283</v>
      </c>
      <c r="AE68" s="126">
        <f t="shared" si="950"/>
        <v>0.24623115577889448</v>
      </c>
      <c r="AF68" s="126">
        <f t="shared" si="950"/>
        <v>0.59618717504332752</v>
      </c>
      <c r="AG68" s="126">
        <f t="shared" si="950"/>
        <v>1.1284987277353689</v>
      </c>
      <c r="AH68" s="126" t="e">
        <f t="shared" si="950"/>
        <v>#DIV/0!</v>
      </c>
      <c r="AI68" s="126" t="e">
        <f t="shared" si="950"/>
        <v>#DIV/0!</v>
      </c>
      <c r="AJ68" s="126">
        <f t="shared" si="950"/>
        <v>0</v>
      </c>
      <c r="AK68" s="126">
        <f t="shared" si="950"/>
        <v>6.2278253039171547E-2</v>
      </c>
      <c r="AL68" s="126">
        <f t="shared" si="950"/>
        <v>0.42887075921715484</v>
      </c>
      <c r="AM68" s="126">
        <f t="shared" si="950"/>
        <v>0.11168803404224349</v>
      </c>
      <c r="AN68" s="126">
        <f t="shared" si="950"/>
        <v>8.3575560752530365E-2</v>
      </c>
      <c r="AO68" s="175">
        <f t="shared" si="950"/>
        <v>0.38736183552383857</v>
      </c>
      <c r="AP68" s="126">
        <f t="shared" si="950"/>
        <v>3.1185460553490293E-2</v>
      </c>
      <c r="AQ68" s="175" t="e">
        <f t="shared" si="950"/>
        <v>#DIV/0!</v>
      </c>
      <c r="AR68" s="126" t="e">
        <f t="shared" si="950"/>
        <v>#DIV/0!</v>
      </c>
      <c r="AS68" s="126" t="e">
        <f t="shared" si="950"/>
        <v>#DIV/0!</v>
      </c>
      <c r="AT68" s="126" t="e">
        <f t="shared" si="950"/>
        <v>#DIV/0!</v>
      </c>
      <c r="AU68" s="126" t="e">
        <f t="shared" si="950"/>
        <v>#DIV/0!</v>
      </c>
      <c r="AV68" s="126" t="e">
        <f t="shared" si="950"/>
        <v>#DIV/0!</v>
      </c>
      <c r="AW68" s="126">
        <f t="shared" si="950"/>
        <v>0</v>
      </c>
      <c r="AX68" s="126">
        <f t="shared" si="950"/>
        <v>0</v>
      </c>
      <c r="AY68" s="126" t="e">
        <f t="shared" si="950"/>
        <v>#DIV/0!</v>
      </c>
      <c r="AZ68" s="126" t="e">
        <f t="shared" si="950"/>
        <v>#DIV/0!</v>
      </c>
      <c r="BA68" s="126" t="e">
        <f t="shared" si="950"/>
        <v>#DIV/0!</v>
      </c>
      <c r="BB68" s="175" t="e">
        <f t="shared" si="950"/>
        <v>#DIV/0!</v>
      </c>
      <c r="BC68" s="126">
        <f t="shared" si="950"/>
        <v>0.40983722576079262</v>
      </c>
      <c r="BD68" s="126">
        <f t="shared" si="950"/>
        <v>0.40095548016340093</v>
      </c>
      <c r="BE68" s="126" t="e">
        <f t="shared" si="950"/>
        <v>#DIV/0!</v>
      </c>
      <c r="BF68" s="126">
        <f t="shared" si="950"/>
        <v>0.58142507578247693</v>
      </c>
      <c r="BG68" s="126">
        <f t="shared" si="950"/>
        <v>0</v>
      </c>
      <c r="BH68" s="126">
        <f t="shared" si="950"/>
        <v>0.2409950675606182</v>
      </c>
      <c r="BI68" s="175">
        <f t="shared" si="950"/>
        <v>0.18538312277958563</v>
      </c>
      <c r="BJ68" s="126">
        <f t="shared" si="950"/>
        <v>0.15695134809459255</v>
      </c>
      <c r="BK68" s="126">
        <f t="shared" si="950"/>
        <v>0.18545778758525247</v>
      </c>
      <c r="BM68" s="126" t="e">
        <f t="shared" ref="BM68" si="952">BM63/BM60</f>
        <v>#DIV/0!</v>
      </c>
    </row>
    <row r="69" spans="1:65" s="178" customFormat="1">
      <c r="A69" s="128"/>
      <c r="B69" s="5" t="s">
        <v>432</v>
      </c>
      <c r="C69" s="11">
        <f>C60-C63</f>
        <v>2012938</v>
      </c>
      <c r="D69" s="11">
        <f t="shared" ref="D69:BK69" si="953">D60-D63</f>
        <v>1547906</v>
      </c>
      <c r="E69" s="11">
        <f t="shared" si="953"/>
        <v>-140</v>
      </c>
      <c r="F69" s="11">
        <f t="shared" si="953"/>
        <v>465943</v>
      </c>
      <c r="G69" s="11">
        <f t="shared" si="953"/>
        <v>140771</v>
      </c>
      <c r="H69" s="11">
        <f>J60-H63</f>
        <v>1060436</v>
      </c>
      <c r="I69" s="11">
        <f t="shared" si="953"/>
        <v>0</v>
      </c>
      <c r="J69" s="11" t="e">
        <f>#REF!-J63</f>
        <v>#REF!</v>
      </c>
      <c r="K69" s="11">
        <f t="shared" si="953"/>
        <v>31036</v>
      </c>
      <c r="L69" s="11">
        <f t="shared" si="953"/>
        <v>98469</v>
      </c>
      <c r="M69" s="11">
        <f t="shared" si="953"/>
        <v>133969</v>
      </c>
      <c r="N69" s="11">
        <f t="shared" si="953"/>
        <v>393</v>
      </c>
      <c r="O69" s="11">
        <f t="shared" si="953"/>
        <v>4482</v>
      </c>
      <c r="P69" s="11">
        <f t="shared" si="953"/>
        <v>6199</v>
      </c>
      <c r="Q69" s="11">
        <f t="shared" si="953"/>
        <v>0</v>
      </c>
      <c r="R69" s="11">
        <f t="shared" si="953"/>
        <v>10028</v>
      </c>
      <c r="S69" s="11">
        <f t="shared" si="953"/>
        <v>0</v>
      </c>
      <c r="T69" s="11">
        <f t="shared" si="953"/>
        <v>0</v>
      </c>
      <c r="U69" s="11">
        <f t="shared" si="953"/>
        <v>0</v>
      </c>
      <c r="V69" s="11">
        <f t="shared" si="953"/>
        <v>0</v>
      </c>
      <c r="W69" s="11">
        <f t="shared" si="953"/>
        <v>0</v>
      </c>
      <c r="X69" s="11">
        <f t="shared" si="953"/>
        <v>0</v>
      </c>
      <c r="Y69" s="11">
        <f t="shared" si="953"/>
        <v>-819</v>
      </c>
      <c r="Z69" s="11">
        <f t="shared" si="953"/>
        <v>-19</v>
      </c>
      <c r="AA69" s="11">
        <f t="shared" si="953"/>
        <v>-95</v>
      </c>
      <c r="AB69" s="11">
        <f t="shared" si="953"/>
        <v>538</v>
      </c>
      <c r="AC69" s="11">
        <f t="shared" si="953"/>
        <v>0</v>
      </c>
      <c r="AD69" s="11">
        <f t="shared" si="953"/>
        <v>5331051</v>
      </c>
      <c r="AE69" s="11">
        <f t="shared" si="953"/>
        <v>1200</v>
      </c>
      <c r="AF69" s="11">
        <f t="shared" si="953"/>
        <v>233</v>
      </c>
      <c r="AG69" s="11">
        <f t="shared" si="953"/>
        <v>-101</v>
      </c>
      <c r="AH69" s="11">
        <f t="shared" si="953"/>
        <v>0</v>
      </c>
      <c r="AI69" s="11">
        <f t="shared" si="953"/>
        <v>0</v>
      </c>
      <c r="AJ69" s="11">
        <f t="shared" si="953"/>
        <v>117</v>
      </c>
      <c r="AK69" s="11">
        <f t="shared" si="953"/>
        <v>52067</v>
      </c>
      <c r="AL69" s="11">
        <f t="shared" si="953"/>
        <v>12811</v>
      </c>
      <c r="AM69" s="11">
        <f t="shared" si="953"/>
        <v>390581</v>
      </c>
      <c r="AN69" s="11">
        <f t="shared" si="953"/>
        <v>96790</v>
      </c>
      <c r="AO69" s="11">
        <f t="shared" si="953"/>
        <v>274971</v>
      </c>
      <c r="AP69" s="11">
        <f t="shared" si="953"/>
        <v>4691</v>
      </c>
      <c r="AQ69" s="11">
        <f t="shared" si="953"/>
        <v>0</v>
      </c>
      <c r="AR69" s="11">
        <f t="shared" si="953"/>
        <v>0</v>
      </c>
      <c r="AS69" s="11">
        <f t="shared" si="953"/>
        <v>0</v>
      </c>
      <c r="AT69" s="11">
        <f t="shared" si="953"/>
        <v>0</v>
      </c>
      <c r="AU69" s="11">
        <f t="shared" si="953"/>
        <v>0</v>
      </c>
      <c r="AV69" s="11">
        <f t="shared" si="953"/>
        <v>0</v>
      </c>
      <c r="AW69" s="11">
        <f t="shared" si="953"/>
        <v>1046</v>
      </c>
      <c r="AX69" s="11">
        <f t="shared" si="953"/>
        <v>401</v>
      </c>
      <c r="AY69" s="11">
        <f t="shared" si="953"/>
        <v>0</v>
      </c>
      <c r="AZ69" s="11">
        <f t="shared" si="953"/>
        <v>0</v>
      </c>
      <c r="BA69" s="11">
        <f t="shared" si="953"/>
        <v>0</v>
      </c>
      <c r="BB69" s="11">
        <f t="shared" si="953"/>
        <v>0</v>
      </c>
      <c r="BC69" s="11">
        <f t="shared" si="953"/>
        <v>8339</v>
      </c>
      <c r="BD69" s="11">
        <f t="shared" si="953"/>
        <v>8652</v>
      </c>
      <c r="BE69" s="11">
        <f t="shared" si="953"/>
        <v>0</v>
      </c>
      <c r="BF69" s="11">
        <f t="shared" si="953"/>
        <v>11461</v>
      </c>
      <c r="BG69" s="11">
        <f t="shared" si="953"/>
        <v>163</v>
      </c>
      <c r="BH69" s="11">
        <f t="shared" si="953"/>
        <v>863422</v>
      </c>
      <c r="BI69" s="11">
        <f t="shared" si="953"/>
        <v>6194473</v>
      </c>
      <c r="BJ69" s="11">
        <f t="shared" si="953"/>
        <v>16791</v>
      </c>
      <c r="BK69" s="11">
        <f t="shared" si="953"/>
        <v>6177682</v>
      </c>
      <c r="BL69" s="11">
        <f t="shared" ref="BL69:BM69" si="954">BL63-BL60</f>
        <v>1406558</v>
      </c>
      <c r="BM69" s="11">
        <f t="shared" si="954"/>
        <v>271023</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22"/>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9"/>
      <c r="BJ70" s="5"/>
      <c r="BK70" s="48"/>
    </row>
    <row r="71" spans="1:65" s="265" customFormat="1">
      <c r="A71" s="15" t="s">
        <v>139</v>
      </c>
      <c r="B71" s="11" t="s">
        <v>430</v>
      </c>
      <c r="C71" s="266">
        <v>2775201</v>
      </c>
      <c r="D71" s="120">
        <v>1736486</v>
      </c>
      <c r="E71" s="120">
        <v>0</v>
      </c>
      <c r="F71" s="120">
        <v>416535</v>
      </c>
      <c r="G71" s="120">
        <v>195704</v>
      </c>
      <c r="H71" s="120">
        <v>0</v>
      </c>
      <c r="I71" s="120">
        <v>0</v>
      </c>
      <c r="J71" s="120">
        <v>377996</v>
      </c>
      <c r="K71" s="120">
        <v>50825</v>
      </c>
      <c r="L71" s="120">
        <v>151220</v>
      </c>
      <c r="M71" s="120">
        <v>104250</v>
      </c>
      <c r="N71" s="120">
        <v>686</v>
      </c>
      <c r="O71" s="120">
        <v>9066</v>
      </c>
      <c r="P71" s="120">
        <v>137312</v>
      </c>
      <c r="Q71" s="120">
        <v>0</v>
      </c>
      <c r="R71" s="120">
        <v>9146</v>
      </c>
      <c r="S71" s="120">
        <v>0</v>
      </c>
      <c r="T71" s="120">
        <v>0</v>
      </c>
      <c r="U71" s="120">
        <v>0</v>
      </c>
      <c r="V71" s="267">
        <v>0</v>
      </c>
      <c r="W71" s="120">
        <v>0</v>
      </c>
      <c r="X71" s="120">
        <v>0</v>
      </c>
      <c r="Y71" s="120">
        <v>8382</v>
      </c>
      <c r="Z71" s="120">
        <v>2257</v>
      </c>
      <c r="AA71" s="120">
        <v>2758</v>
      </c>
      <c r="AB71" s="120">
        <v>3037</v>
      </c>
      <c r="AC71" s="267">
        <v>0</v>
      </c>
      <c r="AD71" s="121">
        <f t="shared" ref="AD71" si="955">SUM(C71:AC71)</f>
        <v>5980861</v>
      </c>
      <c r="AE71" s="120">
        <v>5378</v>
      </c>
      <c r="AF71" s="120">
        <v>610</v>
      </c>
      <c r="AG71" s="120">
        <v>22168</v>
      </c>
      <c r="AH71" s="120">
        <v>0</v>
      </c>
      <c r="AI71" s="120">
        <v>0</v>
      </c>
      <c r="AJ71" s="120">
        <v>16389</v>
      </c>
      <c r="AK71" s="120">
        <v>19875</v>
      </c>
      <c r="AL71" s="120">
        <v>26629</v>
      </c>
      <c r="AM71" s="120">
        <v>0</v>
      </c>
      <c r="AN71" s="120">
        <v>0</v>
      </c>
      <c r="AO71" s="267">
        <v>215048</v>
      </c>
      <c r="AP71" s="120">
        <v>4102685</v>
      </c>
      <c r="AQ71" s="267">
        <v>0</v>
      </c>
      <c r="AR71" s="120">
        <v>0</v>
      </c>
      <c r="AS71" s="120">
        <v>0</v>
      </c>
      <c r="AT71" s="120">
        <v>0</v>
      </c>
      <c r="AU71" s="120">
        <v>0</v>
      </c>
      <c r="AV71" s="120">
        <v>0</v>
      </c>
      <c r="AW71" s="120">
        <v>348</v>
      </c>
      <c r="AX71" s="120">
        <v>915</v>
      </c>
      <c r="AY71" s="120">
        <v>0</v>
      </c>
      <c r="AZ71" s="120">
        <v>0</v>
      </c>
      <c r="BA71" s="120">
        <v>0</v>
      </c>
      <c r="BB71" s="267">
        <v>0</v>
      </c>
      <c r="BC71" s="120">
        <v>13859</v>
      </c>
      <c r="BD71" s="120">
        <v>13979</v>
      </c>
      <c r="BE71" s="120">
        <v>0</v>
      </c>
      <c r="BF71" s="120">
        <v>9231</v>
      </c>
      <c r="BG71" s="120">
        <v>20247</v>
      </c>
      <c r="BH71" s="120">
        <f t="shared" ref="BH71" si="956">SUM(AE71:BG71)</f>
        <v>4467361</v>
      </c>
      <c r="BI71" s="125">
        <f t="shared" ref="BI71" si="957">AD71+BH71</f>
        <v>10448222</v>
      </c>
      <c r="BJ71" s="268">
        <v>0</v>
      </c>
      <c r="BK71" s="276">
        <f>BI71-BJ71</f>
        <v>10448222</v>
      </c>
    </row>
    <row r="72" spans="1:65" s="41" customFormat="1">
      <c r="A72" s="134" t="s">
        <v>139</v>
      </c>
      <c r="B72" s="210" t="s">
        <v>424</v>
      </c>
      <c r="C72" s="266">
        <v>527288</v>
      </c>
      <c r="D72" s="120">
        <v>329932</v>
      </c>
      <c r="E72" s="120">
        <v>0</v>
      </c>
      <c r="F72" s="120">
        <v>79142</v>
      </c>
      <c r="G72" s="120">
        <v>37184</v>
      </c>
      <c r="H72" s="120">
        <v>0</v>
      </c>
      <c r="I72" s="120">
        <v>0</v>
      </c>
      <c r="J72" s="120">
        <v>71819</v>
      </c>
      <c r="K72" s="120">
        <v>9657</v>
      </c>
      <c r="L72" s="120">
        <v>28732</v>
      </c>
      <c r="M72" s="120">
        <v>19808</v>
      </c>
      <c r="N72" s="120">
        <v>130</v>
      </c>
      <c r="O72" s="120">
        <v>1723</v>
      </c>
      <c r="P72" s="120">
        <v>26089</v>
      </c>
      <c r="Q72" s="120">
        <v>0</v>
      </c>
      <c r="R72" s="120">
        <v>1738</v>
      </c>
      <c r="S72" s="120">
        <v>0</v>
      </c>
      <c r="T72" s="120">
        <v>0</v>
      </c>
      <c r="U72" s="120">
        <v>0</v>
      </c>
      <c r="V72" s="267">
        <v>0</v>
      </c>
      <c r="W72" s="120">
        <v>0</v>
      </c>
      <c r="X72" s="120">
        <v>0</v>
      </c>
      <c r="Y72" s="120">
        <v>1593</v>
      </c>
      <c r="Z72" s="120">
        <v>429</v>
      </c>
      <c r="AA72" s="120">
        <v>524</v>
      </c>
      <c r="AB72" s="120">
        <v>577</v>
      </c>
      <c r="AC72" s="267">
        <v>0</v>
      </c>
      <c r="AD72" s="121">
        <f t="shared" ref="AD72" si="958">SUM(C72:AC72)</f>
        <v>1136365</v>
      </c>
      <c r="AE72" s="120">
        <v>1291</v>
      </c>
      <c r="AF72" s="120">
        <v>146</v>
      </c>
      <c r="AG72" s="120">
        <v>5320</v>
      </c>
      <c r="AH72" s="120">
        <v>0</v>
      </c>
      <c r="AI72" s="120">
        <v>0</v>
      </c>
      <c r="AJ72" s="120">
        <v>3933</v>
      </c>
      <c r="AK72" s="120">
        <v>4770</v>
      </c>
      <c r="AL72" s="120">
        <v>6391</v>
      </c>
      <c r="AM72" s="120">
        <v>0</v>
      </c>
      <c r="AN72" s="120">
        <v>0</v>
      </c>
      <c r="AO72" s="267">
        <v>51612</v>
      </c>
      <c r="AP72" s="120">
        <v>2498057</v>
      </c>
      <c r="AQ72" s="267">
        <v>0</v>
      </c>
      <c r="AR72" s="120">
        <v>0</v>
      </c>
      <c r="AS72" s="120">
        <v>0</v>
      </c>
      <c r="AT72" s="120">
        <v>0</v>
      </c>
      <c r="AU72" s="120">
        <v>0</v>
      </c>
      <c r="AV72" s="120">
        <v>0</v>
      </c>
      <c r="AW72" s="120">
        <v>0</v>
      </c>
      <c r="AX72" s="120">
        <v>220</v>
      </c>
      <c r="AY72" s="120">
        <v>0</v>
      </c>
      <c r="AZ72" s="120">
        <v>0</v>
      </c>
      <c r="BA72" s="120">
        <v>0</v>
      </c>
      <c r="BB72" s="267">
        <v>0</v>
      </c>
      <c r="BC72" s="120">
        <v>3326</v>
      </c>
      <c r="BD72" s="120">
        <v>3355</v>
      </c>
      <c r="BE72" s="120">
        <v>0</v>
      </c>
      <c r="BF72" s="120">
        <v>2215</v>
      </c>
      <c r="BG72" s="120">
        <v>4858</v>
      </c>
      <c r="BH72" s="120">
        <f t="shared" ref="BH72" si="959">SUM(AE72:BG72)</f>
        <v>2585494</v>
      </c>
      <c r="BI72" s="125">
        <f t="shared" ref="BI72" si="960">AD72+BH72</f>
        <v>3721859</v>
      </c>
      <c r="BJ72" s="268">
        <v>0</v>
      </c>
      <c r="BK72" s="276">
        <f>BI72-BJ72</f>
        <v>3721859</v>
      </c>
      <c r="BM72" s="211"/>
    </row>
    <row r="73" spans="1:65">
      <c r="A73" s="128"/>
      <c r="B73" s="12" t="s">
        <v>425</v>
      </c>
      <c r="C73" s="9">
        <f>IF('Upto Month COPPY'!$H$4="",0,'Upto Month COPPY'!$H$4)</f>
        <v>476968</v>
      </c>
      <c r="D73" s="9">
        <f>IF('Upto Month COPPY'!$H$5="",0,'Upto Month COPPY'!$H$5)</f>
        <v>269791</v>
      </c>
      <c r="E73" s="9">
        <f>IF('Upto Month COPPY'!$H$6="",0,'Upto Month COPPY'!$H$6)</f>
        <v>435</v>
      </c>
      <c r="F73" s="9">
        <f>IF('Upto Month COPPY'!$H$7="",0,'Upto Month COPPY'!$H$7)</f>
        <v>60578</v>
      </c>
      <c r="G73" s="9">
        <f>IF('Upto Month COPPY'!$H$8="",0,'Upto Month COPPY'!$H$8)</f>
        <v>32940</v>
      </c>
      <c r="H73" s="9">
        <f>IF('Upto Month COPPY'!$H$9="",0,'Upto Month COPPY'!$H$9)</f>
        <v>0</v>
      </c>
      <c r="I73" s="9">
        <f>IF('Upto Month COPPY'!$H$10="",0,'Upto Month COPPY'!$H$10)</f>
        <v>0</v>
      </c>
      <c r="J73" s="9">
        <f>IF('Upto Month COPPY'!$H$11="",0,'Upto Month COPPY'!$H$11)</f>
        <v>105630</v>
      </c>
      <c r="K73" s="9">
        <f>IF('Upto Month COPPY'!$H$12="",0,'Upto Month COPPY'!$H$12)</f>
        <v>13564</v>
      </c>
      <c r="L73" s="9">
        <f>IF('Upto Month COPPY'!$H$13="",0,'Upto Month COPPY'!$H$13)</f>
        <v>53353</v>
      </c>
      <c r="M73" s="9">
        <f>IF('Upto Month COPPY'!$H$14="",0,'Upto Month COPPY'!$H$14)</f>
        <v>19725</v>
      </c>
      <c r="N73" s="9">
        <f>IF('Upto Month COPPY'!$H$15="",0,'Upto Month COPPY'!$H$15)</f>
        <v>146</v>
      </c>
      <c r="O73" s="9">
        <f>IF('Upto Month COPPY'!$H$16="",0,'Upto Month COPPY'!$H$16)</f>
        <v>2412</v>
      </c>
      <c r="P73" s="9">
        <f>IF('Upto Month COPPY'!$H$17="",0,'Upto Month COPPY'!$H$17)</f>
        <v>49468</v>
      </c>
      <c r="Q73" s="9">
        <f>IF('Upto Month COPPY'!$H$18="",0,'Upto Month COPPY'!$H$18)</f>
        <v>0</v>
      </c>
      <c r="R73" s="9">
        <f>IF('Upto Month COPPY'!$H$21="",0,'Upto Month COPPY'!$H$21)</f>
        <v>3528</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1604</v>
      </c>
      <c r="Z73" s="9">
        <f>IF('Upto Month COPPY'!$H$43="",0,'Upto Month COPPY'!$H$43)</f>
        <v>343</v>
      </c>
      <c r="AA73" s="9">
        <f>IF('Upto Month COPPY'!$H$44="",0,'Upto Month COPPY'!$H$44)</f>
        <v>673</v>
      </c>
      <c r="AB73" s="9">
        <f>IF('Upto Month COPPY'!$H$48="",0,'Upto Month COPPY'!$H$48)</f>
        <v>4</v>
      </c>
      <c r="AC73" s="9">
        <f>IF('Upto Month COPPY'!$H$51="",0,'Upto Month COPPY'!$H$51)</f>
        <v>0</v>
      </c>
      <c r="AD73" s="221">
        <f t="shared" ref="AD73:AD74" si="961">SUM(C73:AC73)</f>
        <v>1091162</v>
      </c>
      <c r="AE73" s="9">
        <f>IF('Upto Month COPPY'!$H$19="",0,'Upto Month COPPY'!$H$19)</f>
        <v>1729</v>
      </c>
      <c r="AF73" s="9">
        <f>IF('Upto Month COPPY'!$H$20="",0,'Upto Month COPPY'!$H$20)</f>
        <v>512</v>
      </c>
      <c r="AG73" s="9">
        <f>IF('Upto Month COPPY'!$H$22="",0,'Upto Month COPPY'!$H$22)</f>
        <v>6810</v>
      </c>
      <c r="AH73" s="9">
        <f>IF('Upto Month COPPY'!$H$23="",0,'Upto Month COPPY'!$H$23)</f>
        <v>0</v>
      </c>
      <c r="AI73" s="9">
        <f>IF('Upto Month COPPY'!$H$24="",0,'Upto Month COPPY'!$H$24)</f>
        <v>0</v>
      </c>
      <c r="AJ73" s="9">
        <f>IF('Upto Month COPPY'!$H$25="",0,'Upto Month COPPY'!$H$25)</f>
        <v>1213</v>
      </c>
      <c r="AK73" s="9">
        <f>IF('Upto Month COPPY'!$H$28="",0,'Upto Month COPPY'!$H$28)</f>
        <v>2172</v>
      </c>
      <c r="AL73" s="9">
        <f>IF('Upto Month COPPY'!$H$29="",0,'Upto Month COPPY'!$H$29)</f>
        <v>9044</v>
      </c>
      <c r="AM73" s="9">
        <f>IF('Upto Month COPPY'!$H$31="",0,'Upto Month COPPY'!$H$31)</f>
        <v>0</v>
      </c>
      <c r="AN73" s="9">
        <f>IF('Upto Month COPPY'!$H$32="",0,'Upto Month COPPY'!$H$32)</f>
        <v>0</v>
      </c>
      <c r="AO73" s="9">
        <f>IF('Upto Month COPPY'!$H$33="",0,'Upto Month COPPY'!$H$33)</f>
        <v>47745</v>
      </c>
      <c r="AP73" s="9">
        <f>IF('Upto Month COPPY'!$H$34="",0,'Upto Month COPPY'!$H$34)</f>
        <v>3619282</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242</v>
      </c>
      <c r="AX73" s="9">
        <f>IF('Upto Month COPPY'!$H$46="",0,'Upto Month COPPY'!$H$46)</f>
        <v>63</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1956</v>
      </c>
      <c r="BD73" s="9">
        <f>IF('Upto Month COPPY'!$H$54="",0,'Upto Month COPPY'!$H$54)</f>
        <v>1956</v>
      </c>
      <c r="BE73" s="9">
        <f>IF('Upto Month COPPY'!$H$55="",0,'Upto Month COPPY'!$H$55)</f>
        <v>0</v>
      </c>
      <c r="BF73" s="9">
        <f>IF('Upto Month COPPY'!$H$56="",0,'Upto Month COPPY'!$H$56)</f>
        <v>1624</v>
      </c>
      <c r="BG73" s="9">
        <f>IF('Upto Month COPPY'!$H$58="",0,'Upto Month COPPY'!$H$58)</f>
        <v>2125</v>
      </c>
      <c r="BH73" s="9">
        <f>SUM(AE73:BG73)</f>
        <v>3696473</v>
      </c>
      <c r="BI73" s="274">
        <f>AD73+BH73</f>
        <v>4787635</v>
      </c>
      <c r="BJ73" s="9">
        <f>IF('Upto Month COPPY'!$H$60="",0,'Upto Month COPPY'!$H$60)</f>
        <v>0</v>
      </c>
      <c r="BK73" s="49">
        <f t="shared" ref="BK73:BK74" si="962">BI73-BJ73</f>
        <v>4787635</v>
      </c>
      <c r="BL73">
        <f>'Upto Month COPPY'!$H$61</f>
        <v>4787634</v>
      </c>
      <c r="BM73" s="30">
        <f t="shared" ref="BM73:BM77" si="963">BK73-AD73</f>
        <v>3696473</v>
      </c>
    </row>
    <row r="74" spans="1:65">
      <c r="A74" s="128"/>
      <c r="B74" s="180" t="s">
        <v>426</v>
      </c>
      <c r="C74" s="9">
        <f>IF('Upto Month Current'!$H$4="",0,'Upto Month Current'!$H$4)</f>
        <v>519504</v>
      </c>
      <c r="D74" s="9">
        <f>IF('Upto Month Current'!$H$5="",0,'Upto Month Current'!$H$5)</f>
        <v>341626</v>
      </c>
      <c r="E74" s="9">
        <f>IF('Upto Month Current'!$H$6="",0,'Upto Month Current'!$H$6)</f>
        <v>18</v>
      </c>
      <c r="F74" s="9">
        <f>IF('Upto Month Current'!$H$7="",0,'Upto Month Current'!$H$7)</f>
        <v>68791</v>
      </c>
      <c r="G74" s="9">
        <f>IF('Upto Month Current'!$H$8="",0,'Upto Month Current'!$H$8)</f>
        <v>37839</v>
      </c>
      <c r="H74" s="9">
        <f>IF('Upto Month Current'!$H$9="",0,'Upto Month Current'!$H$9)</f>
        <v>0</v>
      </c>
      <c r="I74" s="9">
        <f>IF('Upto Month Current'!$H$10="",0,'Upto Month Current'!$H$10)</f>
        <v>0</v>
      </c>
      <c r="J74" s="9">
        <f>IF('Upto Month Current'!$H$11="",0,'Upto Month Current'!$H$11)</f>
        <v>80167</v>
      </c>
      <c r="K74" s="9">
        <f>IF('Upto Month Current'!$H$12="",0,'Upto Month Current'!$H$12)</f>
        <v>6824</v>
      </c>
      <c r="L74" s="9">
        <f>IF('Upto Month Current'!$H$13="",0,'Upto Month Current'!$H$13)</f>
        <v>39592</v>
      </c>
      <c r="M74" s="9">
        <f>IF('Upto Month Current'!$H$14="",0,'Upto Month Current'!$H$14)</f>
        <v>21195</v>
      </c>
      <c r="N74" s="9">
        <f>IF('Upto Month Current'!$H$15="",0,'Upto Month Current'!$H$15)</f>
        <v>108</v>
      </c>
      <c r="O74" s="9">
        <f>IF('Upto Month Current'!$H$16="",0,'Upto Month Current'!$H$16)</f>
        <v>2532</v>
      </c>
      <c r="P74" s="9">
        <f>IF('Upto Month Current'!$H$17="",0,'Upto Month Current'!$H$17)</f>
        <v>42958</v>
      </c>
      <c r="Q74" s="9">
        <f>IF('Upto Month Current'!$H$18="",0,'Upto Month Current'!$H$18)</f>
        <v>0</v>
      </c>
      <c r="R74" s="9">
        <f>IF('Upto Month Current'!$H$21="",0,'Upto Month Current'!$H$21)</f>
        <v>628</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2986</v>
      </c>
      <c r="Z74" s="9">
        <f>IF('Upto Month Current'!$H$43="",0,'Upto Month Current'!$H$43)</f>
        <v>1355</v>
      </c>
      <c r="AA74" s="9">
        <f>IF('Upto Month Current'!$H$44="",0,'Upto Month Current'!$H$44)</f>
        <v>1638</v>
      </c>
      <c r="AB74" s="9">
        <f>IF('Upto Month Current'!$H$48="",0,'Upto Month Current'!$H$48)</f>
        <v>0</v>
      </c>
      <c r="AC74" s="9">
        <f>IF('Upto Month Current'!$H$51="",0,'Upto Month Current'!$H$51)</f>
        <v>0</v>
      </c>
      <c r="AD74" s="221">
        <f t="shared" si="961"/>
        <v>1167761</v>
      </c>
      <c r="AE74" s="9">
        <f>IF('Upto Month Current'!$H$19="",0,'Upto Month Current'!$H$19)</f>
        <v>1857</v>
      </c>
      <c r="AF74" s="9">
        <f>IF('Upto Month Current'!$H$20="",0,'Upto Month Current'!$H$20)</f>
        <v>132</v>
      </c>
      <c r="AG74" s="9">
        <f>IF('Upto Month Current'!$H$22="",0,'Upto Month Current'!$H$22)</f>
        <v>6504</v>
      </c>
      <c r="AH74" s="9">
        <f>IF('Upto Month Current'!$H$23="",0,'Upto Month Current'!$H$23)</f>
        <v>0</v>
      </c>
      <c r="AI74" s="9">
        <f>IF('Upto Month Current'!$H$24="",0,'Upto Month Current'!$H$24)</f>
        <v>0</v>
      </c>
      <c r="AJ74" s="9">
        <f>IF('Upto Month Current'!$H$25="",0,'Upto Month Current'!$H$25)</f>
        <v>2560</v>
      </c>
      <c r="AK74" s="9">
        <f>IF('Upto Month Current'!$H$28="",0,'Upto Month Current'!$H$28)</f>
        <v>4364</v>
      </c>
      <c r="AL74" s="9">
        <f>IF('Upto Month Current'!$H$29="",0,'Upto Month Current'!$H$29)</f>
        <v>7327</v>
      </c>
      <c r="AM74" s="9">
        <f>IF('Upto Month Current'!$H$31="",0,'Upto Month Current'!$H$31)</f>
        <v>0</v>
      </c>
      <c r="AN74" s="9">
        <f>IF('Upto Month Current'!$H$32="",0,'Upto Month Current'!$H$32)</f>
        <v>0</v>
      </c>
      <c r="AO74" s="9">
        <f>IF('Upto Month Current'!$H$33="",0,'Upto Month Current'!$H$33)</f>
        <v>89793</v>
      </c>
      <c r="AP74" s="9">
        <f>IF('Upto Month Current'!$H$34="",0,'Upto Month Current'!$H$34)</f>
        <v>-5118163</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723</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3484</v>
      </c>
      <c r="BD74" s="9">
        <f>IF('Upto Month Current'!$H$54="",0,'Upto Month Current'!$H$54)</f>
        <v>3484</v>
      </c>
      <c r="BE74" s="9">
        <f>IF('Upto Month Current'!$H$55="",0,'Upto Month Current'!$H$55)</f>
        <v>0</v>
      </c>
      <c r="BF74" s="9">
        <f>IF('Upto Month Current'!$H$56="",0,'Upto Month Current'!$H$56)</f>
        <v>3689</v>
      </c>
      <c r="BG74" s="9">
        <f>IF('Upto Month Current'!$H$58="",0,'Upto Month Current'!$H$58)</f>
        <v>3535</v>
      </c>
      <c r="BH74" s="9">
        <f>SUM(AE74:BG74)</f>
        <v>-4990711</v>
      </c>
      <c r="BI74" s="274">
        <f>AD74+BH74</f>
        <v>-3822950</v>
      </c>
      <c r="BJ74" s="9">
        <f>IF('Upto Month Current'!$H$60="",0,'Upto Month Current'!$H$60)</f>
        <v>11</v>
      </c>
      <c r="BK74" s="49">
        <f t="shared" si="962"/>
        <v>-3822961</v>
      </c>
      <c r="BL74">
        <f>'Upto Month Current'!$H$61</f>
        <v>-3822961</v>
      </c>
      <c r="BM74" s="30">
        <f t="shared" si="963"/>
        <v>-4990722</v>
      </c>
    </row>
    <row r="75" spans="1:65">
      <c r="A75" s="128"/>
      <c r="B75" s="5" t="s">
        <v>130</v>
      </c>
      <c r="C75" s="11">
        <f>C74-C72</f>
        <v>-7784</v>
      </c>
      <c r="D75" s="11">
        <f t="shared" ref="D75" si="964">D74-D72</f>
        <v>11694</v>
      </c>
      <c r="E75" s="11">
        <f t="shared" ref="E75" si="965">E74-E72</f>
        <v>18</v>
      </c>
      <c r="F75" s="11">
        <f t="shared" ref="F75" si="966">F74-F72</f>
        <v>-10351</v>
      </c>
      <c r="G75" s="11">
        <f t="shared" ref="G75" si="967">G74-G72</f>
        <v>655</v>
      </c>
      <c r="H75" s="11">
        <f t="shared" ref="H75" si="968">H74-H72</f>
        <v>0</v>
      </c>
      <c r="I75" s="11">
        <f t="shared" ref="I75" si="969">I74-I72</f>
        <v>0</v>
      </c>
      <c r="J75" s="11">
        <f t="shared" ref="J75" si="970">J74-J72</f>
        <v>8348</v>
      </c>
      <c r="K75" s="11">
        <f t="shared" ref="K75" si="971">K74-K72</f>
        <v>-2833</v>
      </c>
      <c r="L75" s="11">
        <f t="shared" ref="L75" si="972">L74-L72</f>
        <v>10860</v>
      </c>
      <c r="M75" s="11">
        <f t="shared" ref="M75" si="973">M74-M72</f>
        <v>1387</v>
      </c>
      <c r="N75" s="11">
        <f t="shared" ref="N75" si="974">N74-N72</f>
        <v>-22</v>
      </c>
      <c r="O75" s="11">
        <f t="shared" ref="O75" si="975">O74-O72</f>
        <v>809</v>
      </c>
      <c r="P75" s="11">
        <f t="shared" ref="P75" si="976">P74-P72</f>
        <v>16869</v>
      </c>
      <c r="Q75" s="11">
        <f t="shared" ref="Q75" si="977">Q74-Q72</f>
        <v>0</v>
      </c>
      <c r="R75" s="11">
        <f t="shared" ref="R75" si="978">R74-R72</f>
        <v>-1110</v>
      </c>
      <c r="S75" s="11">
        <f t="shared" ref="S75" si="979">S74-S72</f>
        <v>0</v>
      </c>
      <c r="T75" s="11">
        <f t="shared" ref="T75:U75" si="980">T74-T72</f>
        <v>0</v>
      </c>
      <c r="U75" s="11">
        <f t="shared" si="980"/>
        <v>0</v>
      </c>
      <c r="V75" s="9">
        <f t="shared" ref="V75" si="981">V74-V72</f>
        <v>0</v>
      </c>
      <c r="W75" s="11">
        <f t="shared" ref="W75" si="982">W74-W72</f>
        <v>0</v>
      </c>
      <c r="X75" s="11">
        <f t="shared" ref="X75" si="983">X74-X72</f>
        <v>0</v>
      </c>
      <c r="Y75" s="11">
        <f t="shared" ref="Y75" si="984">Y74-Y72</f>
        <v>1393</v>
      </c>
      <c r="Z75" s="11">
        <f t="shared" ref="Z75" si="985">Z74-Z72</f>
        <v>926</v>
      </c>
      <c r="AA75" s="11">
        <f t="shared" ref="AA75:AD75" si="986">AA74-AA72</f>
        <v>1114</v>
      </c>
      <c r="AB75" s="11">
        <f t="shared" ref="AB75" si="987">AB74-AB72</f>
        <v>-577</v>
      </c>
      <c r="AC75" s="9">
        <f t="shared" si="986"/>
        <v>0</v>
      </c>
      <c r="AD75" s="216">
        <f t="shared" si="986"/>
        <v>31396</v>
      </c>
      <c r="AE75" s="11">
        <f t="shared" ref="AE75" si="988">AE74-AE72</f>
        <v>566</v>
      </c>
      <c r="AF75" s="11">
        <f t="shared" ref="AF75" si="989">AF74-AF72</f>
        <v>-14</v>
      </c>
      <c r="AG75" s="11">
        <f t="shared" ref="AG75" si="990">AG74-AG72</f>
        <v>1184</v>
      </c>
      <c r="AH75" s="11">
        <f t="shared" ref="AH75" si="991">AH74-AH72</f>
        <v>0</v>
      </c>
      <c r="AI75" s="11">
        <f t="shared" ref="AI75" si="992">AI74-AI72</f>
        <v>0</v>
      </c>
      <c r="AJ75" s="11">
        <f t="shared" ref="AJ75" si="993">AJ74-AJ72</f>
        <v>-1373</v>
      </c>
      <c r="AK75" s="11">
        <f t="shared" ref="AK75" si="994">AK74-AK72</f>
        <v>-406</v>
      </c>
      <c r="AL75" s="11">
        <f t="shared" ref="AL75" si="995">AL74-AL72</f>
        <v>936</v>
      </c>
      <c r="AM75" s="11">
        <f t="shared" ref="AM75" si="996">AM74-AM72</f>
        <v>0</v>
      </c>
      <c r="AN75" s="11">
        <f t="shared" ref="AN75" si="997">AN74-AN72</f>
        <v>0</v>
      </c>
      <c r="AO75" s="9">
        <f t="shared" ref="AO75" si="998">AO74-AO72</f>
        <v>38181</v>
      </c>
      <c r="AP75" s="11">
        <f t="shared" ref="AP75" si="999">AP74-AP72</f>
        <v>-7616220</v>
      </c>
      <c r="AQ75" s="9">
        <f t="shared" ref="AQ75" si="1000">AQ74-AQ72</f>
        <v>0</v>
      </c>
      <c r="AR75" s="11">
        <f t="shared" ref="AR75" si="1001">AR74-AR72</f>
        <v>0</v>
      </c>
      <c r="AS75" s="11">
        <f t="shared" ref="AS75" si="1002">AS74-AS72</f>
        <v>0</v>
      </c>
      <c r="AT75" s="11">
        <f t="shared" ref="AT75" si="1003">AT74-AT72</f>
        <v>0</v>
      </c>
      <c r="AU75" s="11">
        <f t="shared" ref="AU75" si="1004">AU74-AU72</f>
        <v>0</v>
      </c>
      <c r="AV75" s="11">
        <f t="shared" ref="AV75" si="1005">AV74-AV72</f>
        <v>0</v>
      </c>
      <c r="AW75" s="11">
        <f t="shared" ref="AW75" si="1006">AW74-AW72</f>
        <v>0</v>
      </c>
      <c r="AX75" s="11">
        <f t="shared" ref="AX75" si="1007">AX74-AX72</f>
        <v>503</v>
      </c>
      <c r="AY75" s="11">
        <f t="shared" ref="AY75" si="1008">AY74-AY72</f>
        <v>0</v>
      </c>
      <c r="AZ75" s="11">
        <f t="shared" ref="AZ75" si="1009">AZ74-AZ72</f>
        <v>0</v>
      </c>
      <c r="BA75" s="11">
        <f t="shared" ref="BA75" si="1010">BA74-BA72</f>
        <v>0</v>
      </c>
      <c r="BB75" s="9">
        <f t="shared" ref="BB75" si="1011">BB74-BB72</f>
        <v>0</v>
      </c>
      <c r="BC75" s="11">
        <f t="shared" ref="BC75" si="1012">BC74-BC72</f>
        <v>158</v>
      </c>
      <c r="BD75" s="11">
        <f t="shared" ref="BD75" si="1013">BD74-BD72</f>
        <v>129</v>
      </c>
      <c r="BE75" s="11">
        <f t="shared" ref="BE75" si="1014">BE74-BE72</f>
        <v>0</v>
      </c>
      <c r="BF75" s="11">
        <f t="shared" ref="BF75" si="1015">BF74-BF72</f>
        <v>1474</v>
      </c>
      <c r="BG75" s="11">
        <f t="shared" ref="BG75:BH75" si="1016">BG74-BG72</f>
        <v>-1323</v>
      </c>
      <c r="BH75" s="9">
        <f t="shared" si="1016"/>
        <v>-7576205</v>
      </c>
      <c r="BI75" s="9">
        <f t="shared" ref="BI75" si="1017">BI74-BI72</f>
        <v>-7544809</v>
      </c>
      <c r="BJ75" s="11">
        <f t="shared" ref="BJ75:BK75" si="1018">BJ74-BJ72</f>
        <v>11</v>
      </c>
      <c r="BK75" s="49">
        <f t="shared" si="1018"/>
        <v>-7544820</v>
      </c>
      <c r="BM75" s="30">
        <f t="shared" si="963"/>
        <v>-7576216</v>
      </c>
    </row>
    <row r="76" spans="1:65">
      <c r="A76" s="128"/>
      <c r="B76" s="5" t="s">
        <v>131</v>
      </c>
      <c r="C76" s="13">
        <f>C75/C72</f>
        <v>-1.4762331022135911E-2</v>
      </c>
      <c r="D76" s="13">
        <f t="shared" ref="D76" si="1019">D75/D72</f>
        <v>3.5443667179903736E-2</v>
      </c>
      <c r="E76" s="13" t="e">
        <f t="shared" ref="E76" si="1020">E75/E72</f>
        <v>#DIV/0!</v>
      </c>
      <c r="F76" s="13">
        <f t="shared" ref="F76" si="1021">F75/F72</f>
        <v>-0.13079022516489347</v>
      </c>
      <c r="G76" s="13">
        <f t="shared" ref="G76" si="1022">G75/G72</f>
        <v>1.7615103270223753E-2</v>
      </c>
      <c r="H76" s="13" t="e">
        <f t="shared" ref="H76" si="1023">H75/H72</f>
        <v>#DIV/0!</v>
      </c>
      <c r="I76" s="13" t="e">
        <f t="shared" ref="I76" si="1024">I75/I72</f>
        <v>#DIV/0!</v>
      </c>
      <c r="J76" s="13">
        <f t="shared" ref="J76" si="1025">J75/J72</f>
        <v>0.11623665046853897</v>
      </c>
      <c r="K76" s="13">
        <f t="shared" ref="K76" si="1026">K75/K72</f>
        <v>-0.29336232784508648</v>
      </c>
      <c r="L76" s="13">
        <f t="shared" ref="L76" si="1027">L75/L72</f>
        <v>0.37797577613810385</v>
      </c>
      <c r="M76" s="13">
        <f t="shared" ref="M76" si="1028">M75/M72</f>
        <v>7.0022213247172865E-2</v>
      </c>
      <c r="N76" s="13">
        <f t="shared" ref="N76" si="1029">N75/N72</f>
        <v>-0.16923076923076924</v>
      </c>
      <c r="O76" s="13">
        <f t="shared" ref="O76" si="1030">O75/O72</f>
        <v>0.46952988972721998</v>
      </c>
      <c r="P76" s="13">
        <f t="shared" ref="P76" si="1031">P75/P72</f>
        <v>0.64659435010924149</v>
      </c>
      <c r="Q76" s="13" t="e">
        <f t="shared" ref="Q76" si="1032">Q75/Q72</f>
        <v>#DIV/0!</v>
      </c>
      <c r="R76" s="13">
        <f t="shared" ref="R76" si="1033">R75/R72</f>
        <v>-0.6386651323360184</v>
      </c>
      <c r="S76" s="13" t="e">
        <f t="shared" ref="S76" si="1034">S75/S72</f>
        <v>#DIV/0!</v>
      </c>
      <c r="T76" s="13" t="e">
        <f t="shared" ref="T76:U76" si="1035">T75/T72</f>
        <v>#DIV/0!</v>
      </c>
      <c r="U76" s="13" t="e">
        <f t="shared" si="1035"/>
        <v>#DIV/0!</v>
      </c>
      <c r="V76" s="160" t="e">
        <f t="shared" ref="V76" si="1036">V75/V72</f>
        <v>#DIV/0!</v>
      </c>
      <c r="W76" s="13" t="e">
        <f t="shared" ref="W76" si="1037">W75/W72</f>
        <v>#DIV/0!</v>
      </c>
      <c r="X76" s="13" t="e">
        <f t="shared" ref="X76" si="1038">X75/X72</f>
        <v>#DIV/0!</v>
      </c>
      <c r="Y76" s="13">
        <f t="shared" ref="Y76" si="1039">Y75/Y72</f>
        <v>0.87445072190834905</v>
      </c>
      <c r="Z76" s="13">
        <f t="shared" ref="Z76" si="1040">Z75/Z72</f>
        <v>2.1585081585081585</v>
      </c>
      <c r="AA76" s="13">
        <f t="shared" ref="AA76:AD76" si="1041">AA75/AA72</f>
        <v>2.1259541984732824</v>
      </c>
      <c r="AB76" s="13">
        <f t="shared" ref="AB76" si="1042">AB75/AB72</f>
        <v>-1</v>
      </c>
      <c r="AC76" s="160" t="e">
        <f t="shared" si="1041"/>
        <v>#DIV/0!</v>
      </c>
      <c r="AD76" s="217">
        <f t="shared" si="1041"/>
        <v>2.7628446845863786E-2</v>
      </c>
      <c r="AE76" s="13">
        <f t="shared" ref="AE76" si="1043">AE75/AE72</f>
        <v>0.43841982958946552</v>
      </c>
      <c r="AF76" s="13">
        <f t="shared" ref="AF76" si="1044">AF75/AF72</f>
        <v>-9.5890410958904104E-2</v>
      </c>
      <c r="AG76" s="13">
        <f t="shared" ref="AG76" si="1045">AG75/AG72</f>
        <v>0.22255639097744362</v>
      </c>
      <c r="AH76" s="13" t="e">
        <f t="shared" ref="AH76" si="1046">AH75/AH72</f>
        <v>#DIV/0!</v>
      </c>
      <c r="AI76" s="13" t="e">
        <f t="shared" ref="AI76" si="1047">AI75/AI72</f>
        <v>#DIV/0!</v>
      </c>
      <c r="AJ76" s="13">
        <f t="shared" ref="AJ76" si="1048">AJ75/AJ72</f>
        <v>-0.34909738113399441</v>
      </c>
      <c r="AK76" s="13">
        <f t="shared" ref="AK76" si="1049">AK75/AK72</f>
        <v>-8.5115303983228516E-2</v>
      </c>
      <c r="AL76" s="13">
        <f t="shared" ref="AL76" si="1050">AL75/AL72</f>
        <v>0.14645595368486936</v>
      </c>
      <c r="AM76" s="13" t="e">
        <f t="shared" ref="AM76" si="1051">AM75/AM72</f>
        <v>#DIV/0!</v>
      </c>
      <c r="AN76" s="13" t="e">
        <f t="shared" ref="AN76" si="1052">AN75/AN72</f>
        <v>#DIV/0!</v>
      </c>
      <c r="AO76" s="160">
        <f t="shared" ref="AO76" si="1053">AO75/AO72</f>
        <v>0.73976982097186705</v>
      </c>
      <c r="AP76" s="13">
        <f t="shared" ref="AP76" si="1054">AP75/AP72</f>
        <v>-3.0488575721050402</v>
      </c>
      <c r="AQ76" s="160" t="e">
        <f t="shared" ref="AQ76" si="1055">AQ75/AQ72</f>
        <v>#DIV/0!</v>
      </c>
      <c r="AR76" s="13" t="e">
        <f t="shared" ref="AR76" si="1056">AR75/AR72</f>
        <v>#DIV/0!</v>
      </c>
      <c r="AS76" s="13" t="e">
        <f t="shared" ref="AS76" si="1057">AS75/AS72</f>
        <v>#DIV/0!</v>
      </c>
      <c r="AT76" s="13" t="e">
        <f t="shared" ref="AT76" si="1058">AT75/AT72</f>
        <v>#DIV/0!</v>
      </c>
      <c r="AU76" s="13" t="e">
        <f t="shared" ref="AU76" si="1059">AU75/AU72</f>
        <v>#DIV/0!</v>
      </c>
      <c r="AV76" s="13" t="e">
        <f t="shared" ref="AV76" si="1060">AV75/AV72</f>
        <v>#DIV/0!</v>
      </c>
      <c r="AW76" s="13" t="e">
        <f t="shared" ref="AW76" si="1061">AW75/AW72</f>
        <v>#DIV/0!</v>
      </c>
      <c r="AX76" s="13">
        <f t="shared" ref="AX76" si="1062">AX75/AX72</f>
        <v>2.2863636363636362</v>
      </c>
      <c r="AY76" s="13" t="e">
        <f t="shared" ref="AY76" si="1063">AY75/AY72</f>
        <v>#DIV/0!</v>
      </c>
      <c r="AZ76" s="13" t="e">
        <f t="shared" ref="AZ76" si="1064">AZ75/AZ72</f>
        <v>#DIV/0!</v>
      </c>
      <c r="BA76" s="13" t="e">
        <f t="shared" ref="BA76" si="1065">BA75/BA72</f>
        <v>#DIV/0!</v>
      </c>
      <c r="BB76" s="160" t="e">
        <f t="shared" ref="BB76" si="1066">BB75/BB72</f>
        <v>#DIV/0!</v>
      </c>
      <c r="BC76" s="13">
        <f t="shared" ref="BC76" si="1067">BC75/BC72</f>
        <v>4.7504509921828024E-2</v>
      </c>
      <c r="BD76" s="13">
        <f t="shared" ref="BD76" si="1068">BD75/BD72</f>
        <v>3.8450074515648289E-2</v>
      </c>
      <c r="BE76" s="13" t="e">
        <f t="shared" ref="BE76" si="1069">BE75/BE72</f>
        <v>#DIV/0!</v>
      </c>
      <c r="BF76" s="13">
        <f t="shared" ref="BF76" si="1070">BF75/BF72</f>
        <v>0.6654627539503386</v>
      </c>
      <c r="BG76" s="13">
        <f t="shared" ref="BG76:BH76" si="1071">BG75/BG72</f>
        <v>-0.2723342939481268</v>
      </c>
      <c r="BH76" s="160">
        <f t="shared" si="1071"/>
        <v>-2.9302736730388852</v>
      </c>
      <c r="BI76" s="160">
        <f t="shared" ref="BI76" si="1072">BI75/BI72</f>
        <v>-2.0271614265881648</v>
      </c>
      <c r="BJ76" s="13" t="e">
        <f t="shared" ref="BJ76:BK76" si="1073">BJ75/BJ72</f>
        <v>#DIV/0!</v>
      </c>
      <c r="BK76" s="50">
        <f t="shared" si="1073"/>
        <v>-2.0271643821004504</v>
      </c>
      <c r="BM76" s="160" t="e">
        <f t="shared" ref="BM76" si="1074">BM75/BM72</f>
        <v>#DIV/0!</v>
      </c>
    </row>
    <row r="77" spans="1:65">
      <c r="A77" s="128"/>
      <c r="B77" s="5" t="s">
        <v>132</v>
      </c>
      <c r="C77" s="11">
        <f>C74-C73</f>
        <v>42536</v>
      </c>
      <c r="D77" s="11">
        <f t="shared" ref="D77:BK77" si="1075">D74-D73</f>
        <v>71835</v>
      </c>
      <c r="E77" s="11">
        <f t="shared" si="1075"/>
        <v>-417</v>
      </c>
      <c r="F77" s="11">
        <f t="shared" si="1075"/>
        <v>8213</v>
      </c>
      <c r="G77" s="11">
        <f t="shared" si="1075"/>
        <v>4899</v>
      </c>
      <c r="H77" s="11">
        <f t="shared" si="1075"/>
        <v>0</v>
      </c>
      <c r="I77" s="11">
        <f t="shared" si="1075"/>
        <v>0</v>
      </c>
      <c r="J77" s="11">
        <f t="shared" si="1075"/>
        <v>-25463</v>
      </c>
      <c r="K77" s="11">
        <f t="shared" si="1075"/>
        <v>-6740</v>
      </c>
      <c r="L77" s="11">
        <f t="shared" si="1075"/>
        <v>-13761</v>
      </c>
      <c r="M77" s="11">
        <f t="shared" si="1075"/>
        <v>1470</v>
      </c>
      <c r="N77" s="11">
        <f t="shared" si="1075"/>
        <v>-38</v>
      </c>
      <c r="O77" s="11">
        <f t="shared" si="1075"/>
        <v>120</v>
      </c>
      <c r="P77" s="11">
        <f t="shared" si="1075"/>
        <v>-6510</v>
      </c>
      <c r="Q77" s="11">
        <f t="shared" si="1075"/>
        <v>0</v>
      </c>
      <c r="R77" s="11">
        <f t="shared" si="1075"/>
        <v>-2900</v>
      </c>
      <c r="S77" s="11">
        <f t="shared" si="1075"/>
        <v>0</v>
      </c>
      <c r="T77" s="11">
        <f t="shared" si="1075"/>
        <v>0</v>
      </c>
      <c r="U77" s="11">
        <f t="shared" ref="U77" si="1076">U74-U73</f>
        <v>0</v>
      </c>
      <c r="V77" s="9">
        <f t="shared" si="1075"/>
        <v>0</v>
      </c>
      <c r="W77" s="11">
        <f t="shared" si="1075"/>
        <v>0</v>
      </c>
      <c r="X77" s="11">
        <f t="shared" si="1075"/>
        <v>0</v>
      </c>
      <c r="Y77" s="11">
        <f t="shared" si="1075"/>
        <v>1382</v>
      </c>
      <c r="Z77" s="11">
        <f t="shared" si="1075"/>
        <v>1012</v>
      </c>
      <c r="AA77" s="11">
        <f t="shared" si="1075"/>
        <v>965</v>
      </c>
      <c r="AB77" s="11">
        <f t="shared" ref="AB77" si="1077">AB74-AB73</f>
        <v>-4</v>
      </c>
      <c r="AC77" s="9">
        <f t="shared" ref="AC77:AD77" si="1078">AC74-AC73</f>
        <v>0</v>
      </c>
      <c r="AD77" s="216">
        <f t="shared" si="1078"/>
        <v>76599</v>
      </c>
      <c r="AE77" s="11">
        <f t="shared" si="1075"/>
        <v>128</v>
      </c>
      <c r="AF77" s="11">
        <f t="shared" si="1075"/>
        <v>-380</v>
      </c>
      <c r="AG77" s="11">
        <f t="shared" si="1075"/>
        <v>-306</v>
      </c>
      <c r="AH77" s="11">
        <f t="shared" si="1075"/>
        <v>0</v>
      </c>
      <c r="AI77" s="11">
        <f t="shared" si="1075"/>
        <v>0</v>
      </c>
      <c r="AJ77" s="11">
        <f t="shared" si="1075"/>
        <v>1347</v>
      </c>
      <c r="AK77" s="11">
        <f t="shared" si="1075"/>
        <v>2192</v>
      </c>
      <c r="AL77" s="11">
        <f t="shared" si="1075"/>
        <v>-1717</v>
      </c>
      <c r="AM77" s="11">
        <f t="shared" si="1075"/>
        <v>0</v>
      </c>
      <c r="AN77" s="11">
        <f t="shared" si="1075"/>
        <v>0</v>
      </c>
      <c r="AO77" s="9">
        <f t="shared" si="1075"/>
        <v>42048</v>
      </c>
      <c r="AP77" s="11">
        <f t="shared" si="1075"/>
        <v>-8737445</v>
      </c>
      <c r="AQ77" s="9">
        <f t="shared" si="1075"/>
        <v>0</v>
      </c>
      <c r="AR77" s="11">
        <f t="shared" si="1075"/>
        <v>0</v>
      </c>
      <c r="AS77" s="11">
        <f t="shared" si="1075"/>
        <v>0</v>
      </c>
      <c r="AT77" s="11">
        <f t="shared" si="1075"/>
        <v>0</v>
      </c>
      <c r="AU77" s="11">
        <f t="shared" si="1075"/>
        <v>0</v>
      </c>
      <c r="AV77" s="11">
        <f t="shared" si="1075"/>
        <v>0</v>
      </c>
      <c r="AW77" s="11">
        <f t="shared" si="1075"/>
        <v>-242</v>
      </c>
      <c r="AX77" s="11">
        <f t="shared" si="1075"/>
        <v>660</v>
      </c>
      <c r="AY77" s="11">
        <f t="shared" si="1075"/>
        <v>0</v>
      </c>
      <c r="AZ77" s="11">
        <f t="shared" si="1075"/>
        <v>0</v>
      </c>
      <c r="BA77" s="11">
        <f t="shared" si="1075"/>
        <v>0</v>
      </c>
      <c r="BB77" s="9">
        <f t="shared" si="1075"/>
        <v>0</v>
      </c>
      <c r="BC77" s="11">
        <f t="shared" si="1075"/>
        <v>1528</v>
      </c>
      <c r="BD77" s="11">
        <f t="shared" si="1075"/>
        <v>1528</v>
      </c>
      <c r="BE77" s="11">
        <f t="shared" si="1075"/>
        <v>0</v>
      </c>
      <c r="BF77" s="11">
        <f t="shared" si="1075"/>
        <v>2065</v>
      </c>
      <c r="BG77" s="11">
        <f t="shared" si="1075"/>
        <v>1410</v>
      </c>
      <c r="BH77" s="9">
        <f t="shared" si="1075"/>
        <v>-8687184</v>
      </c>
      <c r="BI77" s="9">
        <f t="shared" si="1075"/>
        <v>-8610585</v>
      </c>
      <c r="BJ77" s="11">
        <f t="shared" si="1075"/>
        <v>11</v>
      </c>
      <c r="BK77" s="49">
        <f t="shared" si="1075"/>
        <v>-8610596</v>
      </c>
      <c r="BM77" s="30">
        <f t="shared" si="963"/>
        <v>-8687195</v>
      </c>
    </row>
    <row r="78" spans="1:65">
      <c r="A78" s="128"/>
      <c r="B78" s="5" t="s">
        <v>133</v>
      </c>
      <c r="C78" s="13">
        <f>C77/C73</f>
        <v>8.9179986917361329E-2</v>
      </c>
      <c r="D78" s="13">
        <f t="shared" ref="D78" si="1079">D77/D73</f>
        <v>0.26626166180487859</v>
      </c>
      <c r="E78" s="13">
        <f t="shared" ref="E78" si="1080">E77/E73</f>
        <v>-0.95862068965517244</v>
      </c>
      <c r="F78" s="13">
        <f t="shared" ref="F78" si="1081">F77/F73</f>
        <v>0.13557727227706429</v>
      </c>
      <c r="G78" s="13">
        <f t="shared" ref="G78" si="1082">G77/G73</f>
        <v>0.14872495446265938</v>
      </c>
      <c r="H78" s="13" t="e">
        <f t="shared" ref="H78" si="1083">H77/H73</f>
        <v>#DIV/0!</v>
      </c>
      <c r="I78" s="13" t="e">
        <f t="shared" ref="I78" si="1084">I77/I73</f>
        <v>#DIV/0!</v>
      </c>
      <c r="J78" s="13">
        <f t="shared" ref="J78" si="1085">J77/J73</f>
        <v>-0.24105841143614504</v>
      </c>
      <c r="K78" s="13">
        <f t="shared" ref="K78" si="1086">K77/K73</f>
        <v>-0.49690356826894722</v>
      </c>
      <c r="L78" s="13">
        <f t="shared" ref="L78" si="1087">L77/L73</f>
        <v>-0.25792364065750756</v>
      </c>
      <c r="M78" s="13">
        <f t="shared" ref="M78" si="1088">M77/M73</f>
        <v>7.4524714828897332E-2</v>
      </c>
      <c r="N78" s="13">
        <f t="shared" ref="N78" si="1089">N77/N73</f>
        <v>-0.26027397260273971</v>
      </c>
      <c r="O78" s="13">
        <f t="shared" ref="O78" si="1090">O77/O73</f>
        <v>4.975124378109453E-2</v>
      </c>
      <c r="P78" s="13">
        <f t="shared" ref="P78" si="1091">P77/P73</f>
        <v>-0.13160022640899166</v>
      </c>
      <c r="Q78" s="13" t="e">
        <f t="shared" ref="Q78" si="1092">Q77/Q73</f>
        <v>#DIV/0!</v>
      </c>
      <c r="R78" s="13">
        <f t="shared" ref="R78" si="1093">R77/R73</f>
        <v>-0.82199546485260766</v>
      </c>
      <c r="S78" s="13" t="e">
        <f t="shared" ref="S78" si="1094">S77/S73</f>
        <v>#DIV/0!</v>
      </c>
      <c r="T78" s="13" t="e">
        <f t="shared" ref="T78:U78" si="1095">T77/T73</f>
        <v>#DIV/0!</v>
      </c>
      <c r="U78" s="13" t="e">
        <f t="shared" si="1095"/>
        <v>#DIV/0!</v>
      </c>
      <c r="V78" s="160" t="e">
        <f t="shared" ref="V78" si="1096">V77/V73</f>
        <v>#DIV/0!</v>
      </c>
      <c r="W78" s="13" t="e">
        <f t="shared" ref="W78" si="1097">W77/W73</f>
        <v>#DIV/0!</v>
      </c>
      <c r="X78" s="13" t="e">
        <f t="shared" ref="X78" si="1098">X77/X73</f>
        <v>#DIV/0!</v>
      </c>
      <c r="Y78" s="13">
        <f t="shared" ref="Y78" si="1099">Y77/Y73</f>
        <v>0.86159600997506236</v>
      </c>
      <c r="Z78" s="13">
        <f t="shared" ref="Z78" si="1100">Z77/Z73</f>
        <v>2.9504373177842567</v>
      </c>
      <c r="AA78" s="13">
        <f t="shared" ref="AA78:AD78" si="1101">AA77/AA73</f>
        <v>1.4338781575037147</v>
      </c>
      <c r="AB78" s="13">
        <f t="shared" ref="AB78" si="1102">AB77/AB73</f>
        <v>-1</v>
      </c>
      <c r="AC78" s="160" t="e">
        <f t="shared" si="1101"/>
        <v>#DIV/0!</v>
      </c>
      <c r="AD78" s="217">
        <f t="shared" si="1101"/>
        <v>7.0199475421614754E-2</v>
      </c>
      <c r="AE78" s="13">
        <f t="shared" ref="AE78" si="1103">AE77/AE73</f>
        <v>7.4031231925968763E-2</v>
      </c>
      <c r="AF78" s="13">
        <f t="shared" ref="AF78" si="1104">AF77/AF73</f>
        <v>-0.7421875</v>
      </c>
      <c r="AG78" s="13">
        <f t="shared" ref="AG78" si="1105">AG77/AG73</f>
        <v>-4.4933920704845816E-2</v>
      </c>
      <c r="AH78" s="13" t="e">
        <f t="shared" ref="AH78" si="1106">AH77/AH73</f>
        <v>#DIV/0!</v>
      </c>
      <c r="AI78" s="13" t="e">
        <f t="shared" ref="AI78" si="1107">AI77/AI73</f>
        <v>#DIV/0!</v>
      </c>
      <c r="AJ78" s="13">
        <f t="shared" ref="AJ78" si="1108">AJ77/AJ73</f>
        <v>1.1104699093157462</v>
      </c>
      <c r="AK78" s="13">
        <f t="shared" ref="AK78" si="1109">AK77/AK73</f>
        <v>1.0092081031307552</v>
      </c>
      <c r="AL78" s="13">
        <f t="shared" ref="AL78" si="1110">AL77/AL73</f>
        <v>-0.18984962406015038</v>
      </c>
      <c r="AM78" s="13" t="e">
        <f t="shared" ref="AM78" si="1111">AM77/AM73</f>
        <v>#DIV/0!</v>
      </c>
      <c r="AN78" s="13" t="e">
        <f t="shared" ref="AN78" si="1112">AN77/AN73</f>
        <v>#DIV/0!</v>
      </c>
      <c r="AO78" s="160">
        <f t="shared" ref="AO78" si="1113">AO77/AO73</f>
        <v>0.88067860508953821</v>
      </c>
      <c r="AP78" s="13">
        <f t="shared" ref="AP78" si="1114">AP77/AP73</f>
        <v>-2.4141376659790534</v>
      </c>
      <c r="AQ78" s="160" t="e">
        <f t="shared" ref="AQ78" si="1115">AQ77/AQ73</f>
        <v>#DIV/0!</v>
      </c>
      <c r="AR78" s="13" t="e">
        <f t="shared" ref="AR78" si="1116">AR77/AR73</f>
        <v>#DIV/0!</v>
      </c>
      <c r="AS78" s="13" t="e">
        <f t="shared" ref="AS78" si="1117">AS77/AS73</f>
        <v>#DIV/0!</v>
      </c>
      <c r="AT78" s="13" t="e">
        <f t="shared" ref="AT78" si="1118">AT77/AT73</f>
        <v>#DIV/0!</v>
      </c>
      <c r="AU78" s="13" t="e">
        <f t="shared" ref="AU78" si="1119">AU77/AU73</f>
        <v>#DIV/0!</v>
      </c>
      <c r="AV78" s="13" t="e">
        <f t="shared" ref="AV78" si="1120">AV77/AV73</f>
        <v>#DIV/0!</v>
      </c>
      <c r="AW78" s="13">
        <f t="shared" ref="AW78" si="1121">AW77/AW73</f>
        <v>-1</v>
      </c>
      <c r="AX78" s="13">
        <f t="shared" ref="AX78" si="1122">AX77/AX73</f>
        <v>10.476190476190476</v>
      </c>
      <c r="AY78" s="13" t="e">
        <f t="shared" ref="AY78" si="1123">AY77/AY73</f>
        <v>#DIV/0!</v>
      </c>
      <c r="AZ78" s="13" t="e">
        <f t="shared" ref="AZ78" si="1124">AZ77/AZ73</f>
        <v>#DIV/0!</v>
      </c>
      <c r="BA78" s="13" t="e">
        <f t="shared" ref="BA78" si="1125">BA77/BA73</f>
        <v>#DIV/0!</v>
      </c>
      <c r="BB78" s="160" t="e">
        <f t="shared" ref="BB78" si="1126">BB77/BB73</f>
        <v>#DIV/0!</v>
      </c>
      <c r="BC78" s="13">
        <f t="shared" ref="BC78" si="1127">BC77/BC73</f>
        <v>0.78118609406952966</v>
      </c>
      <c r="BD78" s="13">
        <f t="shared" ref="BD78" si="1128">BD77/BD73</f>
        <v>0.78118609406952966</v>
      </c>
      <c r="BE78" s="13" t="e">
        <f t="shared" ref="BE78" si="1129">BE77/BE73</f>
        <v>#DIV/0!</v>
      </c>
      <c r="BF78" s="13">
        <f t="shared" ref="BF78" si="1130">BF77/BF73</f>
        <v>1.271551724137931</v>
      </c>
      <c r="BG78" s="13">
        <f t="shared" ref="BG78:BH78" si="1131">BG77/BG73</f>
        <v>0.66352941176470592</v>
      </c>
      <c r="BH78" s="160">
        <f t="shared" si="1131"/>
        <v>-2.3501278110241843</v>
      </c>
      <c r="BI78" s="160">
        <f t="shared" ref="BI78" si="1132">BI77/BI73</f>
        <v>-1.7985048985563854</v>
      </c>
      <c r="BJ78" s="13" t="e">
        <f t="shared" ref="BJ78:BK78" si="1133">BJ77/BJ73</f>
        <v>#DIV/0!</v>
      </c>
      <c r="BK78" s="50">
        <f t="shared" si="1133"/>
        <v>-1.7985071961417276</v>
      </c>
      <c r="BM78" s="14">
        <f t="shared" ref="BM78" si="1134">BM77/BM73</f>
        <v>-2.3501307868338279</v>
      </c>
    </row>
    <row r="79" spans="1:65">
      <c r="A79" s="128"/>
      <c r="B79" s="5" t="s">
        <v>431</v>
      </c>
      <c r="C79" s="126">
        <f>C74/C71</f>
        <v>0.18719508965296569</v>
      </c>
      <c r="D79" s="126">
        <f t="shared" ref="D79:BK79" si="1135">D74/D71</f>
        <v>0.19673409402667225</v>
      </c>
      <c r="E79" s="126" t="e">
        <f t="shared" si="1135"/>
        <v>#DIV/0!</v>
      </c>
      <c r="F79" s="126">
        <f t="shared" si="1135"/>
        <v>0.16515058758567708</v>
      </c>
      <c r="G79" s="126">
        <f t="shared" si="1135"/>
        <v>0.19334811756530271</v>
      </c>
      <c r="H79" s="126" t="e">
        <f t="shared" si="1135"/>
        <v>#DIV/0!</v>
      </c>
      <c r="I79" s="126" t="e">
        <f t="shared" si="1135"/>
        <v>#DIV/0!</v>
      </c>
      <c r="J79" s="126">
        <f t="shared" si="1135"/>
        <v>0.21208425485983978</v>
      </c>
      <c r="K79" s="126">
        <f t="shared" si="1135"/>
        <v>0.13426463354648302</v>
      </c>
      <c r="L79" s="126">
        <f t="shared" si="1135"/>
        <v>0.26181721994445178</v>
      </c>
      <c r="M79" s="126">
        <f t="shared" si="1135"/>
        <v>0.20330935251798563</v>
      </c>
      <c r="N79" s="126">
        <f t="shared" si="1135"/>
        <v>0.15743440233236153</v>
      </c>
      <c r="O79" s="126">
        <f t="shared" si="1135"/>
        <v>0.27928524156187956</v>
      </c>
      <c r="P79" s="126">
        <f t="shared" si="1135"/>
        <v>0.31284956886506643</v>
      </c>
      <c r="Q79" s="126" t="e">
        <f t="shared" si="1135"/>
        <v>#DIV/0!</v>
      </c>
      <c r="R79" s="126">
        <f t="shared" si="1135"/>
        <v>6.8663896785479989E-2</v>
      </c>
      <c r="S79" s="126" t="e">
        <f t="shared" si="1135"/>
        <v>#DIV/0!</v>
      </c>
      <c r="T79" s="126" t="e">
        <f t="shared" si="1135"/>
        <v>#DIV/0!</v>
      </c>
      <c r="U79" s="126" t="e">
        <f t="shared" si="1135"/>
        <v>#DIV/0!</v>
      </c>
      <c r="V79" s="175" t="e">
        <f t="shared" si="1135"/>
        <v>#DIV/0!</v>
      </c>
      <c r="W79" s="126" t="e">
        <f t="shared" si="1135"/>
        <v>#DIV/0!</v>
      </c>
      <c r="X79" s="126" t="e">
        <f t="shared" si="1135"/>
        <v>#DIV/0!</v>
      </c>
      <c r="Y79" s="126">
        <f t="shared" si="1135"/>
        <v>0.35623956096397041</v>
      </c>
      <c r="Z79" s="126">
        <f t="shared" si="1135"/>
        <v>0.60035445281346922</v>
      </c>
      <c r="AA79" s="126">
        <f t="shared" si="1135"/>
        <v>0.59390862944162437</v>
      </c>
      <c r="AB79" s="126">
        <f t="shared" ref="AB79" si="1136">AB74/AB71</f>
        <v>0</v>
      </c>
      <c r="AC79" s="175" t="e">
        <f t="shared" si="1135"/>
        <v>#DIV/0!</v>
      </c>
      <c r="AD79" s="218">
        <f t="shared" si="1135"/>
        <v>0.19524964716618559</v>
      </c>
      <c r="AE79" s="126">
        <f t="shared" si="1135"/>
        <v>0.34529564894012643</v>
      </c>
      <c r="AF79" s="126">
        <f t="shared" si="1135"/>
        <v>0.21639344262295082</v>
      </c>
      <c r="AG79" s="126">
        <f t="shared" si="1135"/>
        <v>0.29339588596174665</v>
      </c>
      <c r="AH79" s="126" t="e">
        <f t="shared" si="1135"/>
        <v>#DIV/0!</v>
      </c>
      <c r="AI79" s="126" t="e">
        <f t="shared" si="1135"/>
        <v>#DIV/0!</v>
      </c>
      <c r="AJ79" s="126">
        <f t="shared" si="1135"/>
        <v>0.15620233083165538</v>
      </c>
      <c r="AK79" s="126">
        <f t="shared" si="1135"/>
        <v>0.21957232704402516</v>
      </c>
      <c r="AL79" s="126">
        <f t="shared" si="1135"/>
        <v>0.27515115100078863</v>
      </c>
      <c r="AM79" s="126" t="e">
        <f t="shared" si="1135"/>
        <v>#DIV/0!</v>
      </c>
      <c r="AN79" s="126" t="e">
        <f t="shared" si="1135"/>
        <v>#DIV/0!</v>
      </c>
      <c r="AO79" s="175">
        <f>AO74/AO71</f>
        <v>0.41754864030356015</v>
      </c>
      <c r="AP79" s="126">
        <f t="shared" si="1135"/>
        <v>-1.2475154685285368</v>
      </c>
      <c r="AQ79" s="175" t="e">
        <f t="shared" si="1135"/>
        <v>#DIV/0!</v>
      </c>
      <c r="AR79" s="126" t="e">
        <f t="shared" si="1135"/>
        <v>#DIV/0!</v>
      </c>
      <c r="AS79" s="126" t="e">
        <f t="shared" si="1135"/>
        <v>#DIV/0!</v>
      </c>
      <c r="AT79" s="126" t="e">
        <f t="shared" si="1135"/>
        <v>#DIV/0!</v>
      </c>
      <c r="AU79" s="126" t="e">
        <f t="shared" si="1135"/>
        <v>#DIV/0!</v>
      </c>
      <c r="AV79" s="126" t="e">
        <f t="shared" si="1135"/>
        <v>#DIV/0!</v>
      </c>
      <c r="AW79" s="126">
        <f t="shared" si="1135"/>
        <v>0</v>
      </c>
      <c r="AX79" s="126">
        <f t="shared" si="1135"/>
        <v>0.79016393442622945</v>
      </c>
      <c r="AY79" s="126" t="e">
        <f t="shared" si="1135"/>
        <v>#DIV/0!</v>
      </c>
      <c r="AZ79" s="126" t="e">
        <f t="shared" si="1135"/>
        <v>#DIV/0!</v>
      </c>
      <c r="BA79" s="126" t="e">
        <f t="shared" si="1135"/>
        <v>#DIV/0!</v>
      </c>
      <c r="BB79" s="175" t="e">
        <f t="shared" si="1135"/>
        <v>#DIV/0!</v>
      </c>
      <c r="BC79" s="126">
        <f t="shared" si="1135"/>
        <v>0.25138898910455298</v>
      </c>
      <c r="BD79" s="126">
        <f t="shared" si="1135"/>
        <v>0.24923098934115459</v>
      </c>
      <c r="BE79" s="126" t="e">
        <f t="shared" si="1135"/>
        <v>#DIV/0!</v>
      </c>
      <c r="BF79" s="126">
        <f t="shared" si="1135"/>
        <v>0.39963167587476978</v>
      </c>
      <c r="BG79" s="126">
        <f t="shared" si="1135"/>
        <v>0.17459376697782389</v>
      </c>
      <c r="BH79" s="175">
        <f t="shared" si="1135"/>
        <v>-1.1171496997892043</v>
      </c>
      <c r="BI79" s="175">
        <f t="shared" si="1135"/>
        <v>-0.36589479052033924</v>
      </c>
      <c r="BJ79" s="126" t="e">
        <f t="shared" si="1135"/>
        <v>#DIV/0!</v>
      </c>
      <c r="BK79" s="126">
        <f t="shared" si="1135"/>
        <v>-0.36589584333104713</v>
      </c>
      <c r="BM79" s="126" t="e">
        <f t="shared" ref="BM79" si="1137">BM74/BM71</f>
        <v>#DIV/0!</v>
      </c>
    </row>
    <row r="80" spans="1:65" s="178" customFormat="1">
      <c r="A80" s="128"/>
      <c r="B80" s="5" t="s">
        <v>432</v>
      </c>
      <c r="C80" s="11">
        <f>C71-C74</f>
        <v>2255697</v>
      </c>
      <c r="D80" s="11">
        <f t="shared" ref="D80:BK80" si="1138">D71-D74</f>
        <v>1394860</v>
      </c>
      <c r="E80" s="11">
        <f t="shared" si="1138"/>
        <v>-18</v>
      </c>
      <c r="F80" s="11">
        <f t="shared" si="1138"/>
        <v>347744</v>
      </c>
      <c r="G80" s="11">
        <f t="shared" si="1138"/>
        <v>157865</v>
      </c>
      <c r="H80" s="11">
        <f t="shared" si="1138"/>
        <v>0</v>
      </c>
      <c r="I80" s="11">
        <f t="shared" si="1138"/>
        <v>0</v>
      </c>
      <c r="J80" s="11">
        <f t="shared" si="1138"/>
        <v>297829</v>
      </c>
      <c r="K80" s="11">
        <f t="shared" si="1138"/>
        <v>44001</v>
      </c>
      <c r="L80" s="11">
        <f t="shared" si="1138"/>
        <v>111628</v>
      </c>
      <c r="M80" s="11">
        <f t="shared" si="1138"/>
        <v>83055</v>
      </c>
      <c r="N80" s="11">
        <f t="shared" si="1138"/>
        <v>578</v>
      </c>
      <c r="O80" s="11">
        <f t="shared" si="1138"/>
        <v>6534</v>
      </c>
      <c r="P80" s="11">
        <f t="shared" si="1138"/>
        <v>94354</v>
      </c>
      <c r="Q80" s="11">
        <f t="shared" si="1138"/>
        <v>0</v>
      </c>
      <c r="R80" s="11">
        <f t="shared" si="1138"/>
        <v>8518</v>
      </c>
      <c r="S80" s="11">
        <f t="shared" si="1138"/>
        <v>0</v>
      </c>
      <c r="T80" s="11">
        <f t="shared" si="1138"/>
        <v>0</v>
      </c>
      <c r="U80" s="11">
        <f t="shared" si="1138"/>
        <v>0</v>
      </c>
      <c r="V80" s="11">
        <f t="shared" si="1138"/>
        <v>0</v>
      </c>
      <c r="W80" s="11">
        <f t="shared" si="1138"/>
        <v>0</v>
      </c>
      <c r="X80" s="11">
        <f t="shared" si="1138"/>
        <v>0</v>
      </c>
      <c r="Y80" s="11">
        <f t="shared" si="1138"/>
        <v>5396</v>
      </c>
      <c r="Z80" s="11">
        <f t="shared" si="1138"/>
        <v>902</v>
      </c>
      <c r="AA80" s="11">
        <f t="shared" si="1138"/>
        <v>1120</v>
      </c>
      <c r="AB80" s="11">
        <f t="shared" si="1138"/>
        <v>3037</v>
      </c>
      <c r="AC80" s="11">
        <f t="shared" si="1138"/>
        <v>0</v>
      </c>
      <c r="AD80" s="11">
        <f t="shared" si="1138"/>
        <v>4813100</v>
      </c>
      <c r="AE80" s="11">
        <f t="shared" si="1138"/>
        <v>3521</v>
      </c>
      <c r="AF80" s="11">
        <f t="shared" si="1138"/>
        <v>478</v>
      </c>
      <c r="AG80" s="11">
        <f t="shared" si="1138"/>
        <v>15664</v>
      </c>
      <c r="AH80" s="11">
        <f t="shared" si="1138"/>
        <v>0</v>
      </c>
      <c r="AI80" s="11">
        <f t="shared" si="1138"/>
        <v>0</v>
      </c>
      <c r="AJ80" s="11">
        <f t="shared" si="1138"/>
        <v>13829</v>
      </c>
      <c r="AK80" s="11">
        <f t="shared" si="1138"/>
        <v>15511</v>
      </c>
      <c r="AL80" s="11">
        <f t="shared" si="1138"/>
        <v>19302</v>
      </c>
      <c r="AM80" s="11">
        <f t="shared" si="1138"/>
        <v>0</v>
      </c>
      <c r="AN80" s="11">
        <f t="shared" si="1138"/>
        <v>0</v>
      </c>
      <c r="AO80" s="11">
        <f t="shared" si="1138"/>
        <v>125255</v>
      </c>
      <c r="AP80" s="11">
        <f t="shared" si="1138"/>
        <v>9220848</v>
      </c>
      <c r="AQ80" s="11">
        <f t="shared" si="1138"/>
        <v>0</v>
      </c>
      <c r="AR80" s="11">
        <f t="shared" si="1138"/>
        <v>0</v>
      </c>
      <c r="AS80" s="11">
        <f t="shared" si="1138"/>
        <v>0</v>
      </c>
      <c r="AT80" s="11">
        <f t="shared" si="1138"/>
        <v>0</v>
      </c>
      <c r="AU80" s="11">
        <f t="shared" si="1138"/>
        <v>0</v>
      </c>
      <c r="AV80" s="11">
        <f t="shared" si="1138"/>
        <v>0</v>
      </c>
      <c r="AW80" s="11">
        <f t="shared" si="1138"/>
        <v>348</v>
      </c>
      <c r="AX80" s="11">
        <f t="shared" si="1138"/>
        <v>192</v>
      </c>
      <c r="AY80" s="11">
        <f t="shared" si="1138"/>
        <v>0</v>
      </c>
      <c r="AZ80" s="11">
        <f t="shared" si="1138"/>
        <v>0</v>
      </c>
      <c r="BA80" s="11">
        <f t="shared" si="1138"/>
        <v>0</v>
      </c>
      <c r="BB80" s="11">
        <f t="shared" si="1138"/>
        <v>0</v>
      </c>
      <c r="BC80" s="11">
        <f t="shared" si="1138"/>
        <v>10375</v>
      </c>
      <c r="BD80" s="11">
        <f t="shared" si="1138"/>
        <v>10495</v>
      </c>
      <c r="BE80" s="11">
        <f t="shared" si="1138"/>
        <v>0</v>
      </c>
      <c r="BF80" s="11">
        <f t="shared" si="1138"/>
        <v>5542</v>
      </c>
      <c r="BG80" s="11">
        <f t="shared" si="1138"/>
        <v>16712</v>
      </c>
      <c r="BH80" s="11">
        <f t="shared" si="1138"/>
        <v>9458072</v>
      </c>
      <c r="BI80" s="11">
        <f t="shared" si="1138"/>
        <v>14271172</v>
      </c>
      <c r="BJ80" s="11">
        <f t="shared" si="1138"/>
        <v>-11</v>
      </c>
      <c r="BK80" s="11">
        <f t="shared" si="1138"/>
        <v>14271183</v>
      </c>
      <c r="BL80" s="11">
        <f t="shared" ref="BL80:BM80" si="1139">BL74-BL71</f>
        <v>-3822961</v>
      </c>
      <c r="BM80" s="11">
        <f t="shared" si="1139"/>
        <v>-4990722</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9"/>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9"/>
      <c r="BJ81" s="5"/>
      <c r="BK81" s="48"/>
    </row>
    <row r="82" spans="1:66" s="265" customFormat="1">
      <c r="A82" s="15" t="s">
        <v>33</v>
      </c>
      <c r="B82" s="11" t="s">
        <v>430</v>
      </c>
      <c r="C82" s="266">
        <v>5852</v>
      </c>
      <c r="D82" s="120">
        <v>3449</v>
      </c>
      <c r="E82" s="120">
        <v>0</v>
      </c>
      <c r="F82" s="120">
        <v>813</v>
      </c>
      <c r="G82" s="120">
        <v>391</v>
      </c>
      <c r="H82" s="120">
        <v>0</v>
      </c>
      <c r="I82" s="120">
        <v>0</v>
      </c>
      <c r="J82" s="120">
        <v>279</v>
      </c>
      <c r="K82" s="120">
        <v>11</v>
      </c>
      <c r="L82" s="120">
        <v>142</v>
      </c>
      <c r="M82" s="120">
        <v>101</v>
      </c>
      <c r="N82" s="120">
        <v>31</v>
      </c>
      <c r="O82" s="120">
        <v>29</v>
      </c>
      <c r="P82" s="120">
        <v>82</v>
      </c>
      <c r="Q82" s="120">
        <v>0</v>
      </c>
      <c r="R82" s="120">
        <v>17</v>
      </c>
      <c r="S82" s="120">
        <v>0</v>
      </c>
      <c r="T82" s="120">
        <v>0</v>
      </c>
      <c r="U82" s="120">
        <v>0</v>
      </c>
      <c r="V82" s="267">
        <v>0</v>
      </c>
      <c r="W82" s="120">
        <v>0</v>
      </c>
      <c r="X82" s="120">
        <v>0</v>
      </c>
      <c r="Y82" s="120">
        <v>104</v>
      </c>
      <c r="Z82" s="120">
        <v>29</v>
      </c>
      <c r="AA82" s="120">
        <v>5</v>
      </c>
      <c r="AB82" s="120">
        <v>0</v>
      </c>
      <c r="AC82" s="267">
        <v>0</v>
      </c>
      <c r="AD82" s="121">
        <f t="shared" ref="AD82" si="1140">SUM(C82:AC82)</f>
        <v>11335</v>
      </c>
      <c r="AE82" s="120">
        <v>0</v>
      </c>
      <c r="AF82" s="120">
        <v>0</v>
      </c>
      <c r="AG82" s="120">
        <v>0</v>
      </c>
      <c r="AH82" s="120">
        <v>0</v>
      </c>
      <c r="AI82" s="120">
        <v>0</v>
      </c>
      <c r="AJ82" s="120">
        <v>0</v>
      </c>
      <c r="AK82" s="120">
        <v>67522</v>
      </c>
      <c r="AL82" s="120">
        <v>5</v>
      </c>
      <c r="AM82" s="120">
        <v>8422249</v>
      </c>
      <c r="AN82" s="120">
        <v>0</v>
      </c>
      <c r="AO82" s="267">
        <v>0</v>
      </c>
      <c r="AP82" s="120">
        <v>72337</v>
      </c>
      <c r="AQ82" s="267">
        <v>0</v>
      </c>
      <c r="AR82" s="120">
        <v>53095</v>
      </c>
      <c r="AS82" s="120">
        <v>0</v>
      </c>
      <c r="AT82" s="120">
        <v>0</v>
      </c>
      <c r="AU82" s="120">
        <v>36336</v>
      </c>
      <c r="AV82" s="120">
        <v>0</v>
      </c>
      <c r="AW82" s="120">
        <v>0</v>
      </c>
      <c r="AX82" s="120">
        <v>0</v>
      </c>
      <c r="AY82" s="120">
        <v>0</v>
      </c>
      <c r="AZ82" s="120">
        <v>76328</v>
      </c>
      <c r="BA82" s="120">
        <v>381201</v>
      </c>
      <c r="BB82" s="267">
        <v>0</v>
      </c>
      <c r="BC82" s="120">
        <v>0</v>
      </c>
      <c r="BD82" s="120">
        <v>0</v>
      </c>
      <c r="BE82" s="120">
        <v>0</v>
      </c>
      <c r="BF82" s="120">
        <v>6747</v>
      </c>
      <c r="BG82" s="120">
        <v>8835</v>
      </c>
      <c r="BH82" s="120">
        <f t="shared" ref="BH82" si="1141">SUM(AE82:BG82)</f>
        <v>9124655</v>
      </c>
      <c r="BI82" s="125">
        <f>AD82+BH82</f>
        <v>9135990</v>
      </c>
      <c r="BJ82" s="268">
        <v>366563</v>
      </c>
      <c r="BK82" s="124">
        <f t="shared" ref="BK82" si="1142">BI82-BJ82</f>
        <v>8769427</v>
      </c>
    </row>
    <row r="83" spans="1:66" s="41" customFormat="1">
      <c r="A83" s="134" t="s">
        <v>33</v>
      </c>
      <c r="B83" s="210" t="s">
        <v>424</v>
      </c>
      <c r="C83" s="266">
        <v>1112</v>
      </c>
      <c r="D83" s="120">
        <v>655</v>
      </c>
      <c r="E83" s="120">
        <v>0</v>
      </c>
      <c r="F83" s="120">
        <v>154</v>
      </c>
      <c r="G83" s="120">
        <v>74</v>
      </c>
      <c r="H83" s="120">
        <v>0</v>
      </c>
      <c r="I83" s="120">
        <v>0</v>
      </c>
      <c r="J83" s="120">
        <v>53</v>
      </c>
      <c r="K83" s="120">
        <v>2</v>
      </c>
      <c r="L83" s="120">
        <v>27</v>
      </c>
      <c r="M83" s="120">
        <v>19</v>
      </c>
      <c r="N83" s="120">
        <v>6</v>
      </c>
      <c r="O83" s="120">
        <v>6</v>
      </c>
      <c r="P83" s="120">
        <v>16</v>
      </c>
      <c r="Q83" s="120">
        <v>0</v>
      </c>
      <c r="R83" s="120">
        <v>3</v>
      </c>
      <c r="S83" s="120">
        <v>0</v>
      </c>
      <c r="T83" s="120">
        <v>0</v>
      </c>
      <c r="U83" s="120">
        <v>0</v>
      </c>
      <c r="V83" s="267">
        <v>0</v>
      </c>
      <c r="W83" s="120">
        <v>0</v>
      </c>
      <c r="X83" s="120">
        <v>0</v>
      </c>
      <c r="Y83" s="120">
        <v>20</v>
      </c>
      <c r="Z83" s="120">
        <v>6</v>
      </c>
      <c r="AA83" s="120">
        <v>1</v>
      </c>
      <c r="AB83" s="120">
        <v>0</v>
      </c>
      <c r="AC83" s="267">
        <v>0</v>
      </c>
      <c r="AD83" s="121">
        <f t="shared" ref="AD83" si="1143">SUM(C83:AC83)</f>
        <v>2154</v>
      </c>
      <c r="AE83" s="120">
        <v>0</v>
      </c>
      <c r="AF83" s="120">
        <v>0</v>
      </c>
      <c r="AG83" s="120">
        <v>0</v>
      </c>
      <c r="AH83" s="120">
        <v>0</v>
      </c>
      <c r="AI83" s="120">
        <v>0</v>
      </c>
      <c r="AJ83" s="120">
        <v>0</v>
      </c>
      <c r="AK83" s="120">
        <v>16205</v>
      </c>
      <c r="AL83" s="120">
        <v>1</v>
      </c>
      <c r="AM83" s="120">
        <v>2021340</v>
      </c>
      <c r="AN83" s="120">
        <v>0</v>
      </c>
      <c r="AO83" s="267">
        <v>0</v>
      </c>
      <c r="AP83" s="120">
        <v>17361</v>
      </c>
      <c r="AQ83" s="267">
        <v>0</v>
      </c>
      <c r="AR83" s="120">
        <v>12743</v>
      </c>
      <c r="AS83" s="120">
        <v>0</v>
      </c>
      <c r="AT83" s="120">
        <v>0</v>
      </c>
      <c r="AU83" s="120">
        <v>8721</v>
      </c>
      <c r="AV83" s="120">
        <v>0</v>
      </c>
      <c r="AW83" s="120">
        <v>0</v>
      </c>
      <c r="AX83" s="120">
        <v>0</v>
      </c>
      <c r="AY83" s="120">
        <v>0</v>
      </c>
      <c r="AZ83" s="120">
        <v>18319</v>
      </c>
      <c r="BA83" s="120">
        <v>91488</v>
      </c>
      <c r="BB83" s="267">
        <v>0</v>
      </c>
      <c r="BC83" s="120">
        <v>0</v>
      </c>
      <c r="BD83" s="120">
        <v>0</v>
      </c>
      <c r="BE83" s="120">
        <v>0</v>
      </c>
      <c r="BF83" s="120">
        <v>1619</v>
      </c>
      <c r="BG83" s="120">
        <v>2120</v>
      </c>
      <c r="BH83" s="120">
        <f t="shared" ref="BH83" si="1144">SUM(AE83:BG83)</f>
        <v>2189917</v>
      </c>
      <c r="BI83" s="125">
        <f>AD83+BH83</f>
        <v>2192071</v>
      </c>
      <c r="BJ83" s="268">
        <v>87975</v>
      </c>
      <c r="BK83" s="124">
        <f t="shared" ref="BK83" si="1145">BI83-BJ83</f>
        <v>2104096</v>
      </c>
      <c r="BM83" s="211"/>
    </row>
    <row r="84" spans="1:66">
      <c r="A84" s="128"/>
      <c r="B84" s="12" t="s">
        <v>425</v>
      </c>
      <c r="C84" s="9">
        <f>IF('Upto Month COPPY'!$I$4="",0,'Upto Month COPPY'!$I$4)</f>
        <v>1019</v>
      </c>
      <c r="D84" s="9">
        <f>IF('Upto Month COPPY'!$I$5="",0,'Upto Month COPPY'!$I$5)</f>
        <v>550</v>
      </c>
      <c r="E84" s="9">
        <f>IF('Upto Month COPPY'!$I$6="",0,'Upto Month COPPY'!$I$6)</f>
        <v>0</v>
      </c>
      <c r="F84" s="9">
        <f>IF('Upto Month COPPY'!$I$7="",0,'Upto Month COPPY'!$I$7)</f>
        <v>118</v>
      </c>
      <c r="G84" s="9">
        <f>IF('Upto Month COPPY'!$I$8="",0,'Upto Month COPPY'!$I$8)</f>
        <v>66</v>
      </c>
      <c r="H84" s="9">
        <f>IF('Upto Month COPPY'!$I$9="",0,'Upto Month COPPY'!$I$9)</f>
        <v>0</v>
      </c>
      <c r="I84" s="9">
        <f>IF('Upto Month COPPY'!$I$10="",0,'Upto Month COPPY'!$I$10)</f>
        <v>0</v>
      </c>
      <c r="J84" s="9">
        <f>IF('Upto Month COPPY'!$I$11="",0,'Upto Month COPPY'!$I$11)</f>
        <v>25</v>
      </c>
      <c r="K84" s="9">
        <f>IF('Upto Month COPPY'!$I$12="",0,'Upto Month COPPY'!$I$12)</f>
        <v>0</v>
      </c>
      <c r="L84" s="9">
        <f>IF('Upto Month COPPY'!$I$13="",0,'Upto Month COPPY'!$I$13)</f>
        <v>51</v>
      </c>
      <c r="M84" s="9">
        <f>IF('Upto Month COPPY'!$I$14="",0,'Upto Month COPPY'!$I$14)</f>
        <v>26</v>
      </c>
      <c r="N84" s="9">
        <f>IF('Upto Month COPPY'!$I$15="",0,'Upto Month COPPY'!$I$15)</f>
        <v>0</v>
      </c>
      <c r="O84" s="9">
        <f>IF('Upto Month COPPY'!$I$16="",0,'Upto Month COPPY'!$I$16)</f>
        <v>0</v>
      </c>
      <c r="P84" s="9">
        <f>IF('Upto Month COPPY'!$I$17="",0,'Upto Month COPPY'!$I$17)</f>
        <v>37</v>
      </c>
      <c r="Q84" s="9">
        <f>IF('Upto Month COPPY'!$I$18="",0,'Upto Month COPPY'!$I$18)</f>
        <v>0</v>
      </c>
      <c r="R84" s="9">
        <f>IF('Upto Month COPPY'!$I$21="",0,'Upto Month COPPY'!$I$21)</f>
        <v>14</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89</v>
      </c>
      <c r="Z84" s="9">
        <f>IF('Upto Month COPPY'!$I$43="",0,'Upto Month COPPY'!$I$43)</f>
        <v>25</v>
      </c>
      <c r="AA84" s="9">
        <f>IF('Upto Month COPPY'!$I$44="",0,'Upto Month COPPY'!$I$44)</f>
        <v>4</v>
      </c>
      <c r="AB84" s="9">
        <f>IF('Upto Month COPPY'!$I$48="",0,'Upto Month COPPY'!$I$48)</f>
        <v>0</v>
      </c>
      <c r="AC84" s="9">
        <f>IF('Upto Month COPPY'!$I$51="",0,'Upto Month COPPY'!$I$51)</f>
        <v>0</v>
      </c>
      <c r="AD84" s="221">
        <f t="shared" ref="AD84:AD85" si="1146">SUM(C84:AC84)</f>
        <v>2024</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32084</v>
      </c>
      <c r="AL84" s="9">
        <f>IF('Upto Month COPPY'!$I$29="",0,'Upto Month COPPY'!$I$29)</f>
        <v>0</v>
      </c>
      <c r="AM84" s="9">
        <f>IF('Upto Month COPPY'!$I$31="",0,'Upto Month COPPY'!$I$31)</f>
        <v>915343</v>
      </c>
      <c r="AN84" s="9">
        <f>IF('Upto Month COPPY'!$I$32="",0,'Upto Month COPPY'!$I$32)</f>
        <v>0</v>
      </c>
      <c r="AO84" s="9">
        <f>IF('Upto Month COPPY'!$I$33="",0,'Upto Month COPPY'!$I$33)</f>
        <v>0</v>
      </c>
      <c r="AP84" s="9">
        <f>IF('Upto Month COPPY'!$I$34="",0,'Upto Month COPPY'!$I$34)</f>
        <v>255</v>
      </c>
      <c r="AQ84" s="9">
        <f>IF('Upto Month COPPY'!$I$36="",0,'Upto Month COPPY'!$I$36)</f>
        <v>0</v>
      </c>
      <c r="AR84" s="9">
        <f>IF('Upto Month COPPY'!$I$37="",0,'Upto Month COPPY'!$I$37)</f>
        <v>19033</v>
      </c>
      <c r="AS84" s="9">
        <f>IF('Upto Month COPPY'!$I$38="",0,'Upto Month COPPY'!$I$38)</f>
        <v>0</v>
      </c>
      <c r="AT84" s="9">
        <f>IF('Upto Month COPPY'!$I$38="",0,'Upto Month COPPY'!$I$38)</f>
        <v>0</v>
      </c>
      <c r="AU84" s="9">
        <f>IF('Upto Month COPPY'!$I$41="",0,'Upto Month COPPY'!$I$41)</f>
        <v>15940</v>
      </c>
      <c r="AV84" s="9">
        <v>0</v>
      </c>
      <c r="AW84" s="9">
        <f>IF('Upto Month COPPY'!$I$45="",0,'Upto Month COPPY'!$I$45)</f>
        <v>0</v>
      </c>
      <c r="AX84" s="9">
        <f>IF('Upto Month COPPY'!$I$46="",0,'Upto Month COPPY'!$I$46)</f>
        <v>0</v>
      </c>
      <c r="AY84" s="9">
        <f>IF('Upto Month COPPY'!$I$47="",0,'Upto Month COPPY'!$I$47)</f>
        <v>0</v>
      </c>
      <c r="AZ84" s="9">
        <f>IF('Upto Month COPPY'!$I$49="",0,'Upto Month COPPY'!$I$49)</f>
        <v>1022</v>
      </c>
      <c r="BA84" s="9">
        <f>IF('Upto Month COPPY'!$I$50="",0,'Upto Month COPPY'!$I$50)</f>
        <v>148354</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43</v>
      </c>
      <c r="BG84" s="9">
        <f>IF('Upto Month COPPY'!$I$58="",0,'Upto Month COPPY'!$I$58)</f>
        <v>1290</v>
      </c>
      <c r="BH84" s="9">
        <f>SUM(AE84:BG84)</f>
        <v>1133364</v>
      </c>
      <c r="BI84" s="274">
        <f>AD84+BH84</f>
        <v>1135388</v>
      </c>
      <c r="BJ84" s="9">
        <f>IF('Upto Month COPPY'!$I$60="",0,'Upto Month COPPY'!$I$60)-'Upto Month COPPY'!I57</f>
        <v>3564</v>
      </c>
      <c r="BK84" s="49">
        <f t="shared" ref="BK84:BK85" si="1147">BI84-BJ84</f>
        <v>1131824</v>
      </c>
      <c r="BL84">
        <f>'Upto Month COPPY'!$I$61</f>
        <v>1131825</v>
      </c>
      <c r="BM84" s="30">
        <f t="shared" ref="BM84:BM88" si="1148">BK84-AD84</f>
        <v>1129800</v>
      </c>
      <c r="BN84" s="68">
        <f>-------------------Sheet1!H8</f>
        <v>0</v>
      </c>
    </row>
    <row r="85" spans="1:66">
      <c r="A85" s="128"/>
      <c r="B85" s="180" t="s">
        <v>426</v>
      </c>
      <c r="C85" s="9">
        <f>IF('Upto Month Current'!$I$4="",0,'Upto Month Current'!$I$4)</f>
        <v>855</v>
      </c>
      <c r="D85" s="9">
        <f>IF('Upto Month Current'!$I$5="",0,'Upto Month Current'!$I$5)</f>
        <v>530</v>
      </c>
      <c r="E85" s="9">
        <f>IF('Upto Month Current'!$I$6="",0,'Upto Month Current'!$I$6)</f>
        <v>0</v>
      </c>
      <c r="F85" s="9">
        <f>IF('Upto Month Current'!$I$7="",0,'Upto Month Current'!$I$7)</f>
        <v>91</v>
      </c>
      <c r="G85" s="9">
        <f>IF('Upto Month Current'!$I$8="",0,'Upto Month Current'!$I$8)</f>
        <v>63</v>
      </c>
      <c r="H85" s="9">
        <f>IF('Upto Month Current'!$I$9="",0,'Upto Month Current'!$I$9)</f>
        <v>0</v>
      </c>
      <c r="I85" s="9">
        <f>IF('Upto Month Current'!$I$10="",0,'Upto Month Current'!$I$10)</f>
        <v>0</v>
      </c>
      <c r="J85" s="9">
        <f>IF('Upto Month Current'!$I$11="",0,'Upto Month Current'!$I$11)</f>
        <v>0</v>
      </c>
      <c r="K85" s="9">
        <f>IF('Upto Month Current'!$I$12="",0,'Upto Month Current'!$I$12)</f>
        <v>1</v>
      </c>
      <c r="L85" s="9">
        <f>IF('Upto Month Current'!$I$13="",0,'Upto Month Current'!$I$13)</f>
        <v>37</v>
      </c>
      <c r="M85" s="9">
        <f>IF('Upto Month Current'!$I$14="",0,'Upto Month Current'!$I$14)</f>
        <v>30</v>
      </c>
      <c r="N85" s="9">
        <f>IF('Upto Month Current'!$I$15="",0,'Upto Month Current'!$I$15)</f>
        <v>0</v>
      </c>
      <c r="O85" s="9">
        <f>IF('Upto Month Current'!$I$16="",0,'Upto Month Current'!$I$16)</f>
        <v>21</v>
      </c>
      <c r="P85" s="9">
        <f>IF('Upto Month Current'!$I$17="",0,'Upto Month Current'!$I$17)</f>
        <v>17</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3</v>
      </c>
      <c r="AB85" s="9">
        <f>IF('Upto Month Current'!$I$48="",0,'Upto Month Current'!$I$48)</f>
        <v>0</v>
      </c>
      <c r="AC85" s="9">
        <f>IF('Upto Month Current'!$I$51="",0,'Upto Month Current'!$I$51)</f>
        <v>0</v>
      </c>
      <c r="AD85" s="221">
        <f t="shared" si="1146"/>
        <v>1648</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20309</v>
      </c>
      <c r="AL85" s="9">
        <f>IF('Upto Month Current'!$I$29="",0,'Upto Month Current'!$I$29)</f>
        <v>0</v>
      </c>
      <c r="AM85" s="9">
        <f>IF('Upto Month Current'!$I$31="",0,'Upto Month Current'!$I$31)</f>
        <v>1639170</v>
      </c>
      <c r="AN85" s="9">
        <f>IF('Upto Month Current'!$I$32="",0,'Upto Month Current'!$I$32)</f>
        <v>0</v>
      </c>
      <c r="AO85" s="9">
        <f>IF('Upto Month Current'!$I$33="",0,'Upto Month Current'!$I$33)</f>
        <v>0</v>
      </c>
      <c r="AP85" s="9">
        <f>IF('Upto Month Current'!$I$34="",0,'Upto Month Current'!$I$34)</f>
        <v>2677</v>
      </c>
      <c r="AQ85" s="9">
        <f>IF('Upto Month Current'!$I$36="",0,'Upto Month Current'!$I$36)</f>
        <v>0</v>
      </c>
      <c r="AR85" s="9">
        <f>IF('Upto Month Current'!$I$37="",0,'Upto Month Current'!$I$37)</f>
        <v>4280</v>
      </c>
      <c r="AS85" s="9">
        <v>0</v>
      </c>
      <c r="AT85" s="9">
        <f>IF('Upto Month Current'!$I$38="",0,'Upto Month Current'!$I$38)</f>
        <v>0</v>
      </c>
      <c r="AU85" s="9">
        <f>IF('Upto Month Current'!$I$41="",0,'Upto Month Current'!$I$41)</f>
        <v>3240</v>
      </c>
      <c r="AV85" s="9">
        <v>0</v>
      </c>
      <c r="AW85" s="9">
        <f>IF('Upto Month Current'!$I$45="",0,'Upto Month Current'!$I$45)</f>
        <v>0</v>
      </c>
      <c r="AX85" s="9">
        <f>IF('Upto Month Current'!$I$46="",0,'Upto Month Current'!$I$46)</f>
        <v>0</v>
      </c>
      <c r="AY85" s="9">
        <f>IF('Upto Month Current'!$I$47="",0,'Upto Month Current'!$I$47)</f>
        <v>0</v>
      </c>
      <c r="AZ85" s="9">
        <f>IF('Upto Month Current'!$I$49="",0,'Upto Month Current'!$I$49)</f>
        <v>5136</v>
      </c>
      <c r="BA85" s="9">
        <f>IF('Upto Month Current'!$I$50="",0,'Upto Month Current'!$I$50)</f>
        <v>62529</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265</v>
      </c>
      <c r="BG85" s="9">
        <f>IF('Upto Month Current'!$I$58="",0,'Upto Month Current'!$I$58)</f>
        <v>332</v>
      </c>
      <c r="BH85" s="9">
        <f>SUM(AE85:BG85)</f>
        <v>1737938</v>
      </c>
      <c r="BI85" s="274">
        <f>AD85+BH85</f>
        <v>1739586</v>
      </c>
      <c r="BJ85" s="9">
        <f>IF('Upto Month Current'!$I$60="",0,'Upto Month Current'!$I$60)-'Upto Month Current'!I57</f>
        <v>216921</v>
      </c>
      <c r="BK85" s="49">
        <f t="shared" si="1147"/>
        <v>1522665</v>
      </c>
      <c r="BL85" s="99">
        <f>'Upto Month Current'!$I$61</f>
        <v>1522665</v>
      </c>
      <c r="BM85" s="30">
        <f t="shared" si="1148"/>
        <v>1521017</v>
      </c>
    </row>
    <row r="86" spans="1:66">
      <c r="A86" s="128"/>
      <c r="B86" s="5" t="s">
        <v>130</v>
      </c>
      <c r="C86" s="11">
        <f>C85-C83</f>
        <v>-257</v>
      </c>
      <c r="D86" s="11">
        <f t="shared" ref="D86" si="1149">D85-D83</f>
        <v>-125</v>
      </c>
      <c r="E86" s="11">
        <f t="shared" ref="E86" si="1150">E85-E83</f>
        <v>0</v>
      </c>
      <c r="F86" s="11">
        <f t="shared" ref="F86" si="1151">F85-F83</f>
        <v>-63</v>
      </c>
      <c r="G86" s="11">
        <f t="shared" ref="G86" si="1152">G85-G83</f>
        <v>-11</v>
      </c>
      <c r="H86" s="11">
        <f t="shared" ref="H86" si="1153">H85-H83</f>
        <v>0</v>
      </c>
      <c r="I86" s="11">
        <f t="shared" ref="I86" si="1154">I85-I83</f>
        <v>0</v>
      </c>
      <c r="J86" s="11">
        <f t="shared" ref="J86" si="1155">J85-J83</f>
        <v>-53</v>
      </c>
      <c r="K86" s="11">
        <f t="shared" ref="K86" si="1156">K85-K83</f>
        <v>-1</v>
      </c>
      <c r="L86" s="11">
        <f t="shared" ref="L86" si="1157">L85-L83</f>
        <v>10</v>
      </c>
      <c r="M86" s="11">
        <f t="shared" ref="M86" si="1158">M85-M83</f>
        <v>11</v>
      </c>
      <c r="N86" s="11">
        <f t="shared" ref="N86" si="1159">N85-N83</f>
        <v>-6</v>
      </c>
      <c r="O86" s="11">
        <f t="shared" ref="O86" si="1160">O85-O83</f>
        <v>15</v>
      </c>
      <c r="P86" s="11">
        <f t="shared" ref="P86" si="1161">P85-P83</f>
        <v>1</v>
      </c>
      <c r="Q86" s="11">
        <f t="shared" ref="Q86" si="1162">Q85-Q83</f>
        <v>0</v>
      </c>
      <c r="R86" s="11">
        <f t="shared" ref="R86" si="1163">R85-R83</f>
        <v>-3</v>
      </c>
      <c r="S86" s="11">
        <f t="shared" ref="S86" si="1164">S85-S83</f>
        <v>0</v>
      </c>
      <c r="T86" s="11">
        <f t="shared" ref="T86:U86" si="1165">T85-T83</f>
        <v>0</v>
      </c>
      <c r="U86" s="11">
        <f t="shared" si="1165"/>
        <v>0</v>
      </c>
      <c r="V86" s="9">
        <f t="shared" ref="V86" si="1166">V85-V83</f>
        <v>0</v>
      </c>
      <c r="W86" s="11">
        <f t="shared" ref="W86" si="1167">W85-W83</f>
        <v>0</v>
      </c>
      <c r="X86" s="11">
        <f t="shared" ref="X86" si="1168">X85-X83</f>
        <v>0</v>
      </c>
      <c r="Y86" s="11">
        <f t="shared" ref="Y86" si="1169">Y85-Y83</f>
        <v>-20</v>
      </c>
      <c r="Z86" s="11">
        <f t="shared" ref="Z86" si="1170">Z85-Z83</f>
        <v>-6</v>
      </c>
      <c r="AA86" s="11">
        <f t="shared" ref="AA86:AD86" si="1171">AA85-AA83</f>
        <v>2</v>
      </c>
      <c r="AB86" s="11">
        <f t="shared" ref="AB86" si="1172">AB85-AB83</f>
        <v>0</v>
      </c>
      <c r="AC86" s="9">
        <f t="shared" si="1171"/>
        <v>0</v>
      </c>
      <c r="AD86" s="216">
        <f t="shared" si="1171"/>
        <v>-506</v>
      </c>
      <c r="AE86" s="11">
        <f t="shared" ref="AE86" si="1173">AE85-AE83</f>
        <v>0</v>
      </c>
      <c r="AF86" s="11">
        <f t="shared" ref="AF86" si="1174">AF85-AF83</f>
        <v>0</v>
      </c>
      <c r="AG86" s="11">
        <f t="shared" ref="AG86" si="1175">AG85-AG83</f>
        <v>0</v>
      </c>
      <c r="AH86" s="11">
        <f t="shared" ref="AH86" si="1176">AH85-AH83</f>
        <v>0</v>
      </c>
      <c r="AI86" s="11">
        <f t="shared" ref="AI86" si="1177">AI85-AI83</f>
        <v>0</v>
      </c>
      <c r="AJ86" s="11">
        <f t="shared" ref="AJ86" si="1178">AJ85-AJ83</f>
        <v>0</v>
      </c>
      <c r="AK86" s="11">
        <f t="shared" ref="AK86" si="1179">AK85-AK83</f>
        <v>4104</v>
      </c>
      <c r="AL86" s="11">
        <f t="shared" ref="AL86" si="1180">AL85-AL83</f>
        <v>-1</v>
      </c>
      <c r="AM86" s="11">
        <f t="shared" ref="AM86" si="1181">AM85-AM83</f>
        <v>-382170</v>
      </c>
      <c r="AN86" s="11">
        <f t="shared" ref="AN86" si="1182">AN85-AN83</f>
        <v>0</v>
      </c>
      <c r="AO86" s="9">
        <f t="shared" ref="AO86" si="1183">AO85-AO83</f>
        <v>0</v>
      </c>
      <c r="AP86" s="11">
        <f t="shared" ref="AP86" si="1184">AP85-AP83</f>
        <v>-14684</v>
      </c>
      <c r="AQ86" s="9">
        <f t="shared" ref="AQ86" si="1185">AQ85-AQ83</f>
        <v>0</v>
      </c>
      <c r="AR86" s="11">
        <f t="shared" ref="AR86" si="1186">AR85-AR83</f>
        <v>-8463</v>
      </c>
      <c r="AS86" s="11">
        <f t="shared" ref="AS86" si="1187">AS85-AS83</f>
        <v>0</v>
      </c>
      <c r="AT86" s="11">
        <f t="shared" ref="AT86" si="1188">AT85-AT83</f>
        <v>0</v>
      </c>
      <c r="AU86" s="11">
        <f t="shared" ref="AU86" si="1189">AU85-AU83</f>
        <v>-5481</v>
      </c>
      <c r="AV86" s="11">
        <f t="shared" ref="AV86" si="1190">AV85-AV83</f>
        <v>0</v>
      </c>
      <c r="AW86" s="11">
        <f t="shared" ref="AW86" si="1191">AW85-AW83</f>
        <v>0</v>
      </c>
      <c r="AX86" s="11">
        <f t="shared" ref="AX86" si="1192">AX85-AX83</f>
        <v>0</v>
      </c>
      <c r="AY86" s="11">
        <f t="shared" ref="AY86" si="1193">AY85-AY83</f>
        <v>0</v>
      </c>
      <c r="AZ86" s="11">
        <f t="shared" ref="AZ86" si="1194">AZ85-AZ83</f>
        <v>-13183</v>
      </c>
      <c r="BA86" s="11">
        <f t="shared" ref="BA86" si="1195">BA85-BA83</f>
        <v>-28959</v>
      </c>
      <c r="BB86" s="9">
        <f t="shared" ref="BB86" si="1196">BB85-BB83</f>
        <v>0</v>
      </c>
      <c r="BC86" s="11">
        <f t="shared" ref="BC86" si="1197">BC85-BC83</f>
        <v>0</v>
      </c>
      <c r="BD86" s="11">
        <f t="shared" ref="BD86" si="1198">BD85-BD83</f>
        <v>0</v>
      </c>
      <c r="BE86" s="11">
        <f t="shared" ref="BE86" si="1199">BE85-BE83</f>
        <v>0</v>
      </c>
      <c r="BF86" s="11">
        <f t="shared" ref="BF86" si="1200">BF85-BF83</f>
        <v>-1354</v>
      </c>
      <c r="BG86" s="11">
        <f t="shared" ref="BG86:BH86" si="1201">BG85-BG83</f>
        <v>-1788</v>
      </c>
      <c r="BH86" s="9">
        <f t="shared" si="1201"/>
        <v>-451979</v>
      </c>
      <c r="BI86" s="9">
        <f t="shared" ref="BI86" si="1202">BI85-BI83</f>
        <v>-452485</v>
      </c>
      <c r="BJ86" s="11">
        <f t="shared" ref="BJ86:BK86" si="1203">BJ85-BJ83</f>
        <v>128946</v>
      </c>
      <c r="BK86" s="49">
        <f t="shared" si="1203"/>
        <v>-581431</v>
      </c>
      <c r="BM86" s="30">
        <f t="shared" si="1148"/>
        <v>-580925</v>
      </c>
    </row>
    <row r="87" spans="1:66">
      <c r="A87" s="128"/>
      <c r="B87" s="5" t="s">
        <v>131</v>
      </c>
      <c r="C87" s="13">
        <f>C86/C83</f>
        <v>-0.23111510791366907</v>
      </c>
      <c r="D87" s="13">
        <f t="shared" ref="D87" si="1204">D86/D83</f>
        <v>-0.19083969465648856</v>
      </c>
      <c r="E87" s="13" t="e">
        <f t="shared" ref="E87" si="1205">E86/E83</f>
        <v>#DIV/0!</v>
      </c>
      <c r="F87" s="13">
        <f t="shared" ref="F87" si="1206">F86/F83</f>
        <v>-0.40909090909090912</v>
      </c>
      <c r="G87" s="13">
        <f t="shared" ref="G87" si="1207">G86/G83</f>
        <v>-0.14864864864864866</v>
      </c>
      <c r="H87" s="13" t="e">
        <f t="shared" ref="H87" si="1208">H86/H83</f>
        <v>#DIV/0!</v>
      </c>
      <c r="I87" s="13" t="e">
        <f t="shared" ref="I87" si="1209">I86/I83</f>
        <v>#DIV/0!</v>
      </c>
      <c r="J87" s="13">
        <f t="shared" ref="J87" si="1210">J86/J83</f>
        <v>-1</v>
      </c>
      <c r="K87" s="13">
        <f t="shared" ref="K87" si="1211">K86/K83</f>
        <v>-0.5</v>
      </c>
      <c r="L87" s="13">
        <f t="shared" ref="L87" si="1212">L86/L83</f>
        <v>0.37037037037037035</v>
      </c>
      <c r="M87" s="13">
        <f t="shared" ref="M87" si="1213">M86/M83</f>
        <v>0.57894736842105265</v>
      </c>
      <c r="N87" s="13">
        <f t="shared" ref="N87" si="1214">N86/N83</f>
        <v>-1</v>
      </c>
      <c r="O87" s="13">
        <f t="shared" ref="O87" si="1215">O86/O83</f>
        <v>2.5</v>
      </c>
      <c r="P87" s="13">
        <f t="shared" ref="P87" si="1216">P86/P83</f>
        <v>6.25E-2</v>
      </c>
      <c r="Q87" s="13" t="e">
        <f t="shared" ref="Q87" si="1217">Q86/Q83</f>
        <v>#DIV/0!</v>
      </c>
      <c r="R87" s="13">
        <f t="shared" ref="R87" si="1218">R86/R83</f>
        <v>-1</v>
      </c>
      <c r="S87" s="13" t="e">
        <f t="shared" ref="S87" si="1219">S86/S83</f>
        <v>#DIV/0!</v>
      </c>
      <c r="T87" s="13" t="e">
        <f t="shared" ref="T87:U87" si="1220">T86/T83</f>
        <v>#DIV/0!</v>
      </c>
      <c r="U87" s="13" t="e">
        <f t="shared" si="1220"/>
        <v>#DIV/0!</v>
      </c>
      <c r="V87" s="160" t="e">
        <f t="shared" ref="V87" si="1221">V86/V83</f>
        <v>#DIV/0!</v>
      </c>
      <c r="W87" s="13" t="e">
        <f t="shared" ref="W87" si="1222">W86/W83</f>
        <v>#DIV/0!</v>
      </c>
      <c r="X87" s="13" t="e">
        <f t="shared" ref="X87" si="1223">X86/X83</f>
        <v>#DIV/0!</v>
      </c>
      <c r="Y87" s="13">
        <f t="shared" ref="Y87" si="1224">Y86/Y83</f>
        <v>-1</v>
      </c>
      <c r="Z87" s="13">
        <f t="shared" ref="Z87" si="1225">Z86/Z83</f>
        <v>-1</v>
      </c>
      <c r="AA87" s="13">
        <f t="shared" ref="AA87:AD87" si="1226">AA86/AA83</f>
        <v>2</v>
      </c>
      <c r="AB87" s="13" t="e">
        <f t="shared" ref="AB87" si="1227">AB86/AB83</f>
        <v>#DIV/0!</v>
      </c>
      <c r="AC87" s="160" t="e">
        <f t="shared" si="1226"/>
        <v>#DIV/0!</v>
      </c>
      <c r="AD87" s="217">
        <f t="shared" si="1226"/>
        <v>-0.23491179201485607</v>
      </c>
      <c r="AE87" s="13" t="e">
        <f t="shared" ref="AE87" si="1228">AE86/AE83</f>
        <v>#DIV/0!</v>
      </c>
      <c r="AF87" s="13" t="e">
        <f t="shared" ref="AF87" si="1229">AF86/AF83</f>
        <v>#DIV/0!</v>
      </c>
      <c r="AG87" s="13" t="e">
        <f t="shared" ref="AG87" si="1230">AG86/AG83</f>
        <v>#DIV/0!</v>
      </c>
      <c r="AH87" s="13" t="e">
        <f t="shared" ref="AH87" si="1231">AH86/AH83</f>
        <v>#DIV/0!</v>
      </c>
      <c r="AI87" s="13" t="e">
        <f t="shared" ref="AI87" si="1232">AI86/AI83</f>
        <v>#DIV/0!</v>
      </c>
      <c r="AJ87" s="13" t="e">
        <f t="shared" ref="AJ87" si="1233">AJ86/AJ83</f>
        <v>#DIV/0!</v>
      </c>
      <c r="AK87" s="13">
        <f t="shared" ref="AK87" si="1234">AK86/AK83</f>
        <v>0.25325516815797594</v>
      </c>
      <c r="AL87" s="13">
        <f t="shared" ref="AL87" si="1235">AL86/AL83</f>
        <v>-1</v>
      </c>
      <c r="AM87" s="13">
        <f t="shared" ref="AM87" si="1236">AM86/AM83</f>
        <v>-0.18906764819377245</v>
      </c>
      <c r="AN87" s="13" t="e">
        <f t="shared" ref="AN87" si="1237">AN86/AN83</f>
        <v>#DIV/0!</v>
      </c>
      <c r="AO87" s="160" t="e">
        <f t="shared" ref="AO87" si="1238">AO86/AO83</f>
        <v>#DIV/0!</v>
      </c>
      <c r="AP87" s="13">
        <f t="shared" ref="AP87" si="1239">AP86/AP83</f>
        <v>-0.84580381314440412</v>
      </c>
      <c r="AQ87" s="160" t="e">
        <f t="shared" ref="AQ87" si="1240">AQ86/AQ83</f>
        <v>#DIV/0!</v>
      </c>
      <c r="AR87" s="13">
        <f t="shared" ref="AR87" si="1241">AR86/AR83</f>
        <v>-0.66412932590441809</v>
      </c>
      <c r="AS87" s="13" t="e">
        <f t="shared" ref="AS87" si="1242">AS86/AS83</f>
        <v>#DIV/0!</v>
      </c>
      <c r="AT87" s="13" t="e">
        <f t="shared" ref="AT87" si="1243">AT86/AT83</f>
        <v>#DIV/0!</v>
      </c>
      <c r="AU87" s="13">
        <f t="shared" ref="AU87" si="1244">AU86/AU83</f>
        <v>-0.62848297213622295</v>
      </c>
      <c r="AV87" s="13" t="e">
        <f t="shared" ref="AV87" si="1245">AV86/AV83</f>
        <v>#DIV/0!</v>
      </c>
      <c r="AW87" s="13" t="e">
        <f t="shared" ref="AW87" si="1246">AW86/AW83</f>
        <v>#DIV/0!</v>
      </c>
      <c r="AX87" s="13" t="e">
        <f t="shared" ref="AX87" si="1247">AX86/AX83</f>
        <v>#DIV/0!</v>
      </c>
      <c r="AY87" s="13" t="e">
        <f t="shared" ref="AY87" si="1248">AY86/AY83</f>
        <v>#DIV/0!</v>
      </c>
      <c r="AZ87" s="13">
        <f t="shared" ref="AZ87" si="1249">AZ86/AZ83</f>
        <v>-0.71963535127463285</v>
      </c>
      <c r="BA87" s="13">
        <f t="shared" ref="BA87" si="1250">BA86/BA83</f>
        <v>-0.31653331584470096</v>
      </c>
      <c r="BB87" s="160" t="e">
        <f t="shared" ref="BB87" si="1251">BB86/BB83</f>
        <v>#DIV/0!</v>
      </c>
      <c r="BC87" s="13" t="e">
        <f t="shared" ref="BC87" si="1252">BC86/BC83</f>
        <v>#DIV/0!</v>
      </c>
      <c r="BD87" s="13" t="e">
        <f t="shared" ref="BD87" si="1253">BD86/BD83</f>
        <v>#DIV/0!</v>
      </c>
      <c r="BE87" s="13" t="e">
        <f t="shared" ref="BE87" si="1254">BE86/BE83</f>
        <v>#DIV/0!</v>
      </c>
      <c r="BF87" s="13">
        <f t="shared" ref="BF87" si="1255">BF86/BF83</f>
        <v>-0.83631871525633106</v>
      </c>
      <c r="BG87" s="13">
        <f t="shared" ref="BG87:BH87" si="1256">BG86/BG83</f>
        <v>-0.84339622641509437</v>
      </c>
      <c r="BH87" s="160">
        <f t="shared" si="1256"/>
        <v>-0.2063909271447274</v>
      </c>
      <c r="BI87" s="160">
        <f t="shared" ref="BI87" si="1257">BI86/BI83</f>
        <v>-0.20641895267078483</v>
      </c>
      <c r="BJ87" s="13">
        <f t="shared" ref="BJ87:BK87" si="1258">BJ86/BJ83</f>
        <v>1.4657118499573742</v>
      </c>
      <c r="BK87" s="50">
        <f t="shared" si="1258"/>
        <v>-0.27633292397305065</v>
      </c>
      <c r="BM87" s="160" t="e">
        <f t="shared" ref="BM87" si="1259">BM86/BM83</f>
        <v>#DIV/0!</v>
      </c>
    </row>
    <row r="88" spans="1:66">
      <c r="A88" s="128"/>
      <c r="B88" s="5" t="s">
        <v>132</v>
      </c>
      <c r="C88" s="11">
        <f>C85-C84</f>
        <v>-164</v>
      </c>
      <c r="D88" s="11">
        <f t="shared" ref="D88:BK88" si="1260">D85-D84</f>
        <v>-20</v>
      </c>
      <c r="E88" s="11">
        <f t="shared" si="1260"/>
        <v>0</v>
      </c>
      <c r="F88" s="11">
        <f t="shared" si="1260"/>
        <v>-27</v>
      </c>
      <c r="G88" s="11">
        <f t="shared" si="1260"/>
        <v>-3</v>
      </c>
      <c r="H88" s="11">
        <f t="shared" si="1260"/>
        <v>0</v>
      </c>
      <c r="I88" s="11">
        <f t="shared" si="1260"/>
        <v>0</v>
      </c>
      <c r="J88" s="11">
        <f t="shared" si="1260"/>
        <v>-25</v>
      </c>
      <c r="K88" s="11">
        <f t="shared" si="1260"/>
        <v>1</v>
      </c>
      <c r="L88" s="11">
        <f t="shared" si="1260"/>
        <v>-14</v>
      </c>
      <c r="M88" s="11">
        <f t="shared" si="1260"/>
        <v>4</v>
      </c>
      <c r="N88" s="11">
        <f t="shared" si="1260"/>
        <v>0</v>
      </c>
      <c r="O88" s="11">
        <f t="shared" si="1260"/>
        <v>21</v>
      </c>
      <c r="P88" s="11">
        <f t="shared" si="1260"/>
        <v>-20</v>
      </c>
      <c r="Q88" s="11">
        <f t="shared" si="1260"/>
        <v>0</v>
      </c>
      <c r="R88" s="11">
        <f t="shared" si="1260"/>
        <v>-14</v>
      </c>
      <c r="S88" s="11">
        <f t="shared" si="1260"/>
        <v>0</v>
      </c>
      <c r="T88" s="11">
        <f t="shared" si="1260"/>
        <v>0</v>
      </c>
      <c r="U88" s="11">
        <f t="shared" ref="U88" si="1261">U85-U84</f>
        <v>0</v>
      </c>
      <c r="V88" s="9">
        <f t="shared" si="1260"/>
        <v>0</v>
      </c>
      <c r="W88" s="11">
        <f t="shared" si="1260"/>
        <v>0</v>
      </c>
      <c r="X88" s="11">
        <f t="shared" si="1260"/>
        <v>0</v>
      </c>
      <c r="Y88" s="11">
        <f t="shared" si="1260"/>
        <v>-89</v>
      </c>
      <c r="Z88" s="11">
        <f t="shared" si="1260"/>
        <v>-25</v>
      </c>
      <c r="AA88" s="11">
        <f t="shared" si="1260"/>
        <v>-1</v>
      </c>
      <c r="AB88" s="11">
        <f t="shared" ref="AB88" si="1262">AB85-AB84</f>
        <v>0</v>
      </c>
      <c r="AC88" s="9">
        <f t="shared" ref="AC88:AD88" si="1263">AC85-AC84</f>
        <v>0</v>
      </c>
      <c r="AD88" s="216">
        <f t="shared" si="1263"/>
        <v>-376</v>
      </c>
      <c r="AE88" s="11">
        <f t="shared" si="1260"/>
        <v>0</v>
      </c>
      <c r="AF88" s="11">
        <f t="shared" si="1260"/>
        <v>0</v>
      </c>
      <c r="AG88" s="11">
        <f t="shared" si="1260"/>
        <v>0</v>
      </c>
      <c r="AH88" s="11">
        <f t="shared" si="1260"/>
        <v>0</v>
      </c>
      <c r="AI88" s="11">
        <f t="shared" si="1260"/>
        <v>0</v>
      </c>
      <c r="AJ88" s="11">
        <f t="shared" si="1260"/>
        <v>0</v>
      </c>
      <c r="AK88" s="11">
        <f t="shared" si="1260"/>
        <v>-11775</v>
      </c>
      <c r="AL88" s="11">
        <f t="shared" si="1260"/>
        <v>0</v>
      </c>
      <c r="AM88" s="11">
        <f t="shared" si="1260"/>
        <v>723827</v>
      </c>
      <c r="AN88" s="11">
        <f t="shared" si="1260"/>
        <v>0</v>
      </c>
      <c r="AO88" s="9">
        <f t="shared" si="1260"/>
        <v>0</v>
      </c>
      <c r="AP88" s="11">
        <f t="shared" si="1260"/>
        <v>2422</v>
      </c>
      <c r="AQ88" s="9">
        <f t="shared" si="1260"/>
        <v>0</v>
      </c>
      <c r="AR88" s="11">
        <f t="shared" si="1260"/>
        <v>-14753</v>
      </c>
      <c r="AS88" s="11">
        <f t="shared" si="1260"/>
        <v>0</v>
      </c>
      <c r="AT88" s="11">
        <f t="shared" si="1260"/>
        <v>0</v>
      </c>
      <c r="AU88" s="11">
        <f t="shared" si="1260"/>
        <v>-12700</v>
      </c>
      <c r="AV88" s="11">
        <f t="shared" si="1260"/>
        <v>0</v>
      </c>
      <c r="AW88" s="11">
        <f t="shared" si="1260"/>
        <v>0</v>
      </c>
      <c r="AX88" s="11">
        <f t="shared" si="1260"/>
        <v>0</v>
      </c>
      <c r="AY88" s="11">
        <f t="shared" si="1260"/>
        <v>0</v>
      </c>
      <c r="AZ88" s="11">
        <f t="shared" si="1260"/>
        <v>4114</v>
      </c>
      <c r="BA88" s="11">
        <f t="shared" si="1260"/>
        <v>-85825</v>
      </c>
      <c r="BB88" s="9">
        <f t="shared" si="1260"/>
        <v>0</v>
      </c>
      <c r="BC88" s="11">
        <f t="shared" si="1260"/>
        <v>0</v>
      </c>
      <c r="BD88" s="11">
        <f t="shared" si="1260"/>
        <v>0</v>
      </c>
      <c r="BE88" s="11">
        <f t="shared" si="1260"/>
        <v>0</v>
      </c>
      <c r="BF88" s="11">
        <f t="shared" si="1260"/>
        <v>222</v>
      </c>
      <c r="BG88" s="11">
        <f t="shared" si="1260"/>
        <v>-958</v>
      </c>
      <c r="BH88" s="9">
        <f t="shared" si="1260"/>
        <v>604574</v>
      </c>
      <c r="BI88" s="9">
        <f t="shared" si="1260"/>
        <v>604198</v>
      </c>
      <c r="BJ88" s="11">
        <f t="shared" si="1260"/>
        <v>213357</v>
      </c>
      <c r="BK88" s="49">
        <f t="shared" si="1260"/>
        <v>390841</v>
      </c>
      <c r="BM88" s="30">
        <f t="shared" si="1148"/>
        <v>391217</v>
      </c>
    </row>
    <row r="89" spans="1:66">
      <c r="A89" s="128"/>
      <c r="B89" s="5" t="s">
        <v>133</v>
      </c>
      <c r="C89" s="13">
        <f>C88/C84</f>
        <v>-0.16094210009813542</v>
      </c>
      <c r="D89" s="13">
        <f t="shared" ref="D89" si="1264">D88/D84</f>
        <v>-3.6363636363636362E-2</v>
      </c>
      <c r="E89" s="13" t="e">
        <f t="shared" ref="E89" si="1265">E88/E84</f>
        <v>#DIV/0!</v>
      </c>
      <c r="F89" s="13">
        <f t="shared" ref="F89" si="1266">F88/F84</f>
        <v>-0.2288135593220339</v>
      </c>
      <c r="G89" s="13">
        <f t="shared" ref="G89" si="1267">G88/G84</f>
        <v>-4.5454545454545456E-2</v>
      </c>
      <c r="H89" s="13" t="e">
        <f t="shared" ref="H89" si="1268">H88/H84</f>
        <v>#DIV/0!</v>
      </c>
      <c r="I89" s="13" t="e">
        <f t="shared" ref="I89" si="1269">I88/I84</f>
        <v>#DIV/0!</v>
      </c>
      <c r="J89" s="13">
        <f t="shared" ref="J89" si="1270">J88/J84</f>
        <v>-1</v>
      </c>
      <c r="K89" s="13" t="e">
        <f t="shared" ref="K89" si="1271">K88/K84</f>
        <v>#DIV/0!</v>
      </c>
      <c r="L89" s="13">
        <f t="shared" ref="L89" si="1272">L88/L84</f>
        <v>-0.27450980392156865</v>
      </c>
      <c r="M89" s="13">
        <f t="shared" ref="M89" si="1273">M88/M84</f>
        <v>0.15384615384615385</v>
      </c>
      <c r="N89" s="13" t="e">
        <f t="shared" ref="N89" si="1274">N88/N84</f>
        <v>#DIV/0!</v>
      </c>
      <c r="O89" s="13" t="e">
        <f t="shared" ref="O89" si="1275">O88/O84</f>
        <v>#DIV/0!</v>
      </c>
      <c r="P89" s="13">
        <f t="shared" ref="P89" si="1276">P88/P84</f>
        <v>-0.54054054054054057</v>
      </c>
      <c r="Q89" s="13" t="e">
        <f t="shared" ref="Q89" si="1277">Q88/Q84</f>
        <v>#DIV/0!</v>
      </c>
      <c r="R89" s="13">
        <f t="shared" ref="R89" si="1278">R88/R84</f>
        <v>-1</v>
      </c>
      <c r="S89" s="13" t="e">
        <f t="shared" ref="S89" si="1279">S88/S84</f>
        <v>#DIV/0!</v>
      </c>
      <c r="T89" s="13" t="e">
        <f t="shared" ref="T89:U89" si="1280">T88/T84</f>
        <v>#DIV/0!</v>
      </c>
      <c r="U89" s="13" t="e">
        <f t="shared" si="1280"/>
        <v>#DIV/0!</v>
      </c>
      <c r="V89" s="160" t="e">
        <f t="shared" ref="V89" si="1281">V88/V84</f>
        <v>#DIV/0!</v>
      </c>
      <c r="W89" s="13" t="e">
        <f t="shared" ref="W89" si="1282">W88/W84</f>
        <v>#DIV/0!</v>
      </c>
      <c r="X89" s="13" t="e">
        <f t="shared" ref="X89" si="1283">X88/X84</f>
        <v>#DIV/0!</v>
      </c>
      <c r="Y89" s="13">
        <f t="shared" ref="Y89" si="1284">Y88/Y84</f>
        <v>-1</v>
      </c>
      <c r="Z89" s="13">
        <f t="shared" ref="Z89" si="1285">Z88/Z84</f>
        <v>-1</v>
      </c>
      <c r="AA89" s="13">
        <f t="shared" ref="AA89:AD89" si="1286">AA88/AA84</f>
        <v>-0.25</v>
      </c>
      <c r="AB89" s="13" t="e">
        <f t="shared" ref="AB89" si="1287">AB88/AB84</f>
        <v>#DIV/0!</v>
      </c>
      <c r="AC89" s="160" t="e">
        <f t="shared" si="1286"/>
        <v>#DIV/0!</v>
      </c>
      <c r="AD89" s="217">
        <f t="shared" si="1286"/>
        <v>-0.1857707509881423</v>
      </c>
      <c r="AE89" s="13" t="e">
        <f t="shared" ref="AE89" si="1288">AE88/AE84</f>
        <v>#DIV/0!</v>
      </c>
      <c r="AF89" s="13" t="e">
        <f t="shared" ref="AF89" si="1289">AF88/AF84</f>
        <v>#DIV/0!</v>
      </c>
      <c r="AG89" s="13" t="e">
        <f t="shared" ref="AG89" si="1290">AG88/AG84</f>
        <v>#DIV/0!</v>
      </c>
      <c r="AH89" s="13" t="e">
        <f t="shared" ref="AH89" si="1291">AH88/AH84</f>
        <v>#DIV/0!</v>
      </c>
      <c r="AI89" s="13" t="e">
        <f t="shared" ref="AI89" si="1292">AI88/AI84</f>
        <v>#DIV/0!</v>
      </c>
      <c r="AJ89" s="13" t="e">
        <f t="shared" ref="AJ89" si="1293">AJ88/AJ84</f>
        <v>#DIV/0!</v>
      </c>
      <c r="AK89" s="13">
        <f t="shared" ref="AK89" si="1294">AK88/AK84</f>
        <v>-0.36700536092756514</v>
      </c>
      <c r="AL89" s="13" t="e">
        <f t="shared" ref="AL89" si="1295">AL88/AL84</f>
        <v>#DIV/0!</v>
      </c>
      <c r="AM89" s="13">
        <f t="shared" ref="AM89" si="1296">AM88/AM84</f>
        <v>0.79077132834358266</v>
      </c>
      <c r="AN89" s="13" t="e">
        <f t="shared" ref="AN89" si="1297">AN88/AN84</f>
        <v>#DIV/0!</v>
      </c>
      <c r="AO89" s="160" t="e">
        <f t="shared" ref="AO89" si="1298">AO88/AO84</f>
        <v>#DIV/0!</v>
      </c>
      <c r="AP89" s="13">
        <f t="shared" ref="AP89" si="1299">AP88/AP84</f>
        <v>9.4980392156862745</v>
      </c>
      <c r="AQ89" s="160" t="e">
        <f t="shared" ref="AQ89" si="1300">AQ88/AQ84</f>
        <v>#DIV/0!</v>
      </c>
      <c r="AR89" s="13">
        <f t="shared" ref="AR89" si="1301">AR88/AR84</f>
        <v>-0.77512741028739562</v>
      </c>
      <c r="AS89" s="13" t="e">
        <f t="shared" ref="AS89" si="1302">AS88/AS84</f>
        <v>#DIV/0!</v>
      </c>
      <c r="AT89" s="13" t="e">
        <f t="shared" ref="AT89" si="1303">AT88/AT84</f>
        <v>#DIV/0!</v>
      </c>
      <c r="AU89" s="13">
        <f t="shared" ref="AU89" si="1304">AU88/AU84</f>
        <v>-0.79673776662484319</v>
      </c>
      <c r="AV89" s="13" t="e">
        <f t="shared" ref="AV89" si="1305">AV88/AV84</f>
        <v>#DIV/0!</v>
      </c>
      <c r="AW89" s="13" t="e">
        <f t="shared" ref="AW89" si="1306">AW88/AW84</f>
        <v>#DIV/0!</v>
      </c>
      <c r="AX89" s="13" t="e">
        <f t="shared" ref="AX89" si="1307">AX88/AX84</f>
        <v>#DIV/0!</v>
      </c>
      <c r="AY89" s="13" t="e">
        <f t="shared" ref="AY89" si="1308">AY88/AY84</f>
        <v>#DIV/0!</v>
      </c>
      <c r="AZ89" s="13">
        <f t="shared" ref="AZ89" si="1309">AZ88/AZ84</f>
        <v>4.0254403131115462</v>
      </c>
      <c r="BA89" s="13">
        <f t="shared" ref="BA89" si="1310">BA88/BA84</f>
        <v>-0.57851490354152901</v>
      </c>
      <c r="BB89" s="160" t="e">
        <f t="shared" ref="BB89" si="1311">BB88/BB84</f>
        <v>#DIV/0!</v>
      </c>
      <c r="BC89" s="13" t="e">
        <f t="shared" ref="BC89" si="1312">BC88/BC84</f>
        <v>#DIV/0!</v>
      </c>
      <c r="BD89" s="13" t="e">
        <f t="shared" ref="BD89" si="1313">BD88/BD84</f>
        <v>#DIV/0!</v>
      </c>
      <c r="BE89" s="13" t="e">
        <f t="shared" ref="BE89" si="1314">BE88/BE84</f>
        <v>#DIV/0!</v>
      </c>
      <c r="BF89" s="13">
        <f t="shared" ref="BF89" si="1315">BF88/BF84</f>
        <v>5.1627906976744189</v>
      </c>
      <c r="BG89" s="13">
        <f t="shared" ref="BG89:BH89" si="1316">BG88/BG84</f>
        <v>-0.74263565891472871</v>
      </c>
      <c r="BH89" s="160">
        <f t="shared" si="1316"/>
        <v>0.53343321298364865</v>
      </c>
      <c r="BI89" s="160">
        <f t="shared" ref="BI89" si="1317">BI88/BI84</f>
        <v>0.53215112366873707</v>
      </c>
      <c r="BJ89" s="13">
        <f t="shared" ref="BJ89:BK89" si="1318">BJ88/BJ84</f>
        <v>59.864478114478118</v>
      </c>
      <c r="BK89" s="50">
        <f t="shared" si="1318"/>
        <v>0.34531959032499754</v>
      </c>
      <c r="BM89" s="14">
        <f t="shared" ref="BM89" si="1319">BM88/BM84</f>
        <v>0.34627102141972033</v>
      </c>
    </row>
    <row r="90" spans="1:66">
      <c r="A90" s="128"/>
      <c r="B90" s="5" t="s">
        <v>431</v>
      </c>
      <c r="C90" s="126">
        <f>C85/C82</f>
        <v>0.1461038961038961</v>
      </c>
      <c r="D90" s="126">
        <f t="shared" ref="D90:BK90" si="1320">D85/D82</f>
        <v>0.15366772977674689</v>
      </c>
      <c r="E90" s="126" t="e">
        <f t="shared" si="1320"/>
        <v>#DIV/0!</v>
      </c>
      <c r="F90" s="126">
        <f t="shared" si="1320"/>
        <v>0.11193111931119311</v>
      </c>
      <c r="G90" s="126">
        <f t="shared" si="1320"/>
        <v>0.16112531969309463</v>
      </c>
      <c r="H90" s="126" t="e">
        <f t="shared" si="1320"/>
        <v>#DIV/0!</v>
      </c>
      <c r="I90" s="126" t="e">
        <f t="shared" si="1320"/>
        <v>#DIV/0!</v>
      </c>
      <c r="J90" s="126">
        <f t="shared" si="1320"/>
        <v>0</v>
      </c>
      <c r="K90" s="126">
        <f t="shared" si="1320"/>
        <v>9.0909090909090912E-2</v>
      </c>
      <c r="L90" s="126">
        <f t="shared" si="1320"/>
        <v>0.26056338028169013</v>
      </c>
      <c r="M90" s="126">
        <f t="shared" si="1320"/>
        <v>0.29702970297029702</v>
      </c>
      <c r="N90" s="126">
        <f t="shared" si="1320"/>
        <v>0</v>
      </c>
      <c r="O90" s="126">
        <f t="shared" si="1320"/>
        <v>0.72413793103448276</v>
      </c>
      <c r="P90" s="126">
        <f t="shared" si="1320"/>
        <v>0.2073170731707317</v>
      </c>
      <c r="Q90" s="126" t="e">
        <f t="shared" si="1320"/>
        <v>#DIV/0!</v>
      </c>
      <c r="R90" s="126">
        <f t="shared" si="1320"/>
        <v>0</v>
      </c>
      <c r="S90" s="126" t="e">
        <f t="shared" si="1320"/>
        <v>#DIV/0!</v>
      </c>
      <c r="T90" s="126" t="e">
        <f t="shared" si="1320"/>
        <v>#DIV/0!</v>
      </c>
      <c r="U90" s="126" t="e">
        <f t="shared" si="1320"/>
        <v>#DIV/0!</v>
      </c>
      <c r="V90" s="175" t="e">
        <f t="shared" si="1320"/>
        <v>#DIV/0!</v>
      </c>
      <c r="W90" s="126" t="e">
        <f t="shared" si="1320"/>
        <v>#DIV/0!</v>
      </c>
      <c r="X90" s="126" t="e">
        <f t="shared" si="1320"/>
        <v>#DIV/0!</v>
      </c>
      <c r="Y90" s="126">
        <f t="shared" si="1320"/>
        <v>0</v>
      </c>
      <c r="Z90" s="126">
        <f t="shared" si="1320"/>
        <v>0</v>
      </c>
      <c r="AA90" s="126">
        <f t="shared" si="1320"/>
        <v>0.6</v>
      </c>
      <c r="AB90" s="126" t="e">
        <f t="shared" ref="AB90" si="1321">AB85/AB82</f>
        <v>#DIV/0!</v>
      </c>
      <c r="AC90" s="175" t="e">
        <f t="shared" si="1320"/>
        <v>#DIV/0!</v>
      </c>
      <c r="AD90" s="218">
        <f t="shared" si="1320"/>
        <v>0.14539038376709307</v>
      </c>
      <c r="AE90" s="126" t="e">
        <f t="shared" si="1320"/>
        <v>#DIV/0!</v>
      </c>
      <c r="AF90" s="126" t="e">
        <f t="shared" si="1320"/>
        <v>#DIV/0!</v>
      </c>
      <c r="AG90" s="126" t="e">
        <f t="shared" si="1320"/>
        <v>#DIV/0!</v>
      </c>
      <c r="AH90" s="126" t="e">
        <f t="shared" si="1320"/>
        <v>#DIV/0!</v>
      </c>
      <c r="AI90" s="126" t="e">
        <f t="shared" si="1320"/>
        <v>#DIV/0!</v>
      </c>
      <c r="AJ90" s="126" t="e">
        <f t="shared" si="1320"/>
        <v>#DIV/0!</v>
      </c>
      <c r="AK90" s="126">
        <f t="shared" si="1320"/>
        <v>0.30077604336364444</v>
      </c>
      <c r="AL90" s="126">
        <f t="shared" si="1320"/>
        <v>0</v>
      </c>
      <c r="AM90" s="126">
        <f t="shared" si="1320"/>
        <v>0.19462378754178367</v>
      </c>
      <c r="AN90" s="126" t="e">
        <f t="shared" si="1320"/>
        <v>#DIV/0!</v>
      </c>
      <c r="AO90" s="175" t="e">
        <f t="shared" si="1320"/>
        <v>#DIV/0!</v>
      </c>
      <c r="AP90" s="126">
        <f t="shared" si="1320"/>
        <v>3.7007340641718622E-2</v>
      </c>
      <c r="AQ90" s="175" t="e">
        <f t="shared" si="1320"/>
        <v>#DIV/0!</v>
      </c>
      <c r="AR90" s="126">
        <f t="shared" si="1320"/>
        <v>8.0610226951690372E-2</v>
      </c>
      <c r="AS90" s="126" t="e">
        <f t="shared" si="1320"/>
        <v>#DIV/0!</v>
      </c>
      <c r="AT90" s="126" t="e">
        <f t="shared" si="1320"/>
        <v>#DIV/0!</v>
      </c>
      <c r="AU90" s="126">
        <f t="shared" si="1320"/>
        <v>8.9167767503302506E-2</v>
      </c>
      <c r="AV90" s="126" t="e">
        <f t="shared" si="1320"/>
        <v>#DIV/0!</v>
      </c>
      <c r="AW90" s="126" t="e">
        <f t="shared" si="1320"/>
        <v>#DIV/0!</v>
      </c>
      <c r="AX90" s="126" t="e">
        <f t="shared" si="1320"/>
        <v>#DIV/0!</v>
      </c>
      <c r="AY90" s="126" t="e">
        <f t="shared" si="1320"/>
        <v>#DIV/0!</v>
      </c>
      <c r="AZ90" s="126">
        <f t="shared" si="1320"/>
        <v>6.7288544177759146E-2</v>
      </c>
      <c r="BA90" s="126">
        <f t="shared" si="1320"/>
        <v>0.16403157389408737</v>
      </c>
      <c r="BB90" s="175" t="e">
        <f t="shared" si="1320"/>
        <v>#DIV/0!</v>
      </c>
      <c r="BC90" s="126" t="e">
        <f t="shared" si="1320"/>
        <v>#DIV/0!</v>
      </c>
      <c r="BD90" s="126" t="e">
        <f t="shared" si="1320"/>
        <v>#DIV/0!</v>
      </c>
      <c r="BE90" s="126" t="e">
        <f t="shared" si="1320"/>
        <v>#DIV/0!</v>
      </c>
      <c r="BF90" s="126">
        <f t="shared" si="1320"/>
        <v>3.9276715577293612E-2</v>
      </c>
      <c r="BG90" s="126">
        <f t="shared" si="1320"/>
        <v>3.7577815506508204E-2</v>
      </c>
      <c r="BH90" s="175">
        <f t="shared" si="1320"/>
        <v>0.19046616009043629</v>
      </c>
      <c r="BI90" s="175">
        <f t="shared" si="1320"/>
        <v>0.19041023468720961</v>
      </c>
      <c r="BJ90" s="126">
        <f t="shared" si="1320"/>
        <v>0.59177003680131379</v>
      </c>
      <c r="BK90" s="126">
        <f t="shared" si="1320"/>
        <v>0.17363335141509245</v>
      </c>
      <c r="BM90" s="126" t="e">
        <f t="shared" ref="BM90" si="1322">BM85/BM82</f>
        <v>#DIV/0!</v>
      </c>
    </row>
    <row r="91" spans="1:66" s="178" customFormat="1">
      <c r="A91" s="128"/>
      <c r="B91" s="5" t="s">
        <v>432</v>
      </c>
      <c r="C91" s="11">
        <f>C82-C85</f>
        <v>4997</v>
      </c>
      <c r="D91" s="11">
        <f t="shared" ref="D91:BK91" si="1323">D82-D85</f>
        <v>2919</v>
      </c>
      <c r="E91" s="11">
        <f t="shared" si="1323"/>
        <v>0</v>
      </c>
      <c r="F91" s="11">
        <f t="shared" si="1323"/>
        <v>722</v>
      </c>
      <c r="G91" s="11">
        <f t="shared" si="1323"/>
        <v>328</v>
      </c>
      <c r="H91" s="11">
        <f t="shared" si="1323"/>
        <v>0</v>
      </c>
      <c r="I91" s="11">
        <f t="shared" si="1323"/>
        <v>0</v>
      </c>
      <c r="J91" s="11">
        <f t="shared" si="1323"/>
        <v>279</v>
      </c>
      <c r="K91" s="11">
        <f t="shared" si="1323"/>
        <v>10</v>
      </c>
      <c r="L91" s="11">
        <f t="shared" si="1323"/>
        <v>105</v>
      </c>
      <c r="M91" s="11">
        <f t="shared" si="1323"/>
        <v>71</v>
      </c>
      <c r="N91" s="11">
        <f t="shared" si="1323"/>
        <v>31</v>
      </c>
      <c r="O91" s="11">
        <f t="shared" si="1323"/>
        <v>8</v>
      </c>
      <c r="P91" s="11">
        <f t="shared" si="1323"/>
        <v>65</v>
      </c>
      <c r="Q91" s="11">
        <f t="shared" si="1323"/>
        <v>0</v>
      </c>
      <c r="R91" s="11">
        <f t="shared" si="1323"/>
        <v>17</v>
      </c>
      <c r="S91" s="11">
        <f t="shared" si="1323"/>
        <v>0</v>
      </c>
      <c r="T91" s="11">
        <f t="shared" si="1323"/>
        <v>0</v>
      </c>
      <c r="U91" s="11">
        <f t="shared" si="1323"/>
        <v>0</v>
      </c>
      <c r="V91" s="11">
        <f t="shared" si="1323"/>
        <v>0</v>
      </c>
      <c r="W91" s="11">
        <f t="shared" si="1323"/>
        <v>0</v>
      </c>
      <c r="X91" s="11">
        <f t="shared" si="1323"/>
        <v>0</v>
      </c>
      <c r="Y91" s="11">
        <f t="shared" si="1323"/>
        <v>104</v>
      </c>
      <c r="Z91" s="11">
        <f t="shared" si="1323"/>
        <v>29</v>
      </c>
      <c r="AA91" s="11">
        <f t="shared" si="1323"/>
        <v>2</v>
      </c>
      <c r="AB91" s="11">
        <f t="shared" si="1323"/>
        <v>0</v>
      </c>
      <c r="AC91" s="11">
        <f t="shared" si="1323"/>
        <v>0</v>
      </c>
      <c r="AD91" s="11">
        <f t="shared" si="1323"/>
        <v>9687</v>
      </c>
      <c r="AE91" s="11">
        <f t="shared" si="1323"/>
        <v>0</v>
      </c>
      <c r="AF91" s="11">
        <f t="shared" si="1323"/>
        <v>0</v>
      </c>
      <c r="AG91" s="11">
        <f t="shared" si="1323"/>
        <v>0</v>
      </c>
      <c r="AH91" s="11">
        <f t="shared" si="1323"/>
        <v>0</v>
      </c>
      <c r="AI91" s="11">
        <f t="shared" si="1323"/>
        <v>0</v>
      </c>
      <c r="AJ91" s="11">
        <f t="shared" si="1323"/>
        <v>0</v>
      </c>
      <c r="AK91" s="11">
        <f t="shared" si="1323"/>
        <v>47213</v>
      </c>
      <c r="AL91" s="11">
        <f t="shared" si="1323"/>
        <v>5</v>
      </c>
      <c r="AM91" s="11">
        <f t="shared" si="1323"/>
        <v>6783079</v>
      </c>
      <c r="AN91" s="11">
        <f t="shared" si="1323"/>
        <v>0</v>
      </c>
      <c r="AO91" s="11">
        <f t="shared" si="1323"/>
        <v>0</v>
      </c>
      <c r="AP91" s="11">
        <f t="shared" si="1323"/>
        <v>69660</v>
      </c>
      <c r="AQ91" s="11">
        <f t="shared" si="1323"/>
        <v>0</v>
      </c>
      <c r="AR91" s="11">
        <f t="shared" si="1323"/>
        <v>48815</v>
      </c>
      <c r="AS91" s="11">
        <f t="shared" si="1323"/>
        <v>0</v>
      </c>
      <c r="AT91" s="11">
        <f t="shared" si="1323"/>
        <v>0</v>
      </c>
      <c r="AU91" s="11">
        <f t="shared" si="1323"/>
        <v>33096</v>
      </c>
      <c r="AV91" s="11">
        <f t="shared" si="1323"/>
        <v>0</v>
      </c>
      <c r="AW91" s="11">
        <f t="shared" si="1323"/>
        <v>0</v>
      </c>
      <c r="AX91" s="11">
        <f t="shared" si="1323"/>
        <v>0</v>
      </c>
      <c r="AY91" s="11">
        <f t="shared" si="1323"/>
        <v>0</v>
      </c>
      <c r="AZ91" s="11">
        <f t="shared" si="1323"/>
        <v>71192</v>
      </c>
      <c r="BA91" s="11">
        <f t="shared" si="1323"/>
        <v>318672</v>
      </c>
      <c r="BB91" s="11">
        <f t="shared" si="1323"/>
        <v>0</v>
      </c>
      <c r="BC91" s="11">
        <f t="shared" si="1323"/>
        <v>0</v>
      </c>
      <c r="BD91" s="11">
        <f t="shared" si="1323"/>
        <v>0</v>
      </c>
      <c r="BE91" s="11">
        <f t="shared" si="1323"/>
        <v>0</v>
      </c>
      <c r="BF91" s="11">
        <f>BF82-BF85</f>
        <v>6482</v>
      </c>
      <c r="BG91" s="11">
        <f t="shared" si="1323"/>
        <v>8503</v>
      </c>
      <c r="BH91" s="11">
        <f t="shared" si="1323"/>
        <v>7386717</v>
      </c>
      <c r="BI91" s="11">
        <f t="shared" si="1323"/>
        <v>7396404</v>
      </c>
      <c r="BJ91" s="11">
        <f t="shared" si="1323"/>
        <v>149642</v>
      </c>
      <c r="BK91" s="11">
        <f t="shared" si="1323"/>
        <v>7246762</v>
      </c>
      <c r="BL91" s="11">
        <f t="shared" ref="BL91:BM91" si="1324">BL85-BL82</f>
        <v>1522665</v>
      </c>
      <c r="BM91" s="11">
        <f t="shared" si="1324"/>
        <v>1521017</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9"/>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9"/>
      <c r="BJ92" s="5"/>
      <c r="BK92" s="48"/>
    </row>
    <row r="93" spans="1:66" s="265" customFormat="1">
      <c r="A93" s="15" t="s">
        <v>140</v>
      </c>
      <c r="B93" s="11" t="s">
        <v>430</v>
      </c>
      <c r="C93" s="266">
        <v>371235</v>
      </c>
      <c r="D93" s="120">
        <v>215239</v>
      </c>
      <c r="E93" s="120">
        <v>0</v>
      </c>
      <c r="F93" s="120">
        <v>43697</v>
      </c>
      <c r="G93" s="120">
        <v>28996</v>
      </c>
      <c r="H93" s="120">
        <v>0</v>
      </c>
      <c r="I93" s="120">
        <v>0</v>
      </c>
      <c r="J93" s="120">
        <v>0</v>
      </c>
      <c r="K93" s="120">
        <v>803</v>
      </c>
      <c r="L93" s="120">
        <v>1313</v>
      </c>
      <c r="M93" s="120">
        <v>36300</v>
      </c>
      <c r="N93" s="120">
        <v>6782</v>
      </c>
      <c r="O93" s="120">
        <v>999</v>
      </c>
      <c r="P93" s="120">
        <v>6163</v>
      </c>
      <c r="Q93" s="120">
        <v>0</v>
      </c>
      <c r="R93" s="120">
        <v>1930</v>
      </c>
      <c r="S93" s="120">
        <v>989948</v>
      </c>
      <c r="T93" s="120">
        <v>839276</v>
      </c>
      <c r="U93" s="120">
        <v>0</v>
      </c>
      <c r="V93" s="267">
        <v>0</v>
      </c>
      <c r="W93" s="120">
        <v>0</v>
      </c>
      <c r="X93" s="120">
        <v>0</v>
      </c>
      <c r="Y93" s="120">
        <v>327</v>
      </c>
      <c r="Z93" s="120">
        <v>86</v>
      </c>
      <c r="AA93" s="120">
        <v>114</v>
      </c>
      <c r="AB93" s="120">
        <v>687</v>
      </c>
      <c r="AC93" s="267">
        <v>0</v>
      </c>
      <c r="AD93" s="121">
        <f t="shared" ref="AD93" si="1325">SUM(C93:AC93)</f>
        <v>2543895</v>
      </c>
      <c r="AE93" s="120">
        <v>277</v>
      </c>
      <c r="AF93" s="120">
        <v>74</v>
      </c>
      <c r="AG93" s="267">
        <v>866</v>
      </c>
      <c r="AH93" s="120">
        <v>0</v>
      </c>
      <c r="AI93" s="120">
        <v>0</v>
      </c>
      <c r="AJ93" s="120">
        <v>16</v>
      </c>
      <c r="AK93" s="120">
        <v>1482</v>
      </c>
      <c r="AL93" s="120">
        <v>178508</v>
      </c>
      <c r="AM93" s="120">
        <v>40469</v>
      </c>
      <c r="AN93" s="120">
        <v>0</v>
      </c>
      <c r="AO93" s="267">
        <v>205012</v>
      </c>
      <c r="AP93" s="120">
        <v>0</v>
      </c>
      <c r="AQ93" s="267">
        <v>0</v>
      </c>
      <c r="AR93" s="120">
        <v>0</v>
      </c>
      <c r="AS93" s="120">
        <v>0</v>
      </c>
      <c r="AT93" s="120">
        <v>0</v>
      </c>
      <c r="AU93" s="120">
        <v>0</v>
      </c>
      <c r="AV93" s="120">
        <v>0</v>
      </c>
      <c r="AW93" s="120">
        <v>43</v>
      </c>
      <c r="AX93" s="120">
        <v>237</v>
      </c>
      <c r="AY93" s="120">
        <v>372</v>
      </c>
      <c r="AZ93" s="120">
        <v>0</v>
      </c>
      <c r="BA93" s="120">
        <v>0</v>
      </c>
      <c r="BB93" s="267">
        <v>0</v>
      </c>
      <c r="BC93" s="120">
        <v>18981</v>
      </c>
      <c r="BD93" s="120">
        <v>19387</v>
      </c>
      <c r="BE93" s="120">
        <v>26</v>
      </c>
      <c r="BF93" s="120">
        <v>6360</v>
      </c>
      <c r="BG93" s="120">
        <v>-11564</v>
      </c>
      <c r="BH93" s="120">
        <f t="shared" ref="BH93" si="1326">SUM(AE93:BG93)</f>
        <v>460546</v>
      </c>
      <c r="BI93" s="125">
        <f t="shared" ref="BI93" si="1327">AD93+BH93</f>
        <v>3004441</v>
      </c>
      <c r="BJ93" s="268">
        <v>15</v>
      </c>
      <c r="BK93" s="124">
        <f t="shared" ref="BK93" si="1328">BI93-BJ93</f>
        <v>3004426</v>
      </c>
    </row>
    <row r="94" spans="1:66" s="41" customFormat="1">
      <c r="A94" s="134" t="s">
        <v>140</v>
      </c>
      <c r="B94" s="210" t="s">
        <v>424</v>
      </c>
      <c r="C94" s="266">
        <v>70535</v>
      </c>
      <c r="D94" s="120">
        <v>40895</v>
      </c>
      <c r="E94" s="120">
        <v>0</v>
      </c>
      <c r="F94" s="120">
        <v>8302</v>
      </c>
      <c r="G94" s="120">
        <v>5509</v>
      </c>
      <c r="H94" s="120">
        <v>0</v>
      </c>
      <c r="I94" s="120">
        <v>0</v>
      </c>
      <c r="J94" s="120">
        <v>0</v>
      </c>
      <c r="K94" s="120">
        <v>153</v>
      </c>
      <c r="L94" s="120">
        <v>249</v>
      </c>
      <c r="M94" s="120">
        <v>6897</v>
      </c>
      <c r="N94" s="120">
        <v>1289</v>
      </c>
      <c r="O94" s="120">
        <v>190</v>
      </c>
      <c r="P94" s="120">
        <v>1171</v>
      </c>
      <c r="Q94" s="120">
        <v>0</v>
      </c>
      <c r="R94" s="120">
        <v>367</v>
      </c>
      <c r="S94" s="120">
        <v>494974</v>
      </c>
      <c r="T94" s="120">
        <v>159462</v>
      </c>
      <c r="U94" s="120">
        <v>0</v>
      </c>
      <c r="V94" s="267">
        <v>0</v>
      </c>
      <c r="W94" s="120">
        <v>0</v>
      </c>
      <c r="X94" s="120">
        <v>0</v>
      </c>
      <c r="Y94" s="120">
        <v>62</v>
      </c>
      <c r="Z94" s="120">
        <v>16</v>
      </c>
      <c r="AA94" s="120">
        <v>22</v>
      </c>
      <c r="AB94" s="120">
        <v>131</v>
      </c>
      <c r="AC94" s="267">
        <v>0</v>
      </c>
      <c r="AD94" s="121">
        <f t="shared" ref="AD94" si="1329">SUM(C94:AC94)</f>
        <v>790224</v>
      </c>
      <c r="AE94" s="120">
        <v>66</v>
      </c>
      <c r="AF94" s="120">
        <v>18</v>
      </c>
      <c r="AG94" s="267">
        <v>208</v>
      </c>
      <c r="AH94" s="120">
        <v>0</v>
      </c>
      <c r="AI94" s="120">
        <v>0</v>
      </c>
      <c r="AJ94" s="120">
        <v>4</v>
      </c>
      <c r="AK94" s="120">
        <v>356</v>
      </c>
      <c r="AL94" s="120">
        <v>42842</v>
      </c>
      <c r="AM94" s="120">
        <v>9713</v>
      </c>
      <c r="AN94" s="120">
        <v>0</v>
      </c>
      <c r="AO94" s="267">
        <v>49203</v>
      </c>
      <c r="AP94" s="120">
        <v>0</v>
      </c>
      <c r="AQ94" s="267">
        <v>0</v>
      </c>
      <c r="AR94" s="120">
        <v>0</v>
      </c>
      <c r="AS94" s="120">
        <v>0</v>
      </c>
      <c r="AT94" s="120">
        <v>0</v>
      </c>
      <c r="AU94" s="120">
        <v>0</v>
      </c>
      <c r="AV94" s="120">
        <v>0</v>
      </c>
      <c r="AW94" s="120">
        <v>0</v>
      </c>
      <c r="AX94" s="120">
        <v>57</v>
      </c>
      <c r="AY94" s="120">
        <v>0</v>
      </c>
      <c r="AZ94" s="120">
        <v>0</v>
      </c>
      <c r="BA94" s="120">
        <v>0</v>
      </c>
      <c r="BB94" s="267">
        <v>0</v>
      </c>
      <c r="BC94" s="120">
        <v>4555</v>
      </c>
      <c r="BD94" s="120">
        <v>4653</v>
      </c>
      <c r="BE94" s="120">
        <v>6</v>
      </c>
      <c r="BF94" s="120">
        <v>1526</v>
      </c>
      <c r="BG94" s="120">
        <v>-2775</v>
      </c>
      <c r="BH94" s="120">
        <f t="shared" ref="BH94" si="1330">SUM(AE94:BG94)</f>
        <v>110432</v>
      </c>
      <c r="BI94" s="125">
        <f t="shared" ref="BI94" si="1331">AD94+BH94</f>
        <v>900656</v>
      </c>
      <c r="BJ94" s="268">
        <v>3</v>
      </c>
      <c r="BK94" s="124">
        <f t="shared" ref="BK94" si="1332">BI94-BJ94</f>
        <v>900653</v>
      </c>
      <c r="BM94" s="211"/>
    </row>
    <row r="95" spans="1:66">
      <c r="A95" s="128"/>
      <c r="B95" s="12" t="s">
        <v>425</v>
      </c>
      <c r="C95" s="9">
        <f>IF('Upto Month COPPY'!$J$4="",0,'Upto Month COPPY'!$J$4)</f>
        <v>69956</v>
      </c>
      <c r="D95" s="9">
        <f>IF('Upto Month COPPY'!$J$5="",0,'Upto Month COPPY'!$J$5)</f>
        <v>36498</v>
      </c>
      <c r="E95" s="9">
        <f>IF('Upto Month COPPY'!$J$6="",0,'Upto Month COPPY'!$J$6)</f>
        <v>36</v>
      </c>
      <c r="F95" s="9">
        <f>IF('Upto Month COPPY'!$J$7="",0,'Upto Month COPPY'!$J$7)</f>
        <v>6794</v>
      </c>
      <c r="G95" s="9">
        <f>IF('Upto Month COPPY'!$J$8="",0,'Upto Month COPPY'!$J$8)</f>
        <v>5148</v>
      </c>
      <c r="H95" s="9">
        <f>IF('Upto Month COPPY'!$J$9="",0,'Upto Month COPPY'!$J$9)</f>
        <v>0</v>
      </c>
      <c r="I95" s="9">
        <f>IF('Upto Month COPPY'!$J$10="",0,'Upto Month COPPY'!$J$10)</f>
        <v>0</v>
      </c>
      <c r="J95" s="9">
        <f>IF('Upto Month COPPY'!$J$11="",0,'Upto Month COPPY'!$J$11)</f>
        <v>11</v>
      </c>
      <c r="K95" s="9">
        <f>IF('Upto Month COPPY'!$J$12="",0,'Upto Month COPPY'!$J$12)</f>
        <v>0</v>
      </c>
      <c r="L95" s="9">
        <f>IF('Upto Month COPPY'!$J$13="",0,'Upto Month COPPY'!$J$13)</f>
        <v>391</v>
      </c>
      <c r="M95" s="9">
        <f>IF('Upto Month COPPY'!$J$14="",0,'Upto Month COPPY'!$J$14)</f>
        <v>6046</v>
      </c>
      <c r="N95" s="9">
        <f>IF('Upto Month COPPY'!$J$15="",0,'Upto Month COPPY'!$J$15)</f>
        <v>1115</v>
      </c>
      <c r="O95" s="9">
        <f>IF('Upto Month COPPY'!$J$16="",0,'Upto Month COPPY'!$J$16)</f>
        <v>299</v>
      </c>
      <c r="P95" s="9">
        <f>IF('Upto Month COPPY'!$J$17="",0,'Upto Month COPPY'!$J$17)</f>
        <v>1883</v>
      </c>
      <c r="Q95" s="9">
        <f>IF('Upto Month COPPY'!$J$18="",0,'Upto Month COPPY'!$J$18)</f>
        <v>0</v>
      </c>
      <c r="R95" s="9">
        <f>IF('Upto Month COPPY'!$J$21="",0,'Upto Month COPPY'!$J$21)</f>
        <v>432</v>
      </c>
      <c r="S95" s="9">
        <f>IF('Upto Month COPPY'!$J$26="",0,'Upto Month COPPY'!$J$26)</f>
        <v>233330</v>
      </c>
      <c r="T95" s="9">
        <f>IF('Upto Month COPPY'!$J$27="",0,'Upto Month COPPY'!$J$27)</f>
        <v>298491</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221">
        <f t="shared" ref="AD95:AD96" si="1333">SUM(C95:AC95)</f>
        <v>660430</v>
      </c>
      <c r="AE95" s="9">
        <f>IF('Upto Month COPPY'!$J$19="",0,'Upto Month COPPY'!$J$19)</f>
        <v>36</v>
      </c>
      <c r="AF95" s="9">
        <f>IF('Upto Month COPPY'!$J$20="",0,'Upto Month COPPY'!$J$20)</f>
        <v>19</v>
      </c>
      <c r="AG95" s="9">
        <f>IF('Upto Month COPPY'!$J$22="",0,'Upto Month COPPY'!$J$22)</f>
        <v>624</v>
      </c>
      <c r="AH95" s="9">
        <f>IF('Upto Month COPPY'!$J$23="",0,'Upto Month COPPY'!$J$23)</f>
        <v>0</v>
      </c>
      <c r="AI95" s="9">
        <f>IF('Upto Month COPPY'!$J$24="",0,'Upto Month COPPY'!$J$24)</f>
        <v>0</v>
      </c>
      <c r="AJ95" s="9">
        <f>IF('Upto Month COPPY'!$J$25="",0,'Upto Month COPPY'!$J$25)</f>
        <v>15</v>
      </c>
      <c r="AK95" s="9">
        <f>IF('Upto Month COPPY'!$J$28="",0,'Upto Month COPPY'!$J$28)</f>
        <v>434</v>
      </c>
      <c r="AL95" s="9">
        <f>IF('Upto Month COPPY'!$J$29="",0,'Upto Month COPPY'!$J$29)</f>
        <v>41886</v>
      </c>
      <c r="AM95" s="9">
        <f>IF('Upto Month COPPY'!$J$31="",0,'Upto Month COPPY'!$J$31)</f>
        <v>-8668</v>
      </c>
      <c r="AN95" s="9">
        <f>IF('Upto Month COPPY'!$J$32="",0,'Upto Month COPPY'!$J$32)</f>
        <v>0</v>
      </c>
      <c r="AO95" s="9">
        <f>IF('Upto Month COPPY'!$J$33="",0,'Upto Month COPPY'!$J$33)</f>
        <v>58651</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63</v>
      </c>
      <c r="AX95" s="9">
        <f>IF('Upto Month COPPY'!$J$46="",0,'Upto Month COPPY'!$J$46)</f>
        <v>22</v>
      </c>
      <c r="AY95" s="9">
        <f>IF('Upto Month COPPY'!$J$47="",0,'Upto Month COPPY'!$J$47)</f>
        <v>89</v>
      </c>
      <c r="AZ95" s="9">
        <f>IF('Upto Month COPPY'!$J$49="",0,'Upto Month COPPY'!$J$49)</f>
        <v>0</v>
      </c>
      <c r="BA95" s="9">
        <f>IF('Upto Month COPPY'!$J$50="",0,'Upto Month COPPY'!$J$50)</f>
        <v>0</v>
      </c>
      <c r="BB95" s="9">
        <f>IF('Upto Month COPPY'!$J$52="",0,'Upto Month COPPY'!$J$52)</f>
        <v>0</v>
      </c>
      <c r="BC95" s="9">
        <f>IF('Upto Month COPPY'!$J$53="",0,'Upto Month COPPY'!$J$53)</f>
        <v>6000</v>
      </c>
      <c r="BD95" s="9">
        <f>IF('Upto Month COPPY'!$J$54="",0,'Upto Month COPPY'!$J$54)</f>
        <v>6000</v>
      </c>
      <c r="BE95" s="9">
        <f>IF('Upto Month COPPY'!$J$55="",0,'Upto Month COPPY'!$J$55)</f>
        <v>0</v>
      </c>
      <c r="BF95" s="9">
        <f>IF('Upto Month COPPY'!$J$56="",0,'Upto Month COPPY'!$J$56)</f>
        <v>1345</v>
      </c>
      <c r="BG95" s="9">
        <f>IF('Upto Month COPPY'!$J$58="",0,'Upto Month COPPY'!$J$58)</f>
        <v>-3723</v>
      </c>
      <c r="BH95" s="9">
        <f>SUM(AE95:BG95)</f>
        <v>102793</v>
      </c>
      <c r="BI95" s="274">
        <f>AD95+BH95</f>
        <v>763223</v>
      </c>
      <c r="BJ95" s="9">
        <f>IF('Upto Month COPPY'!$J$60="",0,'Upto Month COPPY'!$J$60)</f>
        <v>0</v>
      </c>
      <c r="BK95" s="49">
        <f t="shared" ref="BK95:BK96" si="1334">BI95-BJ95</f>
        <v>763223</v>
      </c>
      <c r="BL95">
        <f>'Upto Month COPPY'!$J$61</f>
        <v>763224</v>
      </c>
      <c r="BM95" s="30">
        <f t="shared" ref="BM95:BM99" si="1335">BK95-AD95</f>
        <v>102793</v>
      </c>
    </row>
    <row r="96" spans="1:66">
      <c r="A96" s="128"/>
      <c r="B96" s="180" t="s">
        <v>426</v>
      </c>
      <c r="C96" s="9">
        <f>IF('Upto Month Current'!$J$4="",0,'Upto Month Current'!$J$4)</f>
        <v>65318</v>
      </c>
      <c r="D96" s="9">
        <f>IF('Upto Month Current'!$J$5="",0,'Upto Month Current'!$J$5)</f>
        <v>39986</v>
      </c>
      <c r="E96" s="9">
        <f>IF('Upto Month Current'!$J$6="",0,'Upto Month Current'!$J$6)</f>
        <v>0</v>
      </c>
      <c r="F96" s="9">
        <f>IF('Upto Month Current'!$J$7="",0,'Upto Month Current'!$J$7)</f>
        <v>6812</v>
      </c>
      <c r="G96" s="9">
        <f>IF('Upto Month Current'!$J$8="",0,'Upto Month Current'!$J$8)</f>
        <v>5084</v>
      </c>
      <c r="H96" s="9">
        <f>IF('Upto Month Current'!$J$9="",0,'Upto Month Current'!$J$9)</f>
        <v>0</v>
      </c>
      <c r="I96" s="9">
        <f>IF('Upto Month Current'!$J$10="",0,'Upto Month Current'!$J$10)</f>
        <v>0</v>
      </c>
      <c r="J96" s="9">
        <f>IF('Upto Month Current'!$J$11="",0,'Upto Month Current'!$J$11)</f>
        <v>0</v>
      </c>
      <c r="K96" s="9">
        <f>IF('Upto Month Current'!$J$12="",0,'Upto Month Current'!$J$12)</f>
        <v>196</v>
      </c>
      <c r="L96" s="9">
        <f>IF('Upto Month Current'!$J$13="",0,'Upto Month Current'!$J$13)</f>
        <v>230</v>
      </c>
      <c r="M96" s="9">
        <f>IF('Upto Month Current'!$J$14="",0,'Upto Month Current'!$J$14)</f>
        <v>5751</v>
      </c>
      <c r="N96" s="9">
        <f>IF('Upto Month Current'!$J$15="",0,'Upto Month Current'!$J$15)</f>
        <v>1158</v>
      </c>
      <c r="O96" s="9">
        <f>IF('Upto Month Current'!$J$16="",0,'Upto Month Current'!$J$16)</f>
        <v>215</v>
      </c>
      <c r="P96" s="9">
        <f>IF('Upto Month Current'!$J$17="",0,'Upto Month Current'!$J$17)</f>
        <v>1459</v>
      </c>
      <c r="Q96" s="9">
        <f>IF('Upto Month Current'!$J$18="",0,'Upto Month Current'!$J$18)</f>
        <v>0</v>
      </c>
      <c r="R96" s="9">
        <f>IF('Upto Month Current'!$J$21="",0,'Upto Month Current'!$J$21)</f>
        <v>457</v>
      </c>
      <c r="S96" s="9">
        <f>IF('Upto Month Current'!$J$26="",0,'Upto Month Current'!$J$26)</f>
        <v>43575</v>
      </c>
      <c r="T96" s="9">
        <f>IF('Upto Month Current'!$J$27="",0,'Upto Month Current'!$J$27)</f>
        <v>530399</v>
      </c>
      <c r="U96" s="9">
        <f>IF('Upto Month Current'!$J$30="",0,'Upto Month Current'!$J$30)</f>
        <v>0</v>
      </c>
      <c r="V96" s="9">
        <f>IF('Upto Month Current'!$J$35="",0,'Upto Month Current'!$J$35)</f>
        <v>0</v>
      </c>
      <c r="W96" s="9">
        <f>IF('Upto Month Current'!$J$39="",0,'Upto Month Current'!$J$39)</f>
        <v>14</v>
      </c>
      <c r="X96" s="9">
        <f>IF('Upto Month Current'!$J$40="",0,'Upto Month Current'!$J$40)</f>
        <v>0</v>
      </c>
      <c r="Y96" s="9">
        <f>IF('Upto Month Current'!$J$42="",0,'Upto Month Current'!$J$42)</f>
        <v>97</v>
      </c>
      <c r="Z96" s="9">
        <f>IF('Upto Month Current'!$J$43="",0,'Upto Month Current'!$J$43)</f>
        <v>44</v>
      </c>
      <c r="AA96" s="9">
        <f>IF('Upto Month Current'!$J$44="",0,'Upto Month Current'!$J$44)</f>
        <v>24</v>
      </c>
      <c r="AB96" s="9">
        <f>IF('Upto Month Current'!$J$48="",0,'Upto Month Current'!$J$48)</f>
        <v>0</v>
      </c>
      <c r="AC96" s="9">
        <f>IF('Upto Month Current'!$J$51="",0,'Upto Month Current'!$J$51)</f>
        <v>0</v>
      </c>
      <c r="AD96" s="221">
        <f t="shared" si="1333"/>
        <v>700819</v>
      </c>
      <c r="AE96" s="9">
        <f>IF('Upto Month Current'!$J$19="",0,'Upto Month Current'!$J$19)</f>
        <v>77</v>
      </c>
      <c r="AF96" s="9">
        <f>IF('Upto Month Current'!$J$20="",0,'Upto Month Current'!$J$20)</f>
        <v>21</v>
      </c>
      <c r="AG96" s="9">
        <f>IF('Upto Month Current'!$J$22="",0,'Upto Month Current'!$J$22)</f>
        <v>979</v>
      </c>
      <c r="AH96" s="9">
        <f>IF('Upto Month Current'!$J$23="",0,'Upto Month Current'!$J$23)</f>
        <v>0</v>
      </c>
      <c r="AI96" s="9">
        <f>IF('Upto Month Current'!$J$24="",0,'Upto Month Current'!$J$24)</f>
        <v>0</v>
      </c>
      <c r="AJ96" s="9">
        <f>IF('Upto Month Current'!$J$25="",0,'Upto Month Current'!$J$25)</f>
        <v>0</v>
      </c>
      <c r="AK96" s="9">
        <f>IF('Upto Month Current'!$J$28="",0,'Upto Month Current'!$J$28)</f>
        <v>90</v>
      </c>
      <c r="AL96" s="9">
        <f>IF('Upto Month Current'!$J$29="",0,'Upto Month Current'!$J$29)</f>
        <v>36140</v>
      </c>
      <c r="AM96" s="9">
        <f>IF('Upto Month Current'!$J$31="",0,'Upto Month Current'!$J$31)</f>
        <v>-743</v>
      </c>
      <c r="AN96" s="9">
        <f>IF('Upto Month Current'!$J$32="",0,'Upto Month Current'!$J$32)</f>
        <v>4</v>
      </c>
      <c r="AO96" s="9">
        <f>IF('Upto Month Current'!$J$33="",0,'Upto Month Current'!$J$33)</f>
        <v>98237</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14</v>
      </c>
      <c r="AY96" s="9">
        <f>IF('Upto Month Current'!$J$47="",0,'Upto Month Current'!$J$47)</f>
        <v>0</v>
      </c>
      <c r="AZ96" s="9">
        <f>IF('Upto Month Current'!$J$49="",0,'Upto Month Current'!$J$49)</f>
        <v>0</v>
      </c>
      <c r="BA96" s="9">
        <f>IF('Upto Month Current'!$J$50="",0,'Upto Month Current'!$J$50)</f>
        <v>0</v>
      </c>
      <c r="BB96" s="9">
        <f>IF('Upto Month Current'!$J$52="",0,'Upto Month Current'!$J$52)</f>
        <v>0</v>
      </c>
      <c r="BC96" s="9">
        <f>IF('Upto Month Current'!$J$53="",0,'Upto Month Current'!$J$53)</f>
        <v>8690</v>
      </c>
      <c r="BD96" s="9">
        <f>IF('Upto Month Current'!$J$54="",0,'Upto Month Current'!$J$54)</f>
        <v>8690</v>
      </c>
      <c r="BE96" s="9">
        <f>IF('Upto Month Current'!$J$55="",0,'Upto Month Current'!$J$55)</f>
        <v>0</v>
      </c>
      <c r="BF96" s="9">
        <f>IF('Upto Month Current'!$J$56="",0,'Upto Month Current'!$J$56)</f>
        <v>709</v>
      </c>
      <c r="BG96" s="9">
        <f>IF('Upto Month Current'!$J$58="",0,'Upto Month Current'!$J$58)</f>
        <v>-1518</v>
      </c>
      <c r="BH96" s="9">
        <f>SUM(AE96:BG96)</f>
        <v>151390</v>
      </c>
      <c r="BI96" s="274">
        <f>AD96+BH96</f>
        <v>852209</v>
      </c>
      <c r="BJ96" s="9">
        <f>IF('Upto Month Current'!$J$60="",0,'Upto Month Current'!$J$60)</f>
        <v>0</v>
      </c>
      <c r="BK96" s="49">
        <f t="shared" si="1334"/>
        <v>852209</v>
      </c>
      <c r="BL96">
        <f>'Upto Month Current'!$J$61</f>
        <v>852207</v>
      </c>
      <c r="BM96" s="30">
        <f t="shared" si="1335"/>
        <v>151390</v>
      </c>
    </row>
    <row r="97" spans="1:65">
      <c r="A97" s="128"/>
      <c r="B97" s="5" t="s">
        <v>130</v>
      </c>
      <c r="C97" s="11">
        <f>C96-C94</f>
        <v>-5217</v>
      </c>
      <c r="D97" s="11">
        <f t="shared" ref="D97" si="1336">D96-D94</f>
        <v>-909</v>
      </c>
      <c r="E97" s="11">
        <f t="shared" ref="E97" si="1337">E96-E94</f>
        <v>0</v>
      </c>
      <c r="F97" s="11">
        <f t="shared" ref="F97" si="1338">F96-F94</f>
        <v>-1490</v>
      </c>
      <c r="G97" s="11">
        <f t="shared" ref="G97" si="1339">G96-G94</f>
        <v>-425</v>
      </c>
      <c r="H97" s="11">
        <f t="shared" ref="H97" si="1340">H96-H94</f>
        <v>0</v>
      </c>
      <c r="I97" s="11">
        <f t="shared" ref="I97" si="1341">I96-I94</f>
        <v>0</v>
      </c>
      <c r="J97" s="11">
        <f t="shared" ref="J97" si="1342">J96-J94</f>
        <v>0</v>
      </c>
      <c r="K97" s="11">
        <f t="shared" ref="K97" si="1343">K96-K94</f>
        <v>43</v>
      </c>
      <c r="L97" s="11">
        <f t="shared" ref="L97" si="1344">L96-L94</f>
        <v>-19</v>
      </c>
      <c r="M97" s="11">
        <f t="shared" ref="M97" si="1345">M96-M94</f>
        <v>-1146</v>
      </c>
      <c r="N97" s="11">
        <f t="shared" ref="N97" si="1346">N96-N94</f>
        <v>-131</v>
      </c>
      <c r="O97" s="11">
        <f t="shared" ref="O97" si="1347">O96-O94</f>
        <v>25</v>
      </c>
      <c r="P97" s="11">
        <f t="shared" ref="P97" si="1348">P96-P94</f>
        <v>288</v>
      </c>
      <c r="Q97" s="11">
        <f t="shared" ref="Q97" si="1349">Q96-Q94</f>
        <v>0</v>
      </c>
      <c r="R97" s="11">
        <f t="shared" ref="R97" si="1350">R96-R94</f>
        <v>90</v>
      </c>
      <c r="S97" s="11">
        <f t="shared" ref="S97" si="1351">S96-S94</f>
        <v>-451399</v>
      </c>
      <c r="T97" s="11">
        <f t="shared" ref="T97:U97" si="1352">T96-T94</f>
        <v>370937</v>
      </c>
      <c r="U97" s="11">
        <f t="shared" si="1352"/>
        <v>0</v>
      </c>
      <c r="V97" s="9">
        <f t="shared" ref="V97" si="1353">V96-V94</f>
        <v>0</v>
      </c>
      <c r="W97" s="11">
        <f t="shared" ref="W97" si="1354">W96-W94</f>
        <v>14</v>
      </c>
      <c r="X97" s="11">
        <f t="shared" ref="X97" si="1355">X96-X94</f>
        <v>0</v>
      </c>
      <c r="Y97" s="11">
        <f t="shared" ref="Y97" si="1356">Y96-Y94</f>
        <v>35</v>
      </c>
      <c r="Z97" s="11">
        <f t="shared" ref="Z97" si="1357">Z96-Z94</f>
        <v>28</v>
      </c>
      <c r="AA97" s="11">
        <f t="shared" ref="AA97:AD97" si="1358">AA96-AA94</f>
        <v>2</v>
      </c>
      <c r="AB97" s="11">
        <f t="shared" ref="AB97" si="1359">AB96-AB94</f>
        <v>-131</v>
      </c>
      <c r="AC97" s="9">
        <f t="shared" si="1358"/>
        <v>0</v>
      </c>
      <c r="AD97" s="216">
        <f t="shared" si="1358"/>
        <v>-89405</v>
      </c>
      <c r="AE97" s="11">
        <f t="shared" ref="AE97" si="1360">AE96-AE94</f>
        <v>11</v>
      </c>
      <c r="AF97" s="11">
        <f t="shared" ref="AF97" si="1361">AF96-AF94</f>
        <v>3</v>
      </c>
      <c r="AG97" s="11">
        <f t="shared" ref="AG97" si="1362">AG96-AG94</f>
        <v>771</v>
      </c>
      <c r="AH97" s="11">
        <f t="shared" ref="AH97" si="1363">AH96-AH94</f>
        <v>0</v>
      </c>
      <c r="AI97" s="11">
        <f t="shared" ref="AI97" si="1364">AI96-AI94</f>
        <v>0</v>
      </c>
      <c r="AJ97" s="11">
        <f t="shared" ref="AJ97" si="1365">AJ96-AJ94</f>
        <v>-4</v>
      </c>
      <c r="AK97" s="11">
        <f t="shared" ref="AK97" si="1366">AK96-AK94</f>
        <v>-266</v>
      </c>
      <c r="AL97" s="11">
        <f t="shared" ref="AL97" si="1367">AL96-AL94</f>
        <v>-6702</v>
      </c>
      <c r="AM97" s="11">
        <f t="shared" ref="AM97" si="1368">AM96-AM94</f>
        <v>-10456</v>
      </c>
      <c r="AN97" s="11">
        <f t="shared" ref="AN97" si="1369">AN96-AN94</f>
        <v>4</v>
      </c>
      <c r="AO97" s="9">
        <f t="shared" ref="AO97" si="1370">AO96-AO94</f>
        <v>49034</v>
      </c>
      <c r="AP97" s="11">
        <f t="shared" ref="AP97" si="1371">AP96-AP94</f>
        <v>0</v>
      </c>
      <c r="AQ97" s="9">
        <f t="shared" ref="AQ97" si="1372">AQ96-AQ94</f>
        <v>0</v>
      </c>
      <c r="AR97" s="11">
        <f t="shared" ref="AR97" si="1373">AR96-AR94</f>
        <v>0</v>
      </c>
      <c r="AS97" s="11">
        <f t="shared" ref="AS97" si="1374">AS96-AS94</f>
        <v>0</v>
      </c>
      <c r="AT97" s="11">
        <f t="shared" ref="AT97" si="1375">AT96-AT94</f>
        <v>0</v>
      </c>
      <c r="AU97" s="11">
        <f t="shared" ref="AU97" si="1376">AU96-AU94</f>
        <v>0</v>
      </c>
      <c r="AV97" s="11">
        <f t="shared" ref="AV97" si="1377">AV96-AV94</f>
        <v>0</v>
      </c>
      <c r="AW97" s="11">
        <f t="shared" ref="AW97" si="1378">AW96-AW94</f>
        <v>0</v>
      </c>
      <c r="AX97" s="11">
        <f t="shared" ref="AX97" si="1379">AX96-AX94</f>
        <v>-43</v>
      </c>
      <c r="AY97" s="11">
        <f t="shared" ref="AY97" si="1380">AY96-AY94</f>
        <v>0</v>
      </c>
      <c r="AZ97" s="11">
        <f t="shared" ref="AZ97" si="1381">AZ96-AZ94</f>
        <v>0</v>
      </c>
      <c r="BA97" s="11">
        <f t="shared" ref="BA97" si="1382">BA96-BA94</f>
        <v>0</v>
      </c>
      <c r="BB97" s="9">
        <f t="shared" ref="BB97" si="1383">BB96-BB94</f>
        <v>0</v>
      </c>
      <c r="BC97" s="11">
        <f t="shared" ref="BC97" si="1384">BC96-BC94</f>
        <v>4135</v>
      </c>
      <c r="BD97" s="11">
        <f t="shared" ref="BD97" si="1385">BD96-BD94</f>
        <v>4037</v>
      </c>
      <c r="BE97" s="11">
        <f t="shared" ref="BE97" si="1386">BE96-BE94</f>
        <v>-6</v>
      </c>
      <c r="BF97" s="11">
        <f t="shared" ref="BF97" si="1387">BF96-BF94</f>
        <v>-817</v>
      </c>
      <c r="BG97" s="11">
        <f t="shared" ref="BG97:BH97" si="1388">BG96-BG94</f>
        <v>1257</v>
      </c>
      <c r="BH97" s="9">
        <f t="shared" si="1388"/>
        <v>40958</v>
      </c>
      <c r="BI97" s="9">
        <f t="shared" ref="BI97" si="1389">BI96-BI94</f>
        <v>-48447</v>
      </c>
      <c r="BJ97" s="11">
        <f t="shared" ref="BJ97:BK97" si="1390">BJ96-BJ94</f>
        <v>-3</v>
      </c>
      <c r="BK97" s="49">
        <f t="shared" si="1390"/>
        <v>-48444</v>
      </c>
      <c r="BM97" s="30">
        <f t="shared" si="1335"/>
        <v>40961</v>
      </c>
    </row>
    <row r="98" spans="1:65">
      <c r="A98" s="128"/>
      <c r="B98" s="5" t="s">
        <v>131</v>
      </c>
      <c r="C98" s="13">
        <f>C97/C94</f>
        <v>-7.3963280640816614E-2</v>
      </c>
      <c r="D98" s="13">
        <f t="shared" ref="D98" si="1391">D97/D94</f>
        <v>-2.2227656192688593E-2</v>
      </c>
      <c r="E98" s="13" t="e">
        <f t="shared" ref="E98" si="1392">E97/E94</f>
        <v>#DIV/0!</v>
      </c>
      <c r="F98" s="13">
        <f t="shared" ref="F98" si="1393">F97/F94</f>
        <v>-0.17947482534329076</v>
      </c>
      <c r="G98" s="13">
        <f t="shared" ref="G98" si="1394">G97/G94</f>
        <v>-7.7146487565801419E-2</v>
      </c>
      <c r="H98" s="13" t="e">
        <f t="shared" ref="H98" si="1395">H97/H94</f>
        <v>#DIV/0!</v>
      </c>
      <c r="I98" s="13" t="e">
        <f t="shared" ref="I98" si="1396">I97/I94</f>
        <v>#DIV/0!</v>
      </c>
      <c r="J98" s="13" t="e">
        <f t="shared" ref="J98" si="1397">J97/J94</f>
        <v>#DIV/0!</v>
      </c>
      <c r="K98" s="13">
        <f t="shared" ref="K98" si="1398">K97/K94</f>
        <v>0.28104575163398693</v>
      </c>
      <c r="L98" s="13">
        <f t="shared" ref="L98" si="1399">L97/L94</f>
        <v>-7.6305220883534142E-2</v>
      </c>
      <c r="M98" s="13">
        <f t="shared" ref="M98" si="1400">M97/M94</f>
        <v>-0.16615919965202261</v>
      </c>
      <c r="N98" s="13">
        <f t="shared" ref="N98" si="1401">N97/N94</f>
        <v>-0.10162916989914662</v>
      </c>
      <c r="O98" s="13">
        <f t="shared" ref="O98" si="1402">O97/O94</f>
        <v>0.13157894736842105</v>
      </c>
      <c r="P98" s="13">
        <f t="shared" ref="P98" si="1403">P97/P94</f>
        <v>0.24594363791631085</v>
      </c>
      <c r="Q98" s="13" t="e">
        <f t="shared" ref="Q98" si="1404">Q97/Q94</f>
        <v>#DIV/0!</v>
      </c>
      <c r="R98" s="13">
        <f t="shared" ref="R98" si="1405">R97/R94</f>
        <v>0.24523160762942781</v>
      </c>
      <c r="S98" s="13">
        <f t="shared" ref="S98" si="1406">S97/S94</f>
        <v>-0.91196507291292073</v>
      </c>
      <c r="T98" s="13">
        <f t="shared" ref="T98:U98" si="1407">T97/T94</f>
        <v>2.3261780236043696</v>
      </c>
      <c r="U98" s="13" t="e">
        <f t="shared" si="1407"/>
        <v>#DIV/0!</v>
      </c>
      <c r="V98" s="160" t="e">
        <f t="shared" ref="V98" si="1408">V97/V94</f>
        <v>#DIV/0!</v>
      </c>
      <c r="W98" s="13" t="e">
        <f t="shared" ref="W98" si="1409">W97/W94</f>
        <v>#DIV/0!</v>
      </c>
      <c r="X98" s="13" t="e">
        <f t="shared" ref="X98" si="1410">X97/X94</f>
        <v>#DIV/0!</v>
      </c>
      <c r="Y98" s="13">
        <f t="shared" ref="Y98" si="1411">Y97/Y94</f>
        <v>0.56451612903225812</v>
      </c>
      <c r="Z98" s="13">
        <f t="shared" ref="Z98" si="1412">Z97/Z94</f>
        <v>1.75</v>
      </c>
      <c r="AA98" s="13">
        <f t="shared" ref="AA98:AD98" si="1413">AA97/AA94</f>
        <v>9.0909090909090912E-2</v>
      </c>
      <c r="AB98" s="13">
        <f t="shared" ref="AB98" si="1414">AB97/AB94</f>
        <v>-1</v>
      </c>
      <c r="AC98" s="160" t="e">
        <f t="shared" si="1413"/>
        <v>#DIV/0!</v>
      </c>
      <c r="AD98" s="217">
        <f t="shared" si="1413"/>
        <v>-0.11313880621190954</v>
      </c>
      <c r="AE98" s="13">
        <f t="shared" ref="AE98" si="1415">AE97/AE94</f>
        <v>0.16666666666666666</v>
      </c>
      <c r="AF98" s="13">
        <f t="shared" ref="AF98" si="1416">AF97/AF94</f>
        <v>0.16666666666666666</v>
      </c>
      <c r="AG98" s="13">
        <f t="shared" ref="AG98" si="1417">AG97/AG94</f>
        <v>3.7067307692307692</v>
      </c>
      <c r="AH98" s="13" t="e">
        <f t="shared" ref="AH98" si="1418">AH97/AH94</f>
        <v>#DIV/0!</v>
      </c>
      <c r="AI98" s="13" t="e">
        <f t="shared" ref="AI98" si="1419">AI97/AI94</f>
        <v>#DIV/0!</v>
      </c>
      <c r="AJ98" s="13">
        <f t="shared" ref="AJ98" si="1420">AJ97/AJ94</f>
        <v>-1</v>
      </c>
      <c r="AK98" s="13">
        <f t="shared" ref="AK98" si="1421">AK97/AK94</f>
        <v>-0.7471910112359551</v>
      </c>
      <c r="AL98" s="13">
        <f t="shared" ref="AL98" si="1422">AL97/AL94</f>
        <v>-0.15643527379674152</v>
      </c>
      <c r="AM98" s="13">
        <f t="shared" ref="AM98" si="1423">AM97/AM94</f>
        <v>-1.0764954185112736</v>
      </c>
      <c r="AN98" s="13" t="e">
        <f t="shared" ref="AN98" si="1424">AN97/AN94</f>
        <v>#DIV/0!</v>
      </c>
      <c r="AO98" s="160">
        <f t="shared" ref="AO98" si="1425">AO97/AO94</f>
        <v>0.99656525008637686</v>
      </c>
      <c r="AP98" s="13" t="e">
        <f t="shared" ref="AP98" si="1426">AP97/AP94</f>
        <v>#DIV/0!</v>
      </c>
      <c r="AQ98" s="160" t="e">
        <f t="shared" ref="AQ98" si="1427">AQ97/AQ94</f>
        <v>#DIV/0!</v>
      </c>
      <c r="AR98" s="13" t="e">
        <f t="shared" ref="AR98" si="1428">AR97/AR94</f>
        <v>#DIV/0!</v>
      </c>
      <c r="AS98" s="13" t="e">
        <f t="shared" ref="AS98" si="1429">AS97/AS94</f>
        <v>#DIV/0!</v>
      </c>
      <c r="AT98" s="13" t="e">
        <f t="shared" ref="AT98" si="1430">AT97/AT94</f>
        <v>#DIV/0!</v>
      </c>
      <c r="AU98" s="13" t="e">
        <f t="shared" ref="AU98" si="1431">AU97/AU94</f>
        <v>#DIV/0!</v>
      </c>
      <c r="AV98" s="13" t="e">
        <f t="shared" ref="AV98" si="1432">AV97/AV94</f>
        <v>#DIV/0!</v>
      </c>
      <c r="AW98" s="13" t="e">
        <f t="shared" ref="AW98" si="1433">AW97/AW94</f>
        <v>#DIV/0!</v>
      </c>
      <c r="AX98" s="13">
        <f t="shared" ref="AX98" si="1434">AX97/AX94</f>
        <v>-0.75438596491228072</v>
      </c>
      <c r="AY98" s="13" t="e">
        <f t="shared" ref="AY98" si="1435">AY97/AY94</f>
        <v>#DIV/0!</v>
      </c>
      <c r="AZ98" s="13" t="e">
        <f t="shared" ref="AZ98" si="1436">AZ97/AZ94</f>
        <v>#DIV/0!</v>
      </c>
      <c r="BA98" s="13" t="e">
        <f t="shared" ref="BA98" si="1437">BA97/BA94</f>
        <v>#DIV/0!</v>
      </c>
      <c r="BB98" s="160" t="e">
        <f t="shared" ref="BB98" si="1438">BB97/BB94</f>
        <v>#DIV/0!</v>
      </c>
      <c r="BC98" s="13">
        <f t="shared" ref="BC98" si="1439">BC97/BC94</f>
        <v>0.90779363336992314</v>
      </c>
      <c r="BD98" s="13">
        <f t="shared" ref="BD98" si="1440">BD97/BD94</f>
        <v>0.86761229314420807</v>
      </c>
      <c r="BE98" s="13">
        <f t="shared" ref="BE98" si="1441">BE97/BE94</f>
        <v>-1</v>
      </c>
      <c r="BF98" s="13">
        <f t="shared" ref="BF98" si="1442">BF97/BF94</f>
        <v>-0.53538663171690692</v>
      </c>
      <c r="BG98" s="13">
        <f t="shared" ref="BG98:BH98" si="1443">BG97/BG94</f>
        <v>-0.45297297297297295</v>
      </c>
      <c r="BH98" s="160">
        <f t="shared" si="1443"/>
        <v>0.37088887279049548</v>
      </c>
      <c r="BI98" s="160">
        <f t="shared" ref="BI98" si="1444">BI97/BI94</f>
        <v>-5.3790792489030216E-2</v>
      </c>
      <c r="BJ98" s="13">
        <f t="shared" ref="BJ98:BK98" si="1445">BJ97/BJ94</f>
        <v>-1</v>
      </c>
      <c r="BK98" s="50">
        <f t="shared" si="1445"/>
        <v>-5.378764074510383E-2</v>
      </c>
      <c r="BM98" s="160" t="e">
        <f t="shared" ref="BM98" si="1446">BM97/BM94</f>
        <v>#DIV/0!</v>
      </c>
    </row>
    <row r="99" spans="1:65">
      <c r="A99" s="128"/>
      <c r="B99" s="5" t="s">
        <v>132</v>
      </c>
      <c r="C99" s="11">
        <f>C96-C95</f>
        <v>-4638</v>
      </c>
      <c r="D99" s="11">
        <f t="shared" ref="D99:BK99" si="1447">D96-D95</f>
        <v>3488</v>
      </c>
      <c r="E99" s="11">
        <f t="shared" si="1447"/>
        <v>-36</v>
      </c>
      <c r="F99" s="11">
        <f t="shared" si="1447"/>
        <v>18</v>
      </c>
      <c r="G99" s="11">
        <f t="shared" si="1447"/>
        <v>-64</v>
      </c>
      <c r="H99" s="11">
        <f t="shared" si="1447"/>
        <v>0</v>
      </c>
      <c r="I99" s="11">
        <f t="shared" si="1447"/>
        <v>0</v>
      </c>
      <c r="J99" s="11">
        <f t="shared" si="1447"/>
        <v>-11</v>
      </c>
      <c r="K99" s="11">
        <f t="shared" si="1447"/>
        <v>196</v>
      </c>
      <c r="L99" s="11">
        <f t="shared" si="1447"/>
        <v>-161</v>
      </c>
      <c r="M99" s="11">
        <f t="shared" si="1447"/>
        <v>-295</v>
      </c>
      <c r="N99" s="11">
        <f t="shared" si="1447"/>
        <v>43</v>
      </c>
      <c r="O99" s="11">
        <f t="shared" si="1447"/>
        <v>-84</v>
      </c>
      <c r="P99" s="11">
        <f t="shared" si="1447"/>
        <v>-424</v>
      </c>
      <c r="Q99" s="11">
        <f t="shared" si="1447"/>
        <v>0</v>
      </c>
      <c r="R99" s="11">
        <f t="shared" si="1447"/>
        <v>25</v>
      </c>
      <c r="S99" s="11">
        <f t="shared" si="1447"/>
        <v>-189755</v>
      </c>
      <c r="T99" s="11">
        <f t="shared" si="1447"/>
        <v>231908</v>
      </c>
      <c r="U99" s="11">
        <f t="shared" ref="U99" si="1448">U96-U95</f>
        <v>0</v>
      </c>
      <c r="V99" s="9">
        <f t="shared" si="1447"/>
        <v>0</v>
      </c>
      <c r="W99" s="11">
        <f t="shared" si="1447"/>
        <v>14</v>
      </c>
      <c r="X99" s="11">
        <f t="shared" si="1447"/>
        <v>0</v>
      </c>
      <c r="Y99" s="11">
        <f t="shared" si="1447"/>
        <v>97</v>
      </c>
      <c r="Z99" s="11">
        <f t="shared" si="1447"/>
        <v>44</v>
      </c>
      <c r="AA99" s="11">
        <f t="shared" si="1447"/>
        <v>24</v>
      </c>
      <c r="AB99" s="11">
        <f t="shared" ref="AB99" si="1449">AB96-AB95</f>
        <v>0</v>
      </c>
      <c r="AC99" s="9">
        <f t="shared" ref="AC99:AD99" si="1450">AC96-AC95</f>
        <v>0</v>
      </c>
      <c r="AD99" s="216">
        <f t="shared" si="1450"/>
        <v>40389</v>
      </c>
      <c r="AE99" s="11">
        <f t="shared" si="1447"/>
        <v>41</v>
      </c>
      <c r="AF99" s="11">
        <f t="shared" si="1447"/>
        <v>2</v>
      </c>
      <c r="AG99" s="11">
        <f t="shared" si="1447"/>
        <v>355</v>
      </c>
      <c r="AH99" s="11">
        <f t="shared" si="1447"/>
        <v>0</v>
      </c>
      <c r="AI99" s="11">
        <f t="shared" si="1447"/>
        <v>0</v>
      </c>
      <c r="AJ99" s="11">
        <f t="shared" si="1447"/>
        <v>-15</v>
      </c>
      <c r="AK99" s="11">
        <f t="shared" si="1447"/>
        <v>-344</v>
      </c>
      <c r="AL99" s="11">
        <f t="shared" si="1447"/>
        <v>-5746</v>
      </c>
      <c r="AM99" s="11">
        <f t="shared" si="1447"/>
        <v>7925</v>
      </c>
      <c r="AN99" s="11">
        <f t="shared" si="1447"/>
        <v>4</v>
      </c>
      <c r="AO99" s="9">
        <f t="shared" si="1447"/>
        <v>39586</v>
      </c>
      <c r="AP99" s="11">
        <f t="shared" si="1447"/>
        <v>0</v>
      </c>
      <c r="AQ99" s="9">
        <f t="shared" si="1447"/>
        <v>0</v>
      </c>
      <c r="AR99" s="11">
        <f t="shared" si="1447"/>
        <v>0</v>
      </c>
      <c r="AS99" s="11">
        <f t="shared" si="1447"/>
        <v>0</v>
      </c>
      <c r="AT99" s="11">
        <f t="shared" si="1447"/>
        <v>0</v>
      </c>
      <c r="AU99" s="11">
        <f t="shared" si="1447"/>
        <v>0</v>
      </c>
      <c r="AV99" s="11">
        <f t="shared" si="1447"/>
        <v>0</v>
      </c>
      <c r="AW99" s="11">
        <f t="shared" si="1447"/>
        <v>-63</v>
      </c>
      <c r="AX99" s="11">
        <f t="shared" si="1447"/>
        <v>-8</v>
      </c>
      <c r="AY99" s="11">
        <f t="shared" si="1447"/>
        <v>-89</v>
      </c>
      <c r="AZ99" s="11">
        <f t="shared" si="1447"/>
        <v>0</v>
      </c>
      <c r="BA99" s="11">
        <f t="shared" si="1447"/>
        <v>0</v>
      </c>
      <c r="BB99" s="9">
        <f t="shared" si="1447"/>
        <v>0</v>
      </c>
      <c r="BC99" s="11">
        <f t="shared" si="1447"/>
        <v>2690</v>
      </c>
      <c r="BD99" s="11">
        <f t="shared" si="1447"/>
        <v>2690</v>
      </c>
      <c r="BE99" s="11">
        <f t="shared" si="1447"/>
        <v>0</v>
      </c>
      <c r="BF99" s="11">
        <f t="shared" si="1447"/>
        <v>-636</v>
      </c>
      <c r="BG99" s="11">
        <f t="shared" si="1447"/>
        <v>2205</v>
      </c>
      <c r="BH99" s="9">
        <f t="shared" si="1447"/>
        <v>48597</v>
      </c>
      <c r="BI99" s="9">
        <f t="shared" si="1447"/>
        <v>88986</v>
      </c>
      <c r="BJ99" s="11">
        <f t="shared" si="1447"/>
        <v>0</v>
      </c>
      <c r="BK99" s="49">
        <f t="shared" si="1447"/>
        <v>88986</v>
      </c>
      <c r="BM99" s="30">
        <f t="shared" si="1335"/>
        <v>48597</v>
      </c>
    </row>
    <row r="100" spans="1:65">
      <c r="A100" s="128"/>
      <c r="B100" s="5" t="s">
        <v>133</v>
      </c>
      <c r="C100" s="13">
        <f>C99/C95</f>
        <v>-6.6298816398879301E-2</v>
      </c>
      <c r="D100" s="13">
        <f t="shared" ref="D100" si="1451">D99/D95</f>
        <v>9.556688037700696E-2</v>
      </c>
      <c r="E100" s="13">
        <f t="shared" ref="E100" si="1452">E99/E95</f>
        <v>-1</v>
      </c>
      <c r="F100" s="13">
        <f t="shared" ref="F100" si="1453">F99/F95</f>
        <v>2.6493965263467765E-3</v>
      </c>
      <c r="G100" s="13">
        <f t="shared" ref="G100" si="1454">G99/G95</f>
        <v>-1.2432012432012432E-2</v>
      </c>
      <c r="H100" s="13" t="e">
        <f t="shared" ref="H100" si="1455">H99/H95</f>
        <v>#DIV/0!</v>
      </c>
      <c r="I100" s="13" t="e">
        <f t="shared" ref="I100" si="1456">I99/I95</f>
        <v>#DIV/0!</v>
      </c>
      <c r="J100" s="13">
        <f t="shared" ref="J100" si="1457">J99/J95</f>
        <v>-1</v>
      </c>
      <c r="K100" s="13" t="e">
        <f t="shared" ref="K100" si="1458">K99/K95</f>
        <v>#DIV/0!</v>
      </c>
      <c r="L100" s="13">
        <f t="shared" ref="L100" si="1459">L99/L95</f>
        <v>-0.41176470588235292</v>
      </c>
      <c r="M100" s="13">
        <f t="shared" ref="M100" si="1460">M99/M95</f>
        <v>-4.8792590142242805E-2</v>
      </c>
      <c r="N100" s="13">
        <f t="shared" ref="N100" si="1461">N99/N95</f>
        <v>3.8565022421524667E-2</v>
      </c>
      <c r="O100" s="13">
        <f t="shared" ref="O100" si="1462">O99/O95</f>
        <v>-0.28093645484949831</v>
      </c>
      <c r="P100" s="13">
        <f t="shared" ref="P100" si="1463">P99/P95</f>
        <v>-0.22517259691980882</v>
      </c>
      <c r="Q100" s="13" t="e">
        <f t="shared" ref="Q100" si="1464">Q99/Q95</f>
        <v>#DIV/0!</v>
      </c>
      <c r="R100" s="13">
        <f t="shared" ref="R100" si="1465">R99/R95</f>
        <v>5.7870370370370371E-2</v>
      </c>
      <c r="S100" s="13">
        <f t="shared" ref="S100" si="1466">S99/S95</f>
        <v>-0.81324733210474431</v>
      </c>
      <c r="T100" s="13">
        <f t="shared" ref="T100:U100" si="1467">T99/T95</f>
        <v>0.77693464794583422</v>
      </c>
      <c r="U100" s="13" t="e">
        <f t="shared" si="1467"/>
        <v>#DIV/0!</v>
      </c>
      <c r="V100" s="160" t="e">
        <f t="shared" ref="V100" si="1468">V99/V95</f>
        <v>#DIV/0!</v>
      </c>
      <c r="W100" s="13" t="e">
        <f t="shared" ref="W100" si="1469">W99/W95</f>
        <v>#DIV/0!</v>
      </c>
      <c r="X100" s="13" t="e">
        <f t="shared" ref="X100" si="1470">X99/X95</f>
        <v>#DIV/0!</v>
      </c>
      <c r="Y100" s="13" t="e">
        <f t="shared" ref="Y100" si="1471">Y99/Y95</f>
        <v>#DIV/0!</v>
      </c>
      <c r="Z100" s="13" t="e">
        <f t="shared" ref="Z100" si="1472">Z99/Z95</f>
        <v>#DIV/0!</v>
      </c>
      <c r="AA100" s="13" t="e">
        <f t="shared" ref="AA100:AD100" si="1473">AA99/AA95</f>
        <v>#DIV/0!</v>
      </c>
      <c r="AB100" s="13" t="e">
        <f t="shared" ref="AB100" si="1474">AB99/AB95</f>
        <v>#DIV/0!</v>
      </c>
      <c r="AC100" s="160" t="e">
        <f t="shared" si="1473"/>
        <v>#DIV/0!</v>
      </c>
      <c r="AD100" s="217">
        <f t="shared" si="1473"/>
        <v>6.115561073845828E-2</v>
      </c>
      <c r="AE100" s="13">
        <f t="shared" ref="AE100" si="1475">AE99/AE95</f>
        <v>1.1388888888888888</v>
      </c>
      <c r="AF100" s="13">
        <f t="shared" ref="AF100" si="1476">AF99/AF95</f>
        <v>0.10526315789473684</v>
      </c>
      <c r="AG100" s="13">
        <f t="shared" ref="AG100" si="1477">AG99/AG95</f>
        <v>0.56891025641025639</v>
      </c>
      <c r="AH100" s="13" t="e">
        <f t="shared" ref="AH100" si="1478">AH99/AH95</f>
        <v>#DIV/0!</v>
      </c>
      <c r="AI100" s="13" t="e">
        <f t="shared" ref="AI100" si="1479">AI99/AI95</f>
        <v>#DIV/0!</v>
      </c>
      <c r="AJ100" s="13">
        <f t="shared" ref="AJ100" si="1480">AJ99/AJ95</f>
        <v>-1</v>
      </c>
      <c r="AK100" s="13">
        <f t="shared" ref="AK100" si="1481">AK99/AK95</f>
        <v>-0.79262672811059909</v>
      </c>
      <c r="AL100" s="13">
        <f t="shared" ref="AL100" si="1482">AL99/AL95</f>
        <v>-0.1371818746120422</v>
      </c>
      <c r="AM100" s="13">
        <f t="shared" ref="AM100" si="1483">AM99/AM95</f>
        <v>-0.91428241808952471</v>
      </c>
      <c r="AN100" s="13" t="e">
        <f t="shared" ref="AN100" si="1484">AN99/AN95</f>
        <v>#DIV/0!</v>
      </c>
      <c r="AO100" s="160">
        <f t="shared" ref="AO100" si="1485">AO99/AO95</f>
        <v>0.67494160372372169</v>
      </c>
      <c r="AP100" s="13" t="e">
        <f t="shared" ref="AP100" si="1486">AP99/AP95</f>
        <v>#DIV/0!</v>
      </c>
      <c r="AQ100" s="160" t="e">
        <f t="shared" ref="AQ100" si="1487">AQ99/AQ95</f>
        <v>#DIV/0!</v>
      </c>
      <c r="AR100" s="13" t="e">
        <f t="shared" ref="AR100" si="1488">AR99/AR95</f>
        <v>#DIV/0!</v>
      </c>
      <c r="AS100" s="13" t="e">
        <f t="shared" ref="AS100" si="1489">AS99/AS95</f>
        <v>#DIV/0!</v>
      </c>
      <c r="AT100" s="13" t="e">
        <f t="shared" ref="AT100" si="1490">AT99/AT95</f>
        <v>#DIV/0!</v>
      </c>
      <c r="AU100" s="13" t="e">
        <f t="shared" ref="AU100" si="1491">AU99/AU95</f>
        <v>#DIV/0!</v>
      </c>
      <c r="AV100" s="13" t="e">
        <f t="shared" ref="AV100" si="1492">AV99/AV95</f>
        <v>#DIV/0!</v>
      </c>
      <c r="AW100" s="13">
        <f t="shared" ref="AW100" si="1493">AW99/AW95</f>
        <v>-1</v>
      </c>
      <c r="AX100" s="13">
        <f t="shared" ref="AX100" si="1494">AX99/AX95</f>
        <v>-0.36363636363636365</v>
      </c>
      <c r="AY100" s="13">
        <f t="shared" ref="AY100" si="1495">AY99/AY95</f>
        <v>-1</v>
      </c>
      <c r="AZ100" s="13" t="e">
        <f t="shared" ref="AZ100" si="1496">AZ99/AZ95</f>
        <v>#DIV/0!</v>
      </c>
      <c r="BA100" s="13" t="e">
        <f t="shared" ref="BA100" si="1497">BA99/BA95</f>
        <v>#DIV/0!</v>
      </c>
      <c r="BB100" s="160" t="e">
        <f t="shared" ref="BB100" si="1498">BB99/BB95</f>
        <v>#DIV/0!</v>
      </c>
      <c r="BC100" s="13">
        <f t="shared" ref="BC100" si="1499">BC99/BC95</f>
        <v>0.44833333333333331</v>
      </c>
      <c r="BD100" s="13">
        <f t="shared" ref="BD100" si="1500">BD99/BD95</f>
        <v>0.44833333333333331</v>
      </c>
      <c r="BE100" s="13" t="e">
        <f t="shared" ref="BE100" si="1501">BE99/BE95</f>
        <v>#DIV/0!</v>
      </c>
      <c r="BF100" s="13">
        <f t="shared" ref="BF100" si="1502">BF99/BF95</f>
        <v>-0.4728624535315985</v>
      </c>
      <c r="BG100" s="13">
        <f t="shared" ref="BG100:BH100" si="1503">BG99/BG95</f>
        <v>-0.59226430298146659</v>
      </c>
      <c r="BH100" s="160">
        <f t="shared" si="1503"/>
        <v>0.4727656552488983</v>
      </c>
      <c r="BI100" s="160">
        <f t="shared" ref="BI100" si="1504">BI99/BI95</f>
        <v>0.11659239828988383</v>
      </c>
      <c r="BJ100" s="13" t="e">
        <f t="shared" ref="BJ100:BK100" si="1505">BJ99/BJ95</f>
        <v>#DIV/0!</v>
      </c>
      <c r="BK100" s="50">
        <f t="shared" si="1505"/>
        <v>0.11659239828988383</v>
      </c>
      <c r="BM100" s="14">
        <f t="shared" ref="BM100" si="1506">BM99/BM95</f>
        <v>0.4727656552488983</v>
      </c>
    </row>
    <row r="101" spans="1:65">
      <c r="A101" s="128"/>
      <c r="B101" s="5" t="s">
        <v>431</v>
      </c>
      <c r="C101" s="126">
        <f>C96/C93</f>
        <v>0.17594784974477085</v>
      </c>
      <c r="D101" s="126">
        <f t="shared" ref="D101:BK101" si="1507">D96/D93</f>
        <v>0.18577488280469617</v>
      </c>
      <c r="E101" s="126" t="e">
        <f t="shared" si="1507"/>
        <v>#DIV/0!</v>
      </c>
      <c r="F101" s="126">
        <f t="shared" si="1507"/>
        <v>0.15589170881296199</v>
      </c>
      <c r="G101" s="126">
        <f t="shared" si="1507"/>
        <v>0.17533452890053799</v>
      </c>
      <c r="H101" s="126" t="e">
        <f t="shared" si="1507"/>
        <v>#DIV/0!</v>
      </c>
      <c r="I101" s="126" t="e">
        <f t="shared" si="1507"/>
        <v>#DIV/0!</v>
      </c>
      <c r="J101" s="126" t="e">
        <f t="shared" si="1507"/>
        <v>#DIV/0!</v>
      </c>
      <c r="K101" s="126">
        <f t="shared" si="1507"/>
        <v>0.24408468244084683</v>
      </c>
      <c r="L101" s="126">
        <f t="shared" si="1507"/>
        <v>0.17517136329017516</v>
      </c>
      <c r="M101" s="126">
        <f t="shared" si="1507"/>
        <v>0.1584297520661157</v>
      </c>
      <c r="N101" s="126">
        <f t="shared" si="1507"/>
        <v>0.17074609259805368</v>
      </c>
      <c r="O101" s="126">
        <f t="shared" si="1507"/>
        <v>0.21521521521521522</v>
      </c>
      <c r="P101" s="126">
        <f t="shared" si="1507"/>
        <v>0.2367353561577154</v>
      </c>
      <c r="Q101" s="126" t="e">
        <f t="shared" si="1507"/>
        <v>#DIV/0!</v>
      </c>
      <c r="R101" s="126">
        <f t="shared" si="1507"/>
        <v>0.23678756476683938</v>
      </c>
      <c r="S101" s="126">
        <f t="shared" si="1507"/>
        <v>4.4017463543539657E-2</v>
      </c>
      <c r="T101" s="126">
        <f t="shared" si="1507"/>
        <v>0.63197208069812549</v>
      </c>
      <c r="U101" s="126" t="e">
        <f t="shared" si="1507"/>
        <v>#DIV/0!</v>
      </c>
      <c r="V101" s="175" t="e">
        <f t="shared" si="1507"/>
        <v>#DIV/0!</v>
      </c>
      <c r="W101" s="126" t="e">
        <f t="shared" si="1507"/>
        <v>#DIV/0!</v>
      </c>
      <c r="X101" s="126" t="e">
        <f t="shared" si="1507"/>
        <v>#DIV/0!</v>
      </c>
      <c r="Y101" s="126">
        <f t="shared" si="1507"/>
        <v>0.29663608562691129</v>
      </c>
      <c r="Z101" s="126">
        <f t="shared" si="1507"/>
        <v>0.51162790697674421</v>
      </c>
      <c r="AA101" s="126">
        <f t="shared" si="1507"/>
        <v>0.21052631578947367</v>
      </c>
      <c r="AB101" s="126">
        <f t="shared" ref="AB101" si="1508">AB96/AB93</f>
        <v>0</v>
      </c>
      <c r="AC101" s="175" t="e">
        <f t="shared" si="1507"/>
        <v>#DIV/0!</v>
      </c>
      <c r="AD101" s="218">
        <f t="shared" si="1507"/>
        <v>0.27549053714874239</v>
      </c>
      <c r="AE101" s="126">
        <f t="shared" si="1507"/>
        <v>0.27797833935018051</v>
      </c>
      <c r="AF101" s="126">
        <f t="shared" si="1507"/>
        <v>0.28378378378378377</v>
      </c>
      <c r="AG101" s="126">
        <f t="shared" si="1507"/>
        <v>1.130484988452656</v>
      </c>
      <c r="AH101" s="126" t="e">
        <f t="shared" si="1507"/>
        <v>#DIV/0!</v>
      </c>
      <c r="AI101" s="126" t="e">
        <f t="shared" si="1507"/>
        <v>#DIV/0!</v>
      </c>
      <c r="AJ101" s="126">
        <f t="shared" si="1507"/>
        <v>0</v>
      </c>
      <c r="AK101" s="126">
        <f t="shared" si="1507"/>
        <v>6.0728744939271252E-2</v>
      </c>
      <c r="AL101" s="126">
        <f t="shared" si="1507"/>
        <v>0.20245591234006319</v>
      </c>
      <c r="AM101" s="126">
        <f t="shared" si="1507"/>
        <v>-1.835973214065087E-2</v>
      </c>
      <c r="AN101" s="126" t="e">
        <f t="shared" si="1507"/>
        <v>#DIV/0!</v>
      </c>
      <c r="AO101" s="175">
        <f t="shared" si="1507"/>
        <v>0.47917682867344352</v>
      </c>
      <c r="AP101" s="126" t="e">
        <f t="shared" si="1507"/>
        <v>#DIV/0!</v>
      </c>
      <c r="AQ101" s="175" t="e">
        <f t="shared" si="1507"/>
        <v>#DIV/0!</v>
      </c>
      <c r="AR101" s="126" t="e">
        <f t="shared" si="1507"/>
        <v>#DIV/0!</v>
      </c>
      <c r="AS101" s="126" t="e">
        <f t="shared" si="1507"/>
        <v>#DIV/0!</v>
      </c>
      <c r="AT101" s="126" t="e">
        <f t="shared" si="1507"/>
        <v>#DIV/0!</v>
      </c>
      <c r="AU101" s="126" t="e">
        <f t="shared" si="1507"/>
        <v>#DIV/0!</v>
      </c>
      <c r="AV101" s="126" t="e">
        <f t="shared" si="1507"/>
        <v>#DIV/0!</v>
      </c>
      <c r="AW101" s="126">
        <f t="shared" si="1507"/>
        <v>0</v>
      </c>
      <c r="AX101" s="126">
        <f t="shared" si="1507"/>
        <v>5.9071729957805907E-2</v>
      </c>
      <c r="AY101" s="126">
        <f t="shared" si="1507"/>
        <v>0</v>
      </c>
      <c r="AZ101" s="126" t="e">
        <f t="shared" si="1507"/>
        <v>#DIV/0!</v>
      </c>
      <c r="BA101" s="126" t="e">
        <f t="shared" si="1507"/>
        <v>#DIV/0!</v>
      </c>
      <c r="BB101" s="175" t="e">
        <f t="shared" si="1507"/>
        <v>#DIV/0!</v>
      </c>
      <c r="BC101" s="126">
        <f t="shared" si="1507"/>
        <v>0.45782624729993149</v>
      </c>
      <c r="BD101" s="126">
        <f t="shared" si="1507"/>
        <v>0.44823851034198176</v>
      </c>
      <c r="BE101" s="126">
        <f t="shared" si="1507"/>
        <v>0</v>
      </c>
      <c r="BF101" s="126">
        <f t="shared" si="1507"/>
        <v>0.11147798742138365</v>
      </c>
      <c r="BG101" s="126">
        <f t="shared" si="1507"/>
        <v>0.1312694569353165</v>
      </c>
      <c r="BH101" s="175">
        <f t="shared" si="1507"/>
        <v>0.32871852105978555</v>
      </c>
      <c r="BI101" s="175">
        <f t="shared" si="1507"/>
        <v>0.28364977045646761</v>
      </c>
      <c r="BJ101" s="126">
        <f t="shared" si="1507"/>
        <v>0</v>
      </c>
      <c r="BK101" s="126">
        <f t="shared" si="1507"/>
        <v>0.28365118661601252</v>
      </c>
      <c r="BM101" s="126" t="e">
        <f t="shared" ref="BM101" si="1509">BM96/BM93</f>
        <v>#DIV/0!</v>
      </c>
    </row>
    <row r="102" spans="1:65" s="178" customFormat="1">
      <c r="A102" s="128"/>
      <c r="B102" s="5" t="s">
        <v>432</v>
      </c>
      <c r="C102" s="11">
        <f>C93-C96</f>
        <v>305917</v>
      </c>
      <c r="D102" s="11">
        <f t="shared" ref="D102:BK102" si="1510">D93-D96</f>
        <v>175253</v>
      </c>
      <c r="E102" s="11">
        <f t="shared" si="1510"/>
        <v>0</v>
      </c>
      <c r="F102" s="11">
        <f t="shared" si="1510"/>
        <v>36885</v>
      </c>
      <c r="G102" s="11">
        <f t="shared" si="1510"/>
        <v>23912</v>
      </c>
      <c r="H102" s="11">
        <f t="shared" si="1510"/>
        <v>0</v>
      </c>
      <c r="I102" s="11">
        <f t="shared" si="1510"/>
        <v>0</v>
      </c>
      <c r="J102" s="11">
        <f t="shared" si="1510"/>
        <v>0</v>
      </c>
      <c r="K102" s="11">
        <f t="shared" si="1510"/>
        <v>607</v>
      </c>
      <c r="L102" s="11">
        <f t="shared" si="1510"/>
        <v>1083</v>
      </c>
      <c r="M102" s="11">
        <f t="shared" si="1510"/>
        <v>30549</v>
      </c>
      <c r="N102" s="11">
        <f t="shared" si="1510"/>
        <v>5624</v>
      </c>
      <c r="O102" s="11">
        <f t="shared" si="1510"/>
        <v>784</v>
      </c>
      <c r="P102" s="11">
        <f t="shared" si="1510"/>
        <v>4704</v>
      </c>
      <c r="Q102" s="11">
        <f t="shared" si="1510"/>
        <v>0</v>
      </c>
      <c r="R102" s="11">
        <f t="shared" si="1510"/>
        <v>1473</v>
      </c>
      <c r="S102" s="11">
        <f t="shared" si="1510"/>
        <v>946373</v>
      </c>
      <c r="T102" s="11">
        <f t="shared" si="1510"/>
        <v>308877</v>
      </c>
      <c r="U102" s="11">
        <f t="shared" si="1510"/>
        <v>0</v>
      </c>
      <c r="V102" s="11">
        <f t="shared" si="1510"/>
        <v>0</v>
      </c>
      <c r="W102" s="11">
        <f t="shared" si="1510"/>
        <v>-14</v>
      </c>
      <c r="X102" s="11">
        <f t="shared" si="1510"/>
        <v>0</v>
      </c>
      <c r="Y102" s="11">
        <f t="shared" si="1510"/>
        <v>230</v>
      </c>
      <c r="Z102" s="11">
        <f t="shared" si="1510"/>
        <v>42</v>
      </c>
      <c r="AA102" s="11">
        <f t="shared" si="1510"/>
        <v>90</v>
      </c>
      <c r="AB102" s="11">
        <f t="shared" si="1510"/>
        <v>687</v>
      </c>
      <c r="AC102" s="11">
        <f t="shared" si="1510"/>
        <v>0</v>
      </c>
      <c r="AD102" s="11">
        <f t="shared" si="1510"/>
        <v>1843076</v>
      </c>
      <c r="AE102" s="11">
        <f t="shared" si="1510"/>
        <v>200</v>
      </c>
      <c r="AF102" s="11">
        <f t="shared" si="1510"/>
        <v>53</v>
      </c>
      <c r="AG102" s="11">
        <f t="shared" si="1510"/>
        <v>-113</v>
      </c>
      <c r="AH102" s="11">
        <f t="shared" si="1510"/>
        <v>0</v>
      </c>
      <c r="AI102" s="11">
        <f t="shared" si="1510"/>
        <v>0</v>
      </c>
      <c r="AJ102" s="11">
        <f t="shared" si="1510"/>
        <v>16</v>
      </c>
      <c r="AK102" s="11">
        <f t="shared" si="1510"/>
        <v>1392</v>
      </c>
      <c r="AL102" s="11">
        <f t="shared" si="1510"/>
        <v>142368</v>
      </c>
      <c r="AM102" s="11">
        <f t="shared" si="1510"/>
        <v>41212</v>
      </c>
      <c r="AN102" s="11">
        <f t="shared" si="1510"/>
        <v>-4</v>
      </c>
      <c r="AO102" s="11">
        <f t="shared" si="1510"/>
        <v>106775</v>
      </c>
      <c r="AP102" s="11">
        <f t="shared" si="1510"/>
        <v>0</v>
      </c>
      <c r="AQ102" s="11">
        <f t="shared" si="1510"/>
        <v>0</v>
      </c>
      <c r="AR102" s="11">
        <f t="shared" si="1510"/>
        <v>0</v>
      </c>
      <c r="AS102" s="11">
        <f t="shared" si="1510"/>
        <v>0</v>
      </c>
      <c r="AT102" s="11">
        <f t="shared" si="1510"/>
        <v>0</v>
      </c>
      <c r="AU102" s="11">
        <f t="shared" si="1510"/>
        <v>0</v>
      </c>
      <c r="AV102" s="11">
        <f t="shared" si="1510"/>
        <v>0</v>
      </c>
      <c r="AW102" s="11">
        <f t="shared" si="1510"/>
        <v>43</v>
      </c>
      <c r="AX102" s="11">
        <f t="shared" si="1510"/>
        <v>223</v>
      </c>
      <c r="AY102" s="11">
        <f t="shared" si="1510"/>
        <v>372</v>
      </c>
      <c r="AZ102" s="11">
        <f t="shared" si="1510"/>
        <v>0</v>
      </c>
      <c r="BA102" s="11">
        <f t="shared" si="1510"/>
        <v>0</v>
      </c>
      <c r="BB102" s="11">
        <f t="shared" si="1510"/>
        <v>0</v>
      </c>
      <c r="BC102" s="11">
        <f t="shared" si="1510"/>
        <v>10291</v>
      </c>
      <c r="BD102" s="11">
        <f t="shared" si="1510"/>
        <v>10697</v>
      </c>
      <c r="BE102" s="11">
        <f t="shared" si="1510"/>
        <v>26</v>
      </c>
      <c r="BF102" s="11">
        <f t="shared" si="1510"/>
        <v>5651</v>
      </c>
      <c r="BG102" s="11">
        <f t="shared" si="1510"/>
        <v>-10046</v>
      </c>
      <c r="BH102" s="11">
        <f t="shared" si="1510"/>
        <v>309156</v>
      </c>
      <c r="BI102" s="11">
        <f t="shared" si="1510"/>
        <v>2152232</v>
      </c>
      <c r="BJ102" s="11">
        <f t="shared" si="1510"/>
        <v>15</v>
      </c>
      <c r="BK102" s="11">
        <f t="shared" si="1510"/>
        <v>2152217</v>
      </c>
      <c r="BL102" s="11">
        <f t="shared" ref="BL102:BM102" si="1511">BL96-BL93</f>
        <v>852207</v>
      </c>
      <c r="BM102" s="11">
        <f t="shared" si="1511"/>
        <v>151390</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9"/>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9"/>
      <c r="BJ103" s="5"/>
      <c r="BK103" s="48"/>
    </row>
    <row r="104" spans="1:65" s="265" customFormat="1">
      <c r="A104" s="15" t="s">
        <v>40</v>
      </c>
      <c r="B104" s="11" t="s">
        <v>430</v>
      </c>
      <c r="C104" s="266">
        <v>834694</v>
      </c>
      <c r="D104" s="120">
        <v>483870</v>
      </c>
      <c r="E104" s="120">
        <v>0</v>
      </c>
      <c r="F104" s="120">
        <v>100458</v>
      </c>
      <c r="G104" s="120">
        <v>57914</v>
      </c>
      <c r="H104" s="120">
        <v>0</v>
      </c>
      <c r="I104" s="120">
        <v>0</v>
      </c>
      <c r="J104" s="120">
        <v>0</v>
      </c>
      <c r="K104" s="120">
        <v>0</v>
      </c>
      <c r="L104" s="120">
        <v>667</v>
      </c>
      <c r="M104" s="120">
        <v>94022</v>
      </c>
      <c r="N104" s="120">
        <v>934</v>
      </c>
      <c r="O104" s="120">
        <v>6917</v>
      </c>
      <c r="P104" s="120">
        <v>87093</v>
      </c>
      <c r="Q104" s="120">
        <v>0</v>
      </c>
      <c r="R104" s="120">
        <v>2871</v>
      </c>
      <c r="S104" s="120">
        <v>0</v>
      </c>
      <c r="T104" s="120">
        <v>0</v>
      </c>
      <c r="U104" s="120">
        <v>0</v>
      </c>
      <c r="V104" s="267">
        <v>0</v>
      </c>
      <c r="W104" s="120">
        <v>0</v>
      </c>
      <c r="X104" s="120">
        <v>0</v>
      </c>
      <c r="Y104" s="120">
        <v>2795</v>
      </c>
      <c r="Z104" s="120">
        <v>879</v>
      </c>
      <c r="AA104" s="120">
        <v>932</v>
      </c>
      <c r="AB104" s="120">
        <v>221</v>
      </c>
      <c r="AC104" s="267">
        <v>0</v>
      </c>
      <c r="AD104" s="121">
        <f t="shared" ref="AD104" si="1512">SUM(C104:AC104)</f>
        <v>1674267</v>
      </c>
      <c r="AE104" s="120">
        <v>3083</v>
      </c>
      <c r="AF104" s="120">
        <v>287</v>
      </c>
      <c r="AG104" s="120">
        <v>53</v>
      </c>
      <c r="AH104" s="120">
        <v>0</v>
      </c>
      <c r="AI104" s="120">
        <v>0</v>
      </c>
      <c r="AJ104" s="120">
        <v>151</v>
      </c>
      <c r="AK104" s="120">
        <v>2704</v>
      </c>
      <c r="AL104" s="120">
        <v>6904</v>
      </c>
      <c r="AM104" s="120">
        <v>133</v>
      </c>
      <c r="AN104" s="120">
        <v>405</v>
      </c>
      <c r="AO104" s="267">
        <v>69021</v>
      </c>
      <c r="AP104" s="120">
        <v>162070</v>
      </c>
      <c r="AQ104" s="267">
        <v>0</v>
      </c>
      <c r="AR104" s="120">
        <v>0</v>
      </c>
      <c r="AS104" s="120">
        <v>0</v>
      </c>
      <c r="AT104" s="120">
        <v>0</v>
      </c>
      <c r="AU104" s="120">
        <v>0</v>
      </c>
      <c r="AV104" s="120">
        <v>0</v>
      </c>
      <c r="AW104" s="120">
        <v>1534</v>
      </c>
      <c r="AX104" s="120">
        <v>1020</v>
      </c>
      <c r="AY104" s="120">
        <v>61</v>
      </c>
      <c r="AZ104" s="120">
        <v>0</v>
      </c>
      <c r="BA104" s="120">
        <v>0</v>
      </c>
      <c r="BB104" s="267">
        <v>0</v>
      </c>
      <c r="BC104" s="120">
        <v>1349</v>
      </c>
      <c r="BD104" s="120">
        <v>1379</v>
      </c>
      <c r="BE104" s="120">
        <v>22</v>
      </c>
      <c r="BF104" s="120">
        <v>2122</v>
      </c>
      <c r="BG104" s="269">
        <v>794532</v>
      </c>
      <c r="BH104" s="120">
        <f t="shared" ref="BH104" si="1513">SUM(AE104:BG104)</f>
        <v>1046830</v>
      </c>
      <c r="BI104" s="125">
        <f t="shared" ref="BI104" si="1514">AD104+BH104</f>
        <v>2721097</v>
      </c>
      <c r="BJ104" s="268">
        <v>0</v>
      </c>
      <c r="BK104" s="124">
        <f t="shared" ref="BK104" si="1515">BI104-BJ104</f>
        <v>2721097</v>
      </c>
    </row>
    <row r="105" spans="1:65" s="41" customFormat="1">
      <c r="A105" s="134" t="s">
        <v>40</v>
      </c>
      <c r="B105" s="210" t="s">
        <v>424</v>
      </c>
      <c r="C105" s="266">
        <v>158592</v>
      </c>
      <c r="D105" s="120">
        <v>91935</v>
      </c>
      <c r="E105" s="120">
        <v>0</v>
      </c>
      <c r="F105" s="120">
        <v>19087</v>
      </c>
      <c r="G105" s="120">
        <v>11004</v>
      </c>
      <c r="H105" s="120">
        <v>0</v>
      </c>
      <c r="I105" s="120">
        <v>0</v>
      </c>
      <c r="J105" s="120">
        <v>0</v>
      </c>
      <c r="K105" s="120">
        <v>0</v>
      </c>
      <c r="L105" s="120">
        <v>127</v>
      </c>
      <c r="M105" s="120">
        <v>17864</v>
      </c>
      <c r="N105" s="120">
        <v>177</v>
      </c>
      <c r="O105" s="120">
        <v>1314</v>
      </c>
      <c r="P105" s="120">
        <v>16548</v>
      </c>
      <c r="Q105" s="120">
        <v>0</v>
      </c>
      <c r="R105" s="120">
        <v>545</v>
      </c>
      <c r="S105" s="120">
        <v>0</v>
      </c>
      <c r="T105" s="120">
        <v>0</v>
      </c>
      <c r="U105" s="120">
        <v>0</v>
      </c>
      <c r="V105" s="267">
        <v>0</v>
      </c>
      <c r="W105" s="120">
        <v>0</v>
      </c>
      <c r="X105" s="120">
        <v>0</v>
      </c>
      <c r="Y105" s="120">
        <v>531</v>
      </c>
      <c r="Z105" s="120">
        <v>167</v>
      </c>
      <c r="AA105" s="120">
        <v>177</v>
      </c>
      <c r="AB105" s="120">
        <v>42</v>
      </c>
      <c r="AC105" s="267">
        <v>0</v>
      </c>
      <c r="AD105" s="121">
        <f t="shared" ref="AD105" si="1516">SUM(C105:AC105)</f>
        <v>318110</v>
      </c>
      <c r="AE105" s="120">
        <v>740</v>
      </c>
      <c r="AF105" s="120">
        <v>69</v>
      </c>
      <c r="AG105" s="120">
        <v>13</v>
      </c>
      <c r="AH105" s="120">
        <v>0</v>
      </c>
      <c r="AI105" s="120">
        <v>0</v>
      </c>
      <c r="AJ105" s="120">
        <v>36</v>
      </c>
      <c r="AK105" s="120">
        <v>649</v>
      </c>
      <c r="AL105" s="120">
        <v>1657</v>
      </c>
      <c r="AM105" s="120">
        <v>32</v>
      </c>
      <c r="AN105" s="120">
        <v>97</v>
      </c>
      <c r="AO105" s="267">
        <v>16565</v>
      </c>
      <c r="AP105" s="120">
        <v>38897</v>
      </c>
      <c r="AQ105" s="267">
        <v>0</v>
      </c>
      <c r="AR105" s="120">
        <v>0</v>
      </c>
      <c r="AS105" s="120">
        <v>0</v>
      </c>
      <c r="AT105" s="120">
        <v>0</v>
      </c>
      <c r="AU105" s="120">
        <v>0</v>
      </c>
      <c r="AV105" s="120">
        <v>0</v>
      </c>
      <c r="AW105" s="120">
        <v>0</v>
      </c>
      <c r="AX105" s="120">
        <v>245</v>
      </c>
      <c r="AY105" s="120">
        <v>0</v>
      </c>
      <c r="AZ105" s="120">
        <v>0</v>
      </c>
      <c r="BA105" s="120">
        <v>0</v>
      </c>
      <c r="BB105" s="267">
        <v>0</v>
      </c>
      <c r="BC105" s="120">
        <v>324</v>
      </c>
      <c r="BD105" s="120">
        <v>331</v>
      </c>
      <c r="BE105" s="120">
        <v>5</v>
      </c>
      <c r="BF105" s="120">
        <v>509</v>
      </c>
      <c r="BG105" s="269">
        <v>190688</v>
      </c>
      <c r="BH105" s="120">
        <f t="shared" ref="BH105" si="1517">SUM(AE105:BG105)</f>
        <v>250857</v>
      </c>
      <c r="BI105" s="125">
        <f t="shared" ref="BI105" si="1518">AD105+BH105</f>
        <v>568967</v>
      </c>
      <c r="BJ105" s="268">
        <v>0</v>
      </c>
      <c r="BK105" s="124">
        <f t="shared" ref="BK105" si="1519">BI105-BJ105</f>
        <v>568967</v>
      </c>
      <c r="BM105" s="211"/>
    </row>
    <row r="106" spans="1:65">
      <c r="A106" s="128"/>
      <c r="B106" s="12" t="s">
        <v>425</v>
      </c>
      <c r="C106" s="9">
        <f>IF('Upto Month COPPY'!$K$4="",0,'Upto Month COPPY'!$K$4)</f>
        <v>152884</v>
      </c>
      <c r="D106" s="9">
        <f>IF('Upto Month COPPY'!$K$5="",0,'Upto Month COPPY'!$K$5)</f>
        <v>76839</v>
      </c>
      <c r="E106" s="9">
        <f>IF('Upto Month COPPY'!$K$6="",0,'Upto Month COPPY'!$K$6)</f>
        <v>23</v>
      </c>
      <c r="F106" s="9">
        <f>IF('Upto Month COPPY'!$K$7="",0,'Upto Month COPPY'!$K$7)</f>
        <v>15234</v>
      </c>
      <c r="G106" s="9">
        <f>IF('Upto Month COPPY'!$K$8="",0,'Upto Month COPPY'!$K$8)</f>
        <v>9803</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388</v>
      </c>
      <c r="M106" s="9">
        <f>IF('Upto Month COPPY'!$K$14="",0,'Upto Month COPPY'!$K$14)</f>
        <v>11574</v>
      </c>
      <c r="N106" s="9">
        <f>IF('Upto Month COPPY'!$K$15="",0,'Upto Month COPPY'!$K$15)</f>
        <v>76</v>
      </c>
      <c r="O106" s="9">
        <f>IF('Upto Month COPPY'!$K$16="",0,'Upto Month COPPY'!$K$16)</f>
        <v>2198</v>
      </c>
      <c r="P106" s="9">
        <f>IF('Upto Month COPPY'!$K$17="",0,'Upto Month COPPY'!$K$17)</f>
        <v>29464</v>
      </c>
      <c r="Q106" s="9">
        <f>IF('Upto Month COPPY'!$K$18="",0,'Upto Month COPPY'!$K$18)</f>
        <v>0</v>
      </c>
      <c r="R106" s="9">
        <f>IF('Upto Month COPPY'!$K$21="",0,'Upto Month COPPY'!$K$21)</f>
        <v>1116</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7</v>
      </c>
      <c r="X106" s="9">
        <f>IF('Upto Month COPPY'!$K$40="",0,'Upto Month COPPY'!$K$40)</f>
        <v>0</v>
      </c>
      <c r="Y106" s="9">
        <f>IF('Upto Month COPPY'!$K$42="",0,'Upto Month COPPY'!$K$42)</f>
        <v>876</v>
      </c>
      <c r="Z106" s="9">
        <f>IF('Upto Month COPPY'!$K$43="",0,'Upto Month COPPY'!$K$43)</f>
        <v>268</v>
      </c>
      <c r="AA106" s="9">
        <f>IF('Upto Month COPPY'!$K$44="",0,'Upto Month COPPY'!$K$44)</f>
        <v>922</v>
      </c>
      <c r="AB106" s="9">
        <f>IF('Upto Month COPPY'!$K$48="",0,'Upto Month COPPY'!$K$48)</f>
        <v>0</v>
      </c>
      <c r="AC106" s="9">
        <f>IF('Upto Month COPPY'!$K$51="",0,'Upto Month COPPY'!$K$51)</f>
        <v>0</v>
      </c>
      <c r="AD106" s="221">
        <f t="shared" ref="AD106:AD107" si="1520">SUM(C106:AC106)</f>
        <v>301672</v>
      </c>
      <c r="AE106" s="9">
        <f>IF('Upto Month COPPY'!$K$19="",0,'Upto Month COPPY'!$K$19)</f>
        <v>473</v>
      </c>
      <c r="AF106" s="9">
        <f>IF('Upto Month COPPY'!$K$20="",0,'Upto Month COPPY'!$K$20)</f>
        <v>79</v>
      </c>
      <c r="AG106" s="9">
        <f>IF('Upto Month COPPY'!$K$22="",0,'Upto Month COPPY'!$K$22)</f>
        <v>0</v>
      </c>
      <c r="AH106" s="9">
        <f>IF('Upto Month COPPY'!$K$23="",0,'Upto Month COPPY'!$K$23)</f>
        <v>0</v>
      </c>
      <c r="AI106" s="9">
        <f>IF('Upto Month COPPY'!$K$24="",0,'Upto Month COPPY'!$K$24)</f>
        <v>0</v>
      </c>
      <c r="AJ106" s="9">
        <f>IF('Upto Month COPPY'!$K$25="",0,'Upto Month COPPY'!$K$25)</f>
        <v>51</v>
      </c>
      <c r="AK106" s="9">
        <f>IF('Upto Month COPPY'!$K$28="",0,'Upto Month COPPY'!$K$28)</f>
        <v>541</v>
      </c>
      <c r="AL106" s="9">
        <f>IF('Upto Month COPPY'!$K$29="",0,'Upto Month COPPY'!$K$29)</f>
        <v>2405</v>
      </c>
      <c r="AM106" s="9">
        <f>IF('Upto Month COPPY'!$K$31="",0,'Upto Month COPPY'!$K$31)</f>
        <v>0</v>
      </c>
      <c r="AN106" s="9">
        <f>IF('Upto Month COPPY'!$K$32="",0,'Upto Month COPPY'!$K$32)</f>
        <v>68</v>
      </c>
      <c r="AO106" s="9">
        <f>IF('Upto Month COPPY'!$K$33="",0,'Upto Month COPPY'!$K$33)</f>
        <v>5627</v>
      </c>
      <c r="AP106" s="9">
        <f>IF('Upto Month COPPY'!$K$34="",0,'Upto Month COPPY'!$K$34)</f>
        <v>28842</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174</v>
      </c>
      <c r="AX106" s="9">
        <f>IF('Upto Month COPPY'!$K$46="",0,'Upto Month COPPY'!$K$46)</f>
        <v>58</v>
      </c>
      <c r="AY106" s="9">
        <f>IF('Upto Month COPPY'!$K$47="",0,'Upto Month COPPY'!$K$47)</f>
        <v>45</v>
      </c>
      <c r="AZ106" s="9">
        <f>IF('Upto Month COPPY'!$K$49="",0,'Upto Month COPPY'!$K$49)</f>
        <v>0</v>
      </c>
      <c r="BA106" s="9">
        <f>IF('Upto Month COPPY'!$K$50="",0,'Upto Month COPPY'!$K$50)</f>
        <v>0</v>
      </c>
      <c r="BB106" s="9">
        <f>IF('Upto Month COPPY'!$K$52="",0,'Upto Month COPPY'!$K$52)</f>
        <v>0</v>
      </c>
      <c r="BC106" s="9">
        <f>IF('Upto Month COPPY'!$K$53="",0,'Upto Month COPPY'!$K$53)</f>
        <v>116</v>
      </c>
      <c r="BD106" s="9">
        <f>IF('Upto Month COPPY'!$K$54="",0,'Upto Month COPPY'!$K$54)</f>
        <v>116</v>
      </c>
      <c r="BE106" s="9">
        <f>IF('Upto Month COPPY'!$K$55="",0,'Upto Month COPPY'!$K$55)</f>
        <v>0</v>
      </c>
      <c r="BF106" s="9">
        <f>IF('Upto Month COPPY'!$K$56="",0,'Upto Month COPPY'!$K$56)</f>
        <v>315</v>
      </c>
      <c r="BG106" s="9">
        <f>IF('Upto Month COPPY'!$K$58="",0,'Upto Month COPPY'!$K$58)</f>
        <v>324073</v>
      </c>
      <c r="BH106" s="9">
        <f>SUM(AE106:BG106)</f>
        <v>362983</v>
      </c>
      <c r="BI106" s="274">
        <f>AD106+BH106</f>
        <v>664655</v>
      </c>
      <c r="BJ106" s="9">
        <f>IF('Upto Month COPPY'!$K$60="",0,'Upto Month COPPY'!$K$60)</f>
        <v>1</v>
      </c>
      <c r="BK106" s="49">
        <f t="shared" ref="BK106:BK107" si="1521">BI106-BJ106</f>
        <v>664654</v>
      </c>
      <c r="BL106">
        <f>'Upto Month COPPY'!$K$61</f>
        <v>664654</v>
      </c>
      <c r="BM106" s="30">
        <f t="shared" ref="BM106:BM110" si="1522">BK106-AD106</f>
        <v>362982</v>
      </c>
    </row>
    <row r="107" spans="1:65">
      <c r="A107" s="128"/>
      <c r="B107" s="180" t="s">
        <v>426</v>
      </c>
      <c r="C107" s="9">
        <f>IF('Upto Month Current'!$K$4="",0,'Upto Month Current'!$K$4)</f>
        <v>139940</v>
      </c>
      <c r="D107" s="9">
        <f>IF('Upto Month Current'!$K$5="",0,'Upto Month Current'!$K$5)</f>
        <v>82636</v>
      </c>
      <c r="E107" s="9">
        <f>IF('Upto Month Current'!$K$6="",0,'Upto Month Current'!$K$6)</f>
        <v>102</v>
      </c>
      <c r="F107" s="9">
        <f>IF('Upto Month Current'!$K$7="",0,'Upto Month Current'!$K$7)</f>
        <v>15477</v>
      </c>
      <c r="G107" s="9">
        <f>IF('Upto Month Current'!$K$8="",0,'Upto Month Current'!$K$8)</f>
        <v>10121</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26</v>
      </c>
      <c r="M107" s="9">
        <f>IF('Upto Month Current'!$K$14="",0,'Upto Month Current'!$K$14)</f>
        <v>11074</v>
      </c>
      <c r="N107" s="9">
        <f>IF('Upto Month Current'!$K$15="",0,'Upto Month Current'!$K$15)</f>
        <v>59</v>
      </c>
      <c r="O107" s="9">
        <f>IF('Upto Month Current'!$K$16="",0,'Upto Month Current'!$K$16)</f>
        <v>1406</v>
      </c>
      <c r="P107" s="9">
        <f>IF('Upto Month Current'!$K$17="",0,'Upto Month Current'!$K$17)</f>
        <v>20388</v>
      </c>
      <c r="Q107" s="9">
        <f>IF('Upto Month Current'!$K$18="",0,'Upto Month Current'!$K$18)</f>
        <v>0</v>
      </c>
      <c r="R107" s="9">
        <f>IF('Upto Month Current'!$K$21="",0,'Upto Month Current'!$K$21)</f>
        <v>385</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454</v>
      </c>
      <c r="Z107" s="9">
        <f>IF('Upto Month Current'!$K$43="",0,'Upto Month Current'!$K$43)</f>
        <v>140</v>
      </c>
      <c r="AA107" s="9">
        <f>IF('Upto Month Current'!$K$44="",0,'Upto Month Current'!$K$44)</f>
        <v>74</v>
      </c>
      <c r="AB107" s="9">
        <f>IF('Upto Month Current'!$K$48="",0,'Upto Month Current'!$K$48)</f>
        <v>0</v>
      </c>
      <c r="AC107" s="9">
        <f>IF('Upto Month Current'!$K$51="",0,'Upto Month Current'!$K$51)</f>
        <v>0</v>
      </c>
      <c r="AD107" s="221">
        <f t="shared" si="1520"/>
        <v>282282</v>
      </c>
      <c r="AE107" s="9">
        <f>IF('Upto Month Current'!$K$19="",0,'Upto Month Current'!$K$19)</f>
        <v>700</v>
      </c>
      <c r="AF107" s="9">
        <f>IF('Upto Month Current'!$K$20="",0,'Upto Month Current'!$K$20)</f>
        <v>98</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-11</v>
      </c>
      <c r="AL107" s="9">
        <f>IF('Upto Month Current'!$K$29="",0,'Upto Month Current'!$K$29)</f>
        <v>2854</v>
      </c>
      <c r="AM107" s="9">
        <f>IF('Upto Month Current'!$K$31="",0,'Upto Month Current'!$K$31)</f>
        <v>13</v>
      </c>
      <c r="AN107" s="9">
        <f>IF('Upto Month Current'!$K$32="",0,'Upto Month Current'!$K$32)</f>
        <v>102</v>
      </c>
      <c r="AO107" s="9">
        <f>IF('Upto Month Current'!$K$33="",0,'Upto Month Current'!$K$33)</f>
        <v>10854</v>
      </c>
      <c r="AP107" s="9">
        <f>IF('Upto Month Current'!$K$34="",0,'Upto Month Current'!$K$34)</f>
        <v>28513</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30</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269</v>
      </c>
      <c r="BD107" s="9">
        <f>IF('Upto Month Current'!$K$54="",0,'Upto Month Current'!$K$54)</f>
        <v>269</v>
      </c>
      <c r="BE107" s="9">
        <f>IF('Upto Month Current'!$K$55="",0,'Upto Month Current'!$K$55)</f>
        <v>0</v>
      </c>
      <c r="BF107" s="9">
        <f>IF('Upto Month Current'!$K$56="",0,'Upto Month Current'!$K$56)</f>
        <v>63</v>
      </c>
      <c r="BG107" s="9">
        <f>IF('Upto Month Current'!$K$58="",0,'Upto Month Current'!$K$58)</f>
        <v>49473</v>
      </c>
      <c r="BH107" s="9">
        <f>SUM(AE107:BG107)</f>
        <v>93227</v>
      </c>
      <c r="BI107" s="274">
        <f>AD107+BH107</f>
        <v>375509</v>
      </c>
      <c r="BJ107" s="9">
        <f>IF('Upto Month Current'!$K$60="",0,'Upto Month Current'!$K$60)</f>
        <v>0</v>
      </c>
      <c r="BK107" s="49">
        <f t="shared" si="1521"/>
        <v>375509</v>
      </c>
      <c r="BL107">
        <f>'Upto Month Current'!$K$61</f>
        <v>375507</v>
      </c>
      <c r="BM107" s="30">
        <f t="shared" si="1522"/>
        <v>93227</v>
      </c>
    </row>
    <row r="108" spans="1:65">
      <c r="A108" s="128"/>
      <c r="B108" s="5" t="s">
        <v>130</v>
      </c>
      <c r="C108" s="11">
        <f>C107-C105</f>
        <v>-18652</v>
      </c>
      <c r="D108" s="11">
        <f t="shared" ref="D108" si="1523">D107-D105</f>
        <v>-9299</v>
      </c>
      <c r="E108" s="11">
        <f t="shared" ref="E108" si="1524">E107-E105</f>
        <v>102</v>
      </c>
      <c r="F108" s="11">
        <f t="shared" ref="F108" si="1525">F107-F105</f>
        <v>-3610</v>
      </c>
      <c r="G108" s="11">
        <f t="shared" ref="G108" si="1526">G107-G105</f>
        <v>-883</v>
      </c>
      <c r="H108" s="11">
        <f t="shared" ref="H108" si="1527">H107-H105</f>
        <v>0</v>
      </c>
      <c r="I108" s="11">
        <f t="shared" ref="I108" si="1528">I107-I105</f>
        <v>0</v>
      </c>
      <c r="J108" s="11">
        <f t="shared" ref="J108" si="1529">J107-J105</f>
        <v>0</v>
      </c>
      <c r="K108" s="11">
        <f t="shared" ref="K108" si="1530">K107-K105</f>
        <v>0</v>
      </c>
      <c r="L108" s="11">
        <f t="shared" ref="L108" si="1531">L107-L105</f>
        <v>-101</v>
      </c>
      <c r="M108" s="11">
        <f t="shared" ref="M108" si="1532">M107-M105</f>
        <v>-6790</v>
      </c>
      <c r="N108" s="11">
        <f t="shared" ref="N108" si="1533">N107-N105</f>
        <v>-118</v>
      </c>
      <c r="O108" s="11">
        <f t="shared" ref="O108" si="1534">O107-O105</f>
        <v>92</v>
      </c>
      <c r="P108" s="11">
        <f t="shared" ref="P108" si="1535">P107-P105</f>
        <v>3840</v>
      </c>
      <c r="Q108" s="11">
        <f t="shared" ref="Q108" si="1536">Q107-Q105</f>
        <v>0</v>
      </c>
      <c r="R108" s="11">
        <f t="shared" ref="R108" si="1537">R107-R105</f>
        <v>-160</v>
      </c>
      <c r="S108" s="11">
        <f t="shared" ref="S108" si="1538">S107-S105</f>
        <v>0</v>
      </c>
      <c r="T108" s="11">
        <f t="shared" ref="T108:U108" si="1539">T107-T105</f>
        <v>0</v>
      </c>
      <c r="U108" s="11">
        <f t="shared" si="1539"/>
        <v>0</v>
      </c>
      <c r="V108" s="9">
        <f t="shared" ref="V108" si="1540">V107-V105</f>
        <v>0</v>
      </c>
      <c r="W108" s="11">
        <f t="shared" ref="W108" si="1541">W107-W105</f>
        <v>0</v>
      </c>
      <c r="X108" s="11">
        <f t="shared" ref="X108" si="1542">X107-X105</f>
        <v>0</v>
      </c>
      <c r="Y108" s="11">
        <f t="shared" ref="Y108" si="1543">Y107-Y105</f>
        <v>-77</v>
      </c>
      <c r="Z108" s="11">
        <f t="shared" ref="Z108" si="1544">Z107-Z105</f>
        <v>-27</v>
      </c>
      <c r="AA108" s="11">
        <f t="shared" ref="AA108:AD108" si="1545">AA107-AA105</f>
        <v>-103</v>
      </c>
      <c r="AB108" s="11">
        <f t="shared" ref="AB108" si="1546">AB107-AB105</f>
        <v>-42</v>
      </c>
      <c r="AC108" s="9">
        <f t="shared" si="1545"/>
        <v>0</v>
      </c>
      <c r="AD108" s="216">
        <f t="shared" si="1545"/>
        <v>-35828</v>
      </c>
      <c r="AE108" s="11">
        <f t="shared" ref="AE108" si="1547">AE107-AE105</f>
        <v>-40</v>
      </c>
      <c r="AF108" s="11">
        <f t="shared" ref="AF108" si="1548">AF107-AF105</f>
        <v>29</v>
      </c>
      <c r="AG108" s="11">
        <f t="shared" ref="AG108" si="1549">AG107-AG105</f>
        <v>-13</v>
      </c>
      <c r="AH108" s="11">
        <f t="shared" ref="AH108" si="1550">AH107-AH105</f>
        <v>0</v>
      </c>
      <c r="AI108" s="11">
        <f t="shared" ref="AI108" si="1551">AI107-AI105</f>
        <v>0</v>
      </c>
      <c r="AJ108" s="11">
        <f t="shared" ref="AJ108" si="1552">AJ107-AJ105</f>
        <v>-36</v>
      </c>
      <c r="AK108" s="11">
        <f t="shared" ref="AK108" si="1553">AK107-AK105</f>
        <v>-660</v>
      </c>
      <c r="AL108" s="11">
        <f t="shared" ref="AL108" si="1554">AL107-AL105</f>
        <v>1197</v>
      </c>
      <c r="AM108" s="11">
        <f t="shared" ref="AM108" si="1555">AM107-AM105</f>
        <v>-19</v>
      </c>
      <c r="AN108" s="11">
        <f t="shared" ref="AN108" si="1556">AN107-AN105</f>
        <v>5</v>
      </c>
      <c r="AO108" s="9">
        <f t="shared" ref="AO108" si="1557">AO107-AO105</f>
        <v>-5711</v>
      </c>
      <c r="AP108" s="11">
        <f t="shared" ref="AP108" si="1558">AP107-AP105</f>
        <v>-10384</v>
      </c>
      <c r="AQ108" s="9">
        <f t="shared" ref="AQ108" si="1559">AQ107-AQ105</f>
        <v>0</v>
      </c>
      <c r="AR108" s="11">
        <f t="shared" ref="AR108" si="1560">AR107-AR105</f>
        <v>0</v>
      </c>
      <c r="AS108" s="11">
        <f t="shared" ref="AS108" si="1561">AS107-AS105</f>
        <v>0</v>
      </c>
      <c r="AT108" s="11">
        <f t="shared" ref="AT108" si="1562">AT107-AT105</f>
        <v>0</v>
      </c>
      <c r="AU108" s="11">
        <f t="shared" ref="AU108" si="1563">AU107-AU105</f>
        <v>0</v>
      </c>
      <c r="AV108" s="11">
        <f t="shared" ref="AV108" si="1564">AV107-AV105</f>
        <v>0</v>
      </c>
      <c r="AW108" s="11">
        <f t="shared" ref="AW108" si="1565">AW107-AW105</f>
        <v>0</v>
      </c>
      <c r="AX108" s="11">
        <f t="shared" ref="AX108" si="1566">AX107-AX105</f>
        <v>-215</v>
      </c>
      <c r="AY108" s="11">
        <f t="shared" ref="AY108" si="1567">AY107-AY105</f>
        <v>0</v>
      </c>
      <c r="AZ108" s="11">
        <f t="shared" ref="AZ108" si="1568">AZ107-AZ105</f>
        <v>0</v>
      </c>
      <c r="BA108" s="11">
        <f t="shared" ref="BA108" si="1569">BA107-BA105</f>
        <v>0</v>
      </c>
      <c r="BB108" s="9">
        <f t="shared" ref="BB108" si="1570">BB107-BB105</f>
        <v>0</v>
      </c>
      <c r="BC108" s="11">
        <f t="shared" ref="BC108" si="1571">BC107-BC105</f>
        <v>-55</v>
      </c>
      <c r="BD108" s="11">
        <f t="shared" ref="BD108" si="1572">BD107-BD105</f>
        <v>-62</v>
      </c>
      <c r="BE108" s="11">
        <f t="shared" ref="BE108" si="1573">BE107-BE105</f>
        <v>-5</v>
      </c>
      <c r="BF108" s="11">
        <f t="shared" ref="BF108" si="1574">BF107-BF105</f>
        <v>-446</v>
      </c>
      <c r="BG108" s="11">
        <f t="shared" ref="BG108:BH108" si="1575">BG107-BG105</f>
        <v>-141215</v>
      </c>
      <c r="BH108" s="9">
        <f t="shared" si="1575"/>
        <v>-157630</v>
      </c>
      <c r="BI108" s="9">
        <f t="shared" ref="BI108" si="1576">BI107-BI105</f>
        <v>-193458</v>
      </c>
      <c r="BJ108" s="11">
        <f t="shared" ref="BJ108:BK108" si="1577">BJ107-BJ105</f>
        <v>0</v>
      </c>
      <c r="BK108" s="49">
        <f t="shared" si="1577"/>
        <v>-193458</v>
      </c>
      <c r="BM108" s="30">
        <f t="shared" si="1522"/>
        <v>-157630</v>
      </c>
    </row>
    <row r="109" spans="1:65">
      <c r="A109" s="128"/>
      <c r="B109" s="5" t="s">
        <v>131</v>
      </c>
      <c r="C109" s="13">
        <f>C108/C105</f>
        <v>-0.11760996771589992</v>
      </c>
      <c r="D109" s="13">
        <f t="shared" ref="D109" si="1578">D108/D105</f>
        <v>-0.10114754989938543</v>
      </c>
      <c r="E109" s="13" t="e">
        <f t="shared" ref="E109" si="1579">E108/E105</f>
        <v>#DIV/0!</v>
      </c>
      <c r="F109" s="13">
        <f t="shared" ref="F109" si="1580">F108/F105</f>
        <v>-0.18913396552627443</v>
      </c>
      <c r="G109" s="13">
        <f t="shared" ref="G109" si="1581">G108/G105</f>
        <v>-8.0243547800799703E-2</v>
      </c>
      <c r="H109" s="13" t="e">
        <f t="shared" ref="H109" si="1582">H108/H105</f>
        <v>#DIV/0!</v>
      </c>
      <c r="I109" s="13" t="e">
        <f t="shared" ref="I109" si="1583">I108/I105</f>
        <v>#DIV/0!</v>
      </c>
      <c r="J109" s="13" t="e">
        <f t="shared" ref="J109" si="1584">J108/J105</f>
        <v>#DIV/0!</v>
      </c>
      <c r="K109" s="13" t="e">
        <f t="shared" ref="K109" si="1585">K108/K105</f>
        <v>#DIV/0!</v>
      </c>
      <c r="L109" s="13">
        <f t="shared" ref="L109" si="1586">L108/L105</f>
        <v>-0.79527559055118113</v>
      </c>
      <c r="M109" s="13">
        <f t="shared" ref="M109" si="1587">M108/M105</f>
        <v>-0.38009404388714735</v>
      </c>
      <c r="N109" s="13">
        <f t="shared" ref="N109" si="1588">N108/N105</f>
        <v>-0.66666666666666663</v>
      </c>
      <c r="O109" s="13">
        <f t="shared" ref="O109" si="1589">O108/O105</f>
        <v>7.0015220700152203E-2</v>
      </c>
      <c r="P109" s="13">
        <f t="shared" ref="P109" si="1590">P108/P105</f>
        <v>0.23205221174764323</v>
      </c>
      <c r="Q109" s="13" t="e">
        <f t="shared" ref="Q109" si="1591">Q108/Q105</f>
        <v>#DIV/0!</v>
      </c>
      <c r="R109" s="13">
        <f t="shared" ref="R109" si="1592">R108/R105</f>
        <v>-0.29357798165137616</v>
      </c>
      <c r="S109" s="13" t="e">
        <f t="shared" ref="S109" si="1593">S108/S105</f>
        <v>#DIV/0!</v>
      </c>
      <c r="T109" s="13" t="e">
        <f t="shared" ref="T109:U109" si="1594">T108/T105</f>
        <v>#DIV/0!</v>
      </c>
      <c r="U109" s="13" t="e">
        <f t="shared" si="1594"/>
        <v>#DIV/0!</v>
      </c>
      <c r="V109" s="160" t="e">
        <f t="shared" ref="V109" si="1595">V108/V105</f>
        <v>#DIV/0!</v>
      </c>
      <c r="W109" s="13" t="e">
        <f t="shared" ref="W109" si="1596">W108/W105</f>
        <v>#DIV/0!</v>
      </c>
      <c r="X109" s="13" t="e">
        <f t="shared" ref="X109" si="1597">X108/X105</f>
        <v>#DIV/0!</v>
      </c>
      <c r="Y109" s="13">
        <f t="shared" ref="Y109" si="1598">Y108/Y105</f>
        <v>-0.14500941619585686</v>
      </c>
      <c r="Z109" s="13">
        <f t="shared" ref="Z109" si="1599">Z108/Z105</f>
        <v>-0.16167664670658682</v>
      </c>
      <c r="AA109" s="13">
        <f t="shared" ref="AA109:AD109" si="1600">AA108/AA105</f>
        <v>-0.58192090395480223</v>
      </c>
      <c r="AB109" s="13">
        <f t="shared" ref="AB109" si="1601">AB108/AB105</f>
        <v>-1</v>
      </c>
      <c r="AC109" s="160" t="e">
        <f t="shared" si="1600"/>
        <v>#DIV/0!</v>
      </c>
      <c r="AD109" s="217">
        <f t="shared" si="1600"/>
        <v>-0.11262770739681242</v>
      </c>
      <c r="AE109" s="13">
        <f t="shared" ref="AE109" si="1602">AE108/AE105</f>
        <v>-5.4054054054054057E-2</v>
      </c>
      <c r="AF109" s="13">
        <f t="shared" ref="AF109" si="1603">AF108/AF105</f>
        <v>0.42028985507246375</v>
      </c>
      <c r="AG109" s="13">
        <f t="shared" ref="AG109" si="1604">AG108/AG105</f>
        <v>-1</v>
      </c>
      <c r="AH109" s="13" t="e">
        <f t="shared" ref="AH109" si="1605">AH108/AH105</f>
        <v>#DIV/0!</v>
      </c>
      <c r="AI109" s="13" t="e">
        <f t="shared" ref="AI109" si="1606">AI108/AI105</f>
        <v>#DIV/0!</v>
      </c>
      <c r="AJ109" s="13">
        <f t="shared" ref="AJ109" si="1607">AJ108/AJ105</f>
        <v>-1</v>
      </c>
      <c r="AK109" s="13">
        <f t="shared" ref="AK109" si="1608">AK108/AK105</f>
        <v>-1.0169491525423728</v>
      </c>
      <c r="AL109" s="13">
        <f t="shared" ref="AL109" si="1609">AL108/AL105</f>
        <v>0.72238986119493065</v>
      </c>
      <c r="AM109" s="13">
        <f t="shared" ref="AM109" si="1610">AM108/AM105</f>
        <v>-0.59375</v>
      </c>
      <c r="AN109" s="13">
        <f t="shared" ref="AN109" si="1611">AN108/AN105</f>
        <v>5.1546391752577317E-2</v>
      </c>
      <c r="AO109" s="160">
        <f t="shared" ref="AO109" si="1612">AO108/AO105</f>
        <v>-0.3447630546332629</v>
      </c>
      <c r="AP109" s="13">
        <f t="shared" ref="AP109" si="1613">AP108/AP105</f>
        <v>-0.26696146232357248</v>
      </c>
      <c r="AQ109" s="160" t="e">
        <f t="shared" ref="AQ109" si="1614">AQ108/AQ105</f>
        <v>#DIV/0!</v>
      </c>
      <c r="AR109" s="13" t="e">
        <f t="shared" ref="AR109" si="1615">AR108/AR105</f>
        <v>#DIV/0!</v>
      </c>
      <c r="AS109" s="13" t="e">
        <f t="shared" ref="AS109" si="1616">AS108/AS105</f>
        <v>#DIV/0!</v>
      </c>
      <c r="AT109" s="13" t="e">
        <f t="shared" ref="AT109" si="1617">AT108/AT105</f>
        <v>#DIV/0!</v>
      </c>
      <c r="AU109" s="13" t="e">
        <f t="shared" ref="AU109" si="1618">AU108/AU105</f>
        <v>#DIV/0!</v>
      </c>
      <c r="AV109" s="13" t="e">
        <f t="shared" ref="AV109" si="1619">AV108/AV105</f>
        <v>#DIV/0!</v>
      </c>
      <c r="AW109" s="13" t="e">
        <f t="shared" ref="AW109" si="1620">AW108/AW105</f>
        <v>#DIV/0!</v>
      </c>
      <c r="AX109" s="13">
        <f t="shared" ref="AX109" si="1621">AX108/AX105</f>
        <v>-0.87755102040816324</v>
      </c>
      <c r="AY109" s="13" t="e">
        <f t="shared" ref="AY109" si="1622">AY108/AY105</f>
        <v>#DIV/0!</v>
      </c>
      <c r="AZ109" s="13" t="e">
        <f t="shared" ref="AZ109" si="1623">AZ108/AZ105</f>
        <v>#DIV/0!</v>
      </c>
      <c r="BA109" s="13" t="e">
        <f t="shared" ref="BA109" si="1624">BA108/BA105</f>
        <v>#DIV/0!</v>
      </c>
      <c r="BB109" s="160" t="e">
        <f t="shared" ref="BB109" si="1625">BB108/BB105</f>
        <v>#DIV/0!</v>
      </c>
      <c r="BC109" s="13">
        <f t="shared" ref="BC109" si="1626">BC108/BC105</f>
        <v>-0.16975308641975309</v>
      </c>
      <c r="BD109" s="13">
        <f t="shared" ref="BD109" si="1627">BD108/BD105</f>
        <v>-0.18731117824773413</v>
      </c>
      <c r="BE109" s="13">
        <f t="shared" ref="BE109" si="1628">BE108/BE105</f>
        <v>-1</v>
      </c>
      <c r="BF109" s="13">
        <f t="shared" ref="BF109" si="1629">BF108/BF105</f>
        <v>-0.87622789783889976</v>
      </c>
      <c r="BG109" s="13">
        <f t="shared" ref="BG109:BH109" si="1630">BG108/BG105</f>
        <v>-0.74055525255915422</v>
      </c>
      <c r="BH109" s="160">
        <f t="shared" si="1630"/>
        <v>-0.62836596148403279</v>
      </c>
      <c r="BI109" s="160">
        <f t="shared" ref="BI109" si="1631">BI108/BI105</f>
        <v>-0.34001620480625416</v>
      </c>
      <c r="BJ109" s="13" t="e">
        <f t="shared" ref="BJ109:BK110" si="1632">BJ108/BJ105</f>
        <v>#DIV/0!</v>
      </c>
      <c r="BK109" s="50">
        <f t="shared" si="1632"/>
        <v>-0.34001620480625416</v>
      </c>
      <c r="BM109" s="160" t="e">
        <f t="shared" ref="BM109" si="1633">BM108/BM105</f>
        <v>#DIV/0!</v>
      </c>
    </row>
    <row r="110" spans="1:65">
      <c r="A110" s="128"/>
      <c r="B110" s="5" t="s">
        <v>132</v>
      </c>
      <c r="C110" s="11">
        <f>C107-C106</f>
        <v>-12944</v>
      </c>
      <c r="D110" s="11">
        <f t="shared" ref="D110:BK110" si="1634">D107-D106</f>
        <v>5797</v>
      </c>
      <c r="E110" s="11">
        <f t="shared" si="1634"/>
        <v>79</v>
      </c>
      <c r="F110" s="11">
        <f t="shared" si="1634"/>
        <v>243</v>
      </c>
      <c r="G110" s="11">
        <f t="shared" si="1634"/>
        <v>318</v>
      </c>
      <c r="H110" s="11">
        <f t="shared" si="1634"/>
        <v>0</v>
      </c>
      <c r="I110" s="11">
        <f t="shared" si="1634"/>
        <v>0</v>
      </c>
      <c r="J110" s="11">
        <f t="shared" si="1634"/>
        <v>0</v>
      </c>
      <c r="K110" s="11">
        <f t="shared" si="1634"/>
        <v>0</v>
      </c>
      <c r="L110" s="11">
        <f t="shared" si="1634"/>
        <v>-362</v>
      </c>
      <c r="M110" s="11">
        <f t="shared" si="1634"/>
        <v>-500</v>
      </c>
      <c r="N110" s="11">
        <f t="shared" si="1634"/>
        <v>-17</v>
      </c>
      <c r="O110" s="11">
        <f t="shared" si="1634"/>
        <v>-792</v>
      </c>
      <c r="P110" s="11">
        <f t="shared" si="1634"/>
        <v>-9076</v>
      </c>
      <c r="Q110" s="11">
        <f t="shared" si="1634"/>
        <v>0</v>
      </c>
      <c r="R110" s="11">
        <f t="shared" si="1634"/>
        <v>-731</v>
      </c>
      <c r="S110" s="11">
        <f t="shared" si="1634"/>
        <v>0</v>
      </c>
      <c r="T110" s="11">
        <f t="shared" si="1634"/>
        <v>0</v>
      </c>
      <c r="U110" s="11">
        <f t="shared" ref="U110" si="1635">U107-U106</f>
        <v>0</v>
      </c>
      <c r="V110" s="9">
        <f t="shared" si="1634"/>
        <v>0</v>
      </c>
      <c r="W110" s="11">
        <f t="shared" si="1634"/>
        <v>-7</v>
      </c>
      <c r="X110" s="11">
        <f t="shared" si="1634"/>
        <v>0</v>
      </c>
      <c r="Y110" s="11">
        <f t="shared" si="1634"/>
        <v>-422</v>
      </c>
      <c r="Z110" s="11">
        <f t="shared" si="1634"/>
        <v>-128</v>
      </c>
      <c r="AA110" s="11">
        <f t="shared" si="1634"/>
        <v>-848</v>
      </c>
      <c r="AB110" s="11">
        <f t="shared" ref="AB110" si="1636">AB107-AB106</f>
        <v>0</v>
      </c>
      <c r="AC110" s="9">
        <f t="shared" ref="AC110:AD110" si="1637">AC107-AC106</f>
        <v>0</v>
      </c>
      <c r="AD110" s="216">
        <f t="shared" si="1637"/>
        <v>-19390</v>
      </c>
      <c r="AE110" s="11">
        <f t="shared" si="1634"/>
        <v>227</v>
      </c>
      <c r="AF110" s="11">
        <f t="shared" si="1634"/>
        <v>19</v>
      </c>
      <c r="AG110" s="11">
        <f t="shared" si="1634"/>
        <v>0</v>
      </c>
      <c r="AH110" s="11">
        <f t="shared" si="1634"/>
        <v>0</v>
      </c>
      <c r="AI110" s="11">
        <f t="shared" si="1634"/>
        <v>0</v>
      </c>
      <c r="AJ110" s="11">
        <f t="shared" si="1634"/>
        <v>-51</v>
      </c>
      <c r="AK110" s="11">
        <f t="shared" si="1634"/>
        <v>-552</v>
      </c>
      <c r="AL110" s="11">
        <f t="shared" si="1634"/>
        <v>449</v>
      </c>
      <c r="AM110" s="11">
        <f t="shared" si="1634"/>
        <v>13</v>
      </c>
      <c r="AN110" s="11">
        <f t="shared" si="1634"/>
        <v>34</v>
      </c>
      <c r="AO110" s="9">
        <f t="shared" si="1634"/>
        <v>5227</v>
      </c>
      <c r="AP110" s="11">
        <f t="shared" si="1634"/>
        <v>-329</v>
      </c>
      <c r="AQ110" s="9">
        <f t="shared" si="1634"/>
        <v>0</v>
      </c>
      <c r="AR110" s="11">
        <f t="shared" si="1634"/>
        <v>0</v>
      </c>
      <c r="AS110" s="11">
        <f t="shared" si="1634"/>
        <v>0</v>
      </c>
      <c r="AT110" s="11">
        <f t="shared" si="1634"/>
        <v>0</v>
      </c>
      <c r="AU110" s="11">
        <f t="shared" si="1634"/>
        <v>0</v>
      </c>
      <c r="AV110" s="11">
        <f t="shared" si="1634"/>
        <v>0</v>
      </c>
      <c r="AW110" s="11">
        <f t="shared" si="1634"/>
        <v>-174</v>
      </c>
      <c r="AX110" s="11">
        <f t="shared" si="1634"/>
        <v>-28</v>
      </c>
      <c r="AY110" s="11">
        <f t="shared" si="1634"/>
        <v>-45</v>
      </c>
      <c r="AZ110" s="11">
        <f t="shared" si="1634"/>
        <v>0</v>
      </c>
      <c r="BA110" s="11">
        <f t="shared" si="1634"/>
        <v>0</v>
      </c>
      <c r="BB110" s="9">
        <f t="shared" si="1634"/>
        <v>0</v>
      </c>
      <c r="BC110" s="11">
        <f t="shared" si="1634"/>
        <v>153</v>
      </c>
      <c r="BD110" s="11">
        <f t="shared" si="1634"/>
        <v>153</v>
      </c>
      <c r="BE110" s="11">
        <f t="shared" si="1634"/>
        <v>0</v>
      </c>
      <c r="BF110" s="11">
        <f t="shared" si="1634"/>
        <v>-252</v>
      </c>
      <c r="BG110" s="11">
        <f t="shared" si="1634"/>
        <v>-274600</v>
      </c>
      <c r="BH110" s="9">
        <f t="shared" si="1634"/>
        <v>-269756</v>
      </c>
      <c r="BI110" s="9">
        <f t="shared" si="1634"/>
        <v>-289146</v>
      </c>
      <c r="BJ110" s="13" t="e">
        <f t="shared" si="1632"/>
        <v>#DIV/0!</v>
      </c>
      <c r="BK110" s="49">
        <f t="shared" si="1634"/>
        <v>-289145</v>
      </c>
      <c r="BM110" s="30">
        <f t="shared" si="1522"/>
        <v>-269755</v>
      </c>
    </row>
    <row r="111" spans="1:65">
      <c r="A111" s="128"/>
      <c r="B111" s="5" t="s">
        <v>133</v>
      </c>
      <c r="C111" s="13">
        <f>C110/C106</f>
        <v>-8.4665498024646138E-2</v>
      </c>
      <c r="D111" s="13">
        <f t="shared" ref="D111" si="1638">D110/D106</f>
        <v>7.5443459701453691E-2</v>
      </c>
      <c r="E111" s="13">
        <f t="shared" ref="E111" si="1639">E110/E106</f>
        <v>3.4347826086956523</v>
      </c>
      <c r="F111" s="13">
        <f t="shared" ref="F111" si="1640">F110/F106</f>
        <v>1.5951161874753841E-2</v>
      </c>
      <c r="G111" s="13">
        <f t="shared" ref="G111" si="1641">G110/G106</f>
        <v>3.2439049270631438E-2</v>
      </c>
      <c r="H111" s="13" t="e">
        <f t="shared" ref="H111" si="1642">H110/H106</f>
        <v>#DIV/0!</v>
      </c>
      <c r="I111" s="13" t="e">
        <f t="shared" ref="I111" si="1643">I110/I106</f>
        <v>#DIV/0!</v>
      </c>
      <c r="J111" s="13" t="e">
        <f t="shared" ref="J111" si="1644">J110/J106</f>
        <v>#DIV/0!</v>
      </c>
      <c r="K111" s="13" t="e">
        <f t="shared" ref="K111" si="1645">K110/K106</f>
        <v>#DIV/0!</v>
      </c>
      <c r="L111" s="13">
        <f t="shared" ref="L111" si="1646">L110/L106</f>
        <v>-0.9329896907216495</v>
      </c>
      <c r="M111" s="13">
        <f t="shared" ref="M111" si="1647">M110/M106</f>
        <v>-4.3200276481769481E-2</v>
      </c>
      <c r="N111" s="13">
        <f t="shared" ref="N111" si="1648">N110/N106</f>
        <v>-0.22368421052631579</v>
      </c>
      <c r="O111" s="13">
        <f t="shared" ref="O111" si="1649">O110/O106</f>
        <v>-0.36032757051865333</v>
      </c>
      <c r="P111" s="13">
        <f t="shared" ref="P111" si="1650">P110/P106</f>
        <v>-0.30803692641868041</v>
      </c>
      <c r="Q111" s="13" t="e">
        <f t="shared" ref="Q111" si="1651">Q110/Q106</f>
        <v>#DIV/0!</v>
      </c>
      <c r="R111" s="13">
        <f t="shared" ref="R111" si="1652">R110/R106</f>
        <v>-0.65501792114695345</v>
      </c>
      <c r="S111" s="13" t="e">
        <f t="shared" ref="S111" si="1653">S110/S106</f>
        <v>#DIV/0!</v>
      </c>
      <c r="T111" s="13" t="e">
        <f t="shared" ref="T111:U111" si="1654">T110/T106</f>
        <v>#DIV/0!</v>
      </c>
      <c r="U111" s="13" t="e">
        <f t="shared" si="1654"/>
        <v>#DIV/0!</v>
      </c>
      <c r="V111" s="160" t="e">
        <f t="shared" ref="V111" si="1655">V110/V106</f>
        <v>#DIV/0!</v>
      </c>
      <c r="W111" s="13">
        <f t="shared" ref="W111" si="1656">W110/W106</f>
        <v>-1</v>
      </c>
      <c r="X111" s="13" t="e">
        <f t="shared" ref="X111" si="1657">X110/X106</f>
        <v>#DIV/0!</v>
      </c>
      <c r="Y111" s="13">
        <f t="shared" ref="Y111" si="1658">Y110/Y106</f>
        <v>-0.4817351598173516</v>
      </c>
      <c r="Z111" s="13">
        <f t="shared" ref="Z111" si="1659">Z110/Z106</f>
        <v>-0.47761194029850745</v>
      </c>
      <c r="AA111" s="13">
        <f t="shared" ref="AA111:AD111" si="1660">AA110/AA106</f>
        <v>-0.91973969631236441</v>
      </c>
      <c r="AB111" s="13" t="e">
        <f t="shared" ref="AB111" si="1661">AB110/AB106</f>
        <v>#DIV/0!</v>
      </c>
      <c r="AC111" s="160" t="e">
        <f t="shared" si="1660"/>
        <v>#DIV/0!</v>
      </c>
      <c r="AD111" s="217">
        <f t="shared" si="1660"/>
        <v>-6.4275106738444401E-2</v>
      </c>
      <c r="AE111" s="13">
        <f t="shared" ref="AE111" si="1662">AE110/AE106</f>
        <v>0.47991543340380549</v>
      </c>
      <c r="AF111" s="13">
        <f t="shared" ref="AF111" si="1663">AF110/AF106</f>
        <v>0.24050632911392406</v>
      </c>
      <c r="AG111" s="13" t="e">
        <f t="shared" ref="AG111" si="1664">AG110/AG106</f>
        <v>#DIV/0!</v>
      </c>
      <c r="AH111" s="13" t="e">
        <f t="shared" ref="AH111" si="1665">AH110/AH106</f>
        <v>#DIV/0!</v>
      </c>
      <c r="AI111" s="13" t="e">
        <f t="shared" ref="AI111" si="1666">AI110/AI106</f>
        <v>#DIV/0!</v>
      </c>
      <c r="AJ111" s="13">
        <f t="shared" ref="AJ111" si="1667">AJ110/AJ106</f>
        <v>-1</v>
      </c>
      <c r="AK111" s="13">
        <f t="shared" ref="AK111" si="1668">AK110/AK106</f>
        <v>-1.0203327171903882</v>
      </c>
      <c r="AL111" s="13">
        <f t="shared" ref="AL111" si="1669">AL110/AL106</f>
        <v>0.1866943866943867</v>
      </c>
      <c r="AM111" s="13" t="e">
        <f t="shared" ref="AM111" si="1670">AM110/AM106</f>
        <v>#DIV/0!</v>
      </c>
      <c r="AN111" s="13">
        <f t="shared" ref="AN111" si="1671">AN110/AN106</f>
        <v>0.5</v>
      </c>
      <c r="AO111" s="160">
        <f t="shared" ref="AO111" si="1672">AO110/AO106</f>
        <v>0.9289141638528523</v>
      </c>
      <c r="AP111" s="13">
        <f t="shared" ref="AP111" si="1673">AP110/AP106</f>
        <v>-1.1406975937868387E-2</v>
      </c>
      <c r="AQ111" s="160" t="e">
        <f t="shared" ref="AQ111" si="1674">AQ110/AQ106</f>
        <v>#DIV/0!</v>
      </c>
      <c r="AR111" s="13" t="e">
        <f t="shared" ref="AR111" si="1675">AR110/AR106</f>
        <v>#DIV/0!</v>
      </c>
      <c r="AS111" s="13" t="e">
        <f t="shared" ref="AS111" si="1676">AS110/AS106</f>
        <v>#DIV/0!</v>
      </c>
      <c r="AT111" s="13" t="e">
        <f t="shared" ref="AT111" si="1677">AT110/AT106</f>
        <v>#DIV/0!</v>
      </c>
      <c r="AU111" s="13" t="e">
        <f t="shared" ref="AU111" si="1678">AU110/AU106</f>
        <v>#DIV/0!</v>
      </c>
      <c r="AV111" s="13" t="e">
        <f t="shared" ref="AV111" si="1679">AV110/AV106</f>
        <v>#DIV/0!</v>
      </c>
      <c r="AW111" s="13">
        <f t="shared" ref="AW111" si="1680">AW110/AW106</f>
        <v>-1</v>
      </c>
      <c r="AX111" s="13">
        <f t="shared" ref="AX111" si="1681">AX110/AX106</f>
        <v>-0.48275862068965519</v>
      </c>
      <c r="AY111" s="13">
        <f t="shared" ref="AY111" si="1682">AY110/AY106</f>
        <v>-1</v>
      </c>
      <c r="AZ111" s="13" t="e">
        <f t="shared" ref="AZ111" si="1683">AZ110/AZ106</f>
        <v>#DIV/0!</v>
      </c>
      <c r="BA111" s="13" t="e">
        <f t="shared" ref="BA111" si="1684">BA110/BA106</f>
        <v>#DIV/0!</v>
      </c>
      <c r="BB111" s="160" t="e">
        <f t="shared" ref="BB111" si="1685">BB110/BB106</f>
        <v>#DIV/0!</v>
      </c>
      <c r="BC111" s="13">
        <f t="shared" ref="BC111" si="1686">BC110/BC106</f>
        <v>1.3189655172413792</v>
      </c>
      <c r="BD111" s="13">
        <f t="shared" ref="BD111" si="1687">BD110/BD106</f>
        <v>1.3189655172413792</v>
      </c>
      <c r="BE111" s="13" t="e">
        <f t="shared" ref="BE111" si="1688">BE110/BE106</f>
        <v>#DIV/0!</v>
      </c>
      <c r="BF111" s="13">
        <f t="shared" ref="BF111" si="1689">BF110/BF106</f>
        <v>-0.8</v>
      </c>
      <c r="BG111" s="13">
        <f t="shared" ref="BG111:BH111" si="1690">BG110/BG106</f>
        <v>-0.8473399511838382</v>
      </c>
      <c r="BH111" s="160">
        <f t="shared" si="1690"/>
        <v>-0.74316428042084615</v>
      </c>
      <c r="BI111" s="160">
        <f t="shared" ref="BI111" si="1691">BI110/BI106</f>
        <v>-0.43503170817943143</v>
      </c>
      <c r="BJ111" s="13" t="e">
        <f t="shared" ref="BJ111:BK111" si="1692">BJ110/BJ106</f>
        <v>#DIV/0!</v>
      </c>
      <c r="BK111" s="50">
        <f t="shared" si="1692"/>
        <v>-0.4350308581607874</v>
      </c>
      <c r="BM111" s="14">
        <f t="shared" ref="BM111" si="1693">BM110/BM106</f>
        <v>-0.74316357284934242</v>
      </c>
    </row>
    <row r="112" spans="1:65">
      <c r="A112" s="128"/>
      <c r="B112" s="5" t="s">
        <v>431</v>
      </c>
      <c r="C112" s="126">
        <f>C107/C104</f>
        <v>0.16765425413385024</v>
      </c>
      <c r="D112" s="126">
        <f t="shared" ref="D112:BK112" si="1694">D107/D104</f>
        <v>0.17078140822948312</v>
      </c>
      <c r="E112" s="126" t="e">
        <f t="shared" si="1694"/>
        <v>#DIV/0!</v>
      </c>
      <c r="F112" s="126">
        <f t="shared" si="1694"/>
        <v>0.15406438511616796</v>
      </c>
      <c r="G112" s="126">
        <f t="shared" si="1694"/>
        <v>0.17475912560002763</v>
      </c>
      <c r="H112" s="126" t="e">
        <f t="shared" si="1694"/>
        <v>#DIV/0!</v>
      </c>
      <c r="I112" s="126" t="e">
        <f t="shared" si="1694"/>
        <v>#DIV/0!</v>
      </c>
      <c r="J112" s="126" t="e">
        <f t="shared" si="1694"/>
        <v>#DIV/0!</v>
      </c>
      <c r="K112" s="126" t="e">
        <f t="shared" si="1694"/>
        <v>#DIV/0!</v>
      </c>
      <c r="L112" s="126">
        <f t="shared" si="1694"/>
        <v>3.8980509745127435E-2</v>
      </c>
      <c r="M112" s="126">
        <f t="shared" si="1694"/>
        <v>0.11778094488523963</v>
      </c>
      <c r="N112" s="126">
        <f t="shared" si="1694"/>
        <v>6.3169164882226986E-2</v>
      </c>
      <c r="O112" s="126">
        <f t="shared" si="1694"/>
        <v>0.20326731241867863</v>
      </c>
      <c r="P112" s="126">
        <f t="shared" si="1694"/>
        <v>0.23409458854328133</v>
      </c>
      <c r="Q112" s="126" t="e">
        <f t="shared" si="1694"/>
        <v>#DIV/0!</v>
      </c>
      <c r="R112" s="126">
        <f t="shared" si="1694"/>
        <v>0.13409961685823754</v>
      </c>
      <c r="S112" s="126" t="e">
        <f t="shared" si="1694"/>
        <v>#DIV/0!</v>
      </c>
      <c r="T112" s="126" t="e">
        <f t="shared" si="1694"/>
        <v>#DIV/0!</v>
      </c>
      <c r="U112" s="126" t="e">
        <f t="shared" si="1694"/>
        <v>#DIV/0!</v>
      </c>
      <c r="V112" s="175" t="e">
        <f t="shared" si="1694"/>
        <v>#DIV/0!</v>
      </c>
      <c r="W112" s="126" t="e">
        <f t="shared" si="1694"/>
        <v>#DIV/0!</v>
      </c>
      <c r="X112" s="126" t="e">
        <f t="shared" si="1694"/>
        <v>#DIV/0!</v>
      </c>
      <c r="Y112" s="126">
        <f t="shared" si="1694"/>
        <v>0.162432915921288</v>
      </c>
      <c r="Z112" s="126">
        <f t="shared" si="1694"/>
        <v>0.15927189988623436</v>
      </c>
      <c r="AA112" s="126">
        <f t="shared" si="1694"/>
        <v>7.9399141630901282E-2</v>
      </c>
      <c r="AB112" s="126">
        <f t="shared" ref="AB112" si="1695">AB107/AB104</f>
        <v>0</v>
      </c>
      <c r="AC112" s="175" t="e">
        <f t="shared" si="1694"/>
        <v>#DIV/0!</v>
      </c>
      <c r="AD112" s="218">
        <f t="shared" si="1694"/>
        <v>0.16860034868990431</v>
      </c>
      <c r="AE112" s="126">
        <f t="shared" si="1694"/>
        <v>0.2270515731430425</v>
      </c>
      <c r="AF112" s="126">
        <f t="shared" si="1694"/>
        <v>0.34146341463414637</v>
      </c>
      <c r="AG112" s="126">
        <f t="shared" si="1694"/>
        <v>0</v>
      </c>
      <c r="AH112" s="126" t="e">
        <f t="shared" si="1694"/>
        <v>#DIV/0!</v>
      </c>
      <c r="AI112" s="126" t="e">
        <f t="shared" si="1694"/>
        <v>#DIV/0!</v>
      </c>
      <c r="AJ112" s="126">
        <f t="shared" si="1694"/>
        <v>0</v>
      </c>
      <c r="AK112" s="126">
        <f t="shared" si="1694"/>
        <v>-4.0680473372781065E-3</v>
      </c>
      <c r="AL112" s="126">
        <f t="shared" si="1694"/>
        <v>0.4133835457705678</v>
      </c>
      <c r="AM112" s="126">
        <f t="shared" si="1694"/>
        <v>9.7744360902255634E-2</v>
      </c>
      <c r="AN112" s="126">
        <f t="shared" si="1694"/>
        <v>0.25185185185185183</v>
      </c>
      <c r="AO112" s="175">
        <f t="shared" si="1694"/>
        <v>0.15725648715608292</v>
      </c>
      <c r="AP112" s="126">
        <f t="shared" si="1694"/>
        <v>0.1759301536373172</v>
      </c>
      <c r="AQ112" s="175" t="e">
        <f t="shared" si="1694"/>
        <v>#DIV/0!</v>
      </c>
      <c r="AR112" s="126" t="e">
        <f t="shared" si="1694"/>
        <v>#DIV/0!</v>
      </c>
      <c r="AS112" s="126" t="e">
        <f t="shared" si="1694"/>
        <v>#DIV/0!</v>
      </c>
      <c r="AT112" s="126" t="e">
        <f t="shared" si="1694"/>
        <v>#DIV/0!</v>
      </c>
      <c r="AU112" s="126" t="e">
        <f t="shared" si="1694"/>
        <v>#DIV/0!</v>
      </c>
      <c r="AV112" s="126" t="e">
        <f t="shared" si="1694"/>
        <v>#DIV/0!</v>
      </c>
      <c r="AW112" s="126">
        <f t="shared" si="1694"/>
        <v>0</v>
      </c>
      <c r="AX112" s="126">
        <f t="shared" si="1694"/>
        <v>2.9411764705882353E-2</v>
      </c>
      <c r="AY112" s="126">
        <f t="shared" si="1694"/>
        <v>0</v>
      </c>
      <c r="AZ112" s="126" t="e">
        <f t="shared" si="1694"/>
        <v>#DIV/0!</v>
      </c>
      <c r="BA112" s="126" t="e">
        <f t="shared" si="1694"/>
        <v>#DIV/0!</v>
      </c>
      <c r="BB112" s="175" t="e">
        <f t="shared" si="1694"/>
        <v>#DIV/0!</v>
      </c>
      <c r="BC112" s="126">
        <f t="shared" si="1694"/>
        <v>0.1994069681245367</v>
      </c>
      <c r="BD112" s="126">
        <f t="shared" si="1694"/>
        <v>0.19506889050036258</v>
      </c>
      <c r="BE112" s="126">
        <f t="shared" si="1694"/>
        <v>0</v>
      </c>
      <c r="BF112" s="126">
        <f t="shared" si="1694"/>
        <v>2.9688972667295005E-2</v>
      </c>
      <c r="BG112" s="126">
        <f t="shared" si="1694"/>
        <v>6.2266843877905487E-2</v>
      </c>
      <c r="BH112" s="175">
        <f t="shared" si="1694"/>
        <v>8.9056484816063736E-2</v>
      </c>
      <c r="BI112" s="175">
        <f t="shared" si="1694"/>
        <v>0.13799912314775989</v>
      </c>
      <c r="BJ112" s="126" t="e">
        <f t="shared" si="1694"/>
        <v>#DIV/0!</v>
      </c>
      <c r="BK112" s="126">
        <f t="shared" si="1694"/>
        <v>0.13799912314775989</v>
      </c>
      <c r="BM112" s="126" t="e">
        <f t="shared" ref="BM112" si="1696">BM107/BM104</f>
        <v>#DIV/0!</v>
      </c>
    </row>
    <row r="113" spans="1:118" s="178" customFormat="1">
      <c r="A113" s="128"/>
      <c r="B113" s="5" t="s">
        <v>432</v>
      </c>
      <c r="C113" s="11">
        <f>C104-C107</f>
        <v>694754</v>
      </c>
      <c r="D113" s="11">
        <f t="shared" ref="D113:BK113" si="1697">D104-D107</f>
        <v>401234</v>
      </c>
      <c r="E113" s="11">
        <f t="shared" si="1697"/>
        <v>-102</v>
      </c>
      <c r="F113" s="11">
        <f t="shared" si="1697"/>
        <v>84981</v>
      </c>
      <c r="G113" s="11">
        <f t="shared" si="1697"/>
        <v>47793</v>
      </c>
      <c r="H113" s="11">
        <f t="shared" si="1697"/>
        <v>0</v>
      </c>
      <c r="I113" s="11">
        <f t="shared" si="1697"/>
        <v>0</v>
      </c>
      <c r="J113" s="11">
        <f t="shared" si="1697"/>
        <v>0</v>
      </c>
      <c r="K113" s="11">
        <f t="shared" si="1697"/>
        <v>0</v>
      </c>
      <c r="L113" s="11">
        <f t="shared" si="1697"/>
        <v>641</v>
      </c>
      <c r="M113" s="11">
        <f t="shared" si="1697"/>
        <v>82948</v>
      </c>
      <c r="N113" s="11">
        <f t="shared" si="1697"/>
        <v>875</v>
      </c>
      <c r="O113" s="11">
        <f t="shared" si="1697"/>
        <v>5511</v>
      </c>
      <c r="P113" s="11">
        <f t="shared" si="1697"/>
        <v>66705</v>
      </c>
      <c r="Q113" s="11">
        <f t="shared" si="1697"/>
        <v>0</v>
      </c>
      <c r="R113" s="11">
        <f t="shared" si="1697"/>
        <v>2486</v>
      </c>
      <c r="S113" s="11">
        <f t="shared" si="1697"/>
        <v>0</v>
      </c>
      <c r="T113" s="11">
        <f t="shared" si="1697"/>
        <v>0</v>
      </c>
      <c r="U113" s="11">
        <f t="shared" si="1697"/>
        <v>0</v>
      </c>
      <c r="V113" s="11">
        <f t="shared" si="1697"/>
        <v>0</v>
      </c>
      <c r="W113" s="11">
        <f t="shared" si="1697"/>
        <v>0</v>
      </c>
      <c r="X113" s="11">
        <f t="shared" si="1697"/>
        <v>0</v>
      </c>
      <c r="Y113" s="11">
        <f t="shared" si="1697"/>
        <v>2341</v>
      </c>
      <c r="Z113" s="11">
        <f t="shared" si="1697"/>
        <v>739</v>
      </c>
      <c r="AA113" s="11">
        <f t="shared" si="1697"/>
        <v>858</v>
      </c>
      <c r="AB113" s="11">
        <f t="shared" si="1697"/>
        <v>221</v>
      </c>
      <c r="AC113" s="11">
        <f t="shared" si="1697"/>
        <v>0</v>
      </c>
      <c r="AD113" s="11">
        <f t="shared" si="1697"/>
        <v>1391985</v>
      </c>
      <c r="AE113" s="11">
        <f t="shared" si="1697"/>
        <v>2383</v>
      </c>
      <c r="AF113" s="11">
        <f t="shared" si="1697"/>
        <v>189</v>
      </c>
      <c r="AG113" s="11">
        <f t="shared" si="1697"/>
        <v>53</v>
      </c>
      <c r="AH113" s="11">
        <f t="shared" si="1697"/>
        <v>0</v>
      </c>
      <c r="AI113" s="11">
        <f t="shared" si="1697"/>
        <v>0</v>
      </c>
      <c r="AJ113" s="11">
        <f t="shared" si="1697"/>
        <v>151</v>
      </c>
      <c r="AK113" s="11">
        <f t="shared" si="1697"/>
        <v>2715</v>
      </c>
      <c r="AL113" s="11">
        <f t="shared" si="1697"/>
        <v>4050</v>
      </c>
      <c r="AM113" s="11">
        <f t="shared" si="1697"/>
        <v>120</v>
      </c>
      <c r="AN113" s="11">
        <f t="shared" si="1697"/>
        <v>303</v>
      </c>
      <c r="AO113" s="11">
        <f t="shared" si="1697"/>
        <v>58167</v>
      </c>
      <c r="AP113" s="11">
        <f t="shared" si="1697"/>
        <v>133557</v>
      </c>
      <c r="AQ113" s="11">
        <f t="shared" si="1697"/>
        <v>0</v>
      </c>
      <c r="AR113" s="11">
        <f t="shared" si="1697"/>
        <v>0</v>
      </c>
      <c r="AS113" s="11">
        <f t="shared" si="1697"/>
        <v>0</v>
      </c>
      <c r="AT113" s="11">
        <f t="shared" si="1697"/>
        <v>0</v>
      </c>
      <c r="AU113" s="11">
        <f t="shared" si="1697"/>
        <v>0</v>
      </c>
      <c r="AV113" s="11">
        <f t="shared" si="1697"/>
        <v>0</v>
      </c>
      <c r="AW113" s="11">
        <f t="shared" si="1697"/>
        <v>1534</v>
      </c>
      <c r="AX113" s="11">
        <f t="shared" si="1697"/>
        <v>990</v>
      </c>
      <c r="AY113" s="11">
        <f t="shared" si="1697"/>
        <v>61</v>
      </c>
      <c r="AZ113" s="11">
        <f t="shared" si="1697"/>
        <v>0</v>
      </c>
      <c r="BA113" s="11">
        <f t="shared" si="1697"/>
        <v>0</v>
      </c>
      <c r="BB113" s="11">
        <f t="shared" si="1697"/>
        <v>0</v>
      </c>
      <c r="BC113" s="11">
        <f t="shared" si="1697"/>
        <v>1080</v>
      </c>
      <c r="BD113" s="11">
        <f t="shared" si="1697"/>
        <v>1110</v>
      </c>
      <c r="BE113" s="11">
        <f t="shared" si="1697"/>
        <v>22</v>
      </c>
      <c r="BF113" s="11">
        <f t="shared" si="1697"/>
        <v>2059</v>
      </c>
      <c r="BG113" s="11">
        <f t="shared" si="1697"/>
        <v>745059</v>
      </c>
      <c r="BH113" s="11">
        <f t="shared" si="1697"/>
        <v>953603</v>
      </c>
      <c r="BI113" s="11">
        <f t="shared" si="1697"/>
        <v>2345588</v>
      </c>
      <c r="BJ113" s="11">
        <f t="shared" si="1697"/>
        <v>0</v>
      </c>
      <c r="BK113" s="11">
        <f t="shared" si="1697"/>
        <v>2345588</v>
      </c>
      <c r="BL113" s="11">
        <f t="shared" ref="BL113:BM113" si="1698">BL107-BL104</f>
        <v>375507</v>
      </c>
      <c r="BM113" s="11">
        <f t="shared" si="1698"/>
        <v>93227</v>
      </c>
    </row>
    <row r="114" spans="1:118"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9"/>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9"/>
      <c r="BJ114" s="5"/>
      <c r="BK114" s="48"/>
    </row>
    <row r="115" spans="1:118" s="255" customFormat="1">
      <c r="A115" s="15" t="s">
        <v>141</v>
      </c>
      <c r="B115" s="11" t="s">
        <v>430</v>
      </c>
      <c r="C115" s="266">
        <v>0</v>
      </c>
      <c r="D115" s="120">
        <v>0</v>
      </c>
      <c r="E115" s="120">
        <v>0</v>
      </c>
      <c r="F115" s="120">
        <v>0</v>
      </c>
      <c r="G115" s="120">
        <v>0</v>
      </c>
      <c r="H115" s="120">
        <v>1707832</v>
      </c>
      <c r="I115" s="120">
        <v>0</v>
      </c>
      <c r="J115" s="120">
        <v>0</v>
      </c>
      <c r="K115" s="120">
        <v>0</v>
      </c>
      <c r="L115" s="120">
        <v>0</v>
      </c>
      <c r="M115" s="120">
        <v>0</v>
      </c>
      <c r="N115" s="120">
        <v>0</v>
      </c>
      <c r="O115" s="120">
        <v>0</v>
      </c>
      <c r="P115" s="120">
        <v>0</v>
      </c>
      <c r="Q115" s="120">
        <v>0</v>
      </c>
      <c r="R115" s="120">
        <v>0</v>
      </c>
      <c r="S115" s="120">
        <v>0</v>
      </c>
      <c r="T115" s="120">
        <v>0</v>
      </c>
      <c r="U115" s="120">
        <v>0</v>
      </c>
      <c r="V115" s="267">
        <v>0</v>
      </c>
      <c r="W115" s="120">
        <v>0</v>
      </c>
      <c r="X115" s="120">
        <v>0</v>
      </c>
      <c r="Y115" s="120">
        <v>0</v>
      </c>
      <c r="Z115" s="120">
        <v>0</v>
      </c>
      <c r="AA115" s="120">
        <v>0</v>
      </c>
      <c r="AB115" s="121">
        <v>0</v>
      </c>
      <c r="AC115" s="120">
        <v>0</v>
      </c>
      <c r="AD115" s="121">
        <f t="shared" ref="AD115" si="1699">SUM(C115:AC115)</f>
        <v>1707832</v>
      </c>
      <c r="AE115" s="120">
        <v>0</v>
      </c>
      <c r="AF115" s="120">
        <v>0</v>
      </c>
      <c r="AG115" s="120">
        <v>0</v>
      </c>
      <c r="AH115" s="120">
        <v>0</v>
      </c>
      <c r="AI115" s="120">
        <v>0</v>
      </c>
      <c r="AJ115" s="120">
        <v>0</v>
      </c>
      <c r="AK115" s="120">
        <v>0</v>
      </c>
      <c r="AL115" s="120">
        <v>0</v>
      </c>
      <c r="AM115" s="267">
        <v>0</v>
      </c>
      <c r="AN115" s="120">
        <v>0</v>
      </c>
      <c r="AO115" s="267">
        <v>0</v>
      </c>
      <c r="AP115" s="120">
        <v>0</v>
      </c>
      <c r="AQ115" s="120">
        <v>0</v>
      </c>
      <c r="AR115" s="120">
        <v>0</v>
      </c>
      <c r="AS115" s="120">
        <v>0</v>
      </c>
      <c r="AT115" s="120">
        <v>0</v>
      </c>
      <c r="AU115" s="120">
        <v>0</v>
      </c>
      <c r="AV115" s="120">
        <v>0</v>
      </c>
      <c r="AW115" s="267">
        <v>0</v>
      </c>
      <c r="AX115" s="267">
        <v>0</v>
      </c>
      <c r="AY115" s="120">
        <v>0</v>
      </c>
      <c r="AZ115" s="120">
        <v>0</v>
      </c>
      <c r="BA115" s="120">
        <v>0</v>
      </c>
      <c r="BB115" s="120">
        <v>0</v>
      </c>
      <c r="BC115" s="120">
        <v>0</v>
      </c>
      <c r="BD115" s="125">
        <v>0</v>
      </c>
      <c r="BE115" s="268">
        <v>0</v>
      </c>
      <c r="BF115" s="124">
        <v>0</v>
      </c>
      <c r="BG115" s="271">
        <v>38082913</v>
      </c>
      <c r="BH115" s="272">
        <f t="shared" ref="BH115" si="1700">SUM(AE115:BG115)</f>
        <v>38082913</v>
      </c>
      <c r="BI115" s="125">
        <f t="shared" ref="BI115" si="1701">AD115+BH115</f>
        <v>39790745</v>
      </c>
      <c r="BJ115" s="174">
        <v>38087020</v>
      </c>
      <c r="BK115" s="124">
        <f t="shared" ref="BK115" si="1702">BI115-BJ115</f>
        <v>1703725</v>
      </c>
      <c r="CI115" s="270"/>
      <c r="DK115" s="2"/>
      <c r="DM115" s="2"/>
      <c r="DN115" s="270"/>
    </row>
    <row r="116" spans="1:118" s="41" customFormat="1">
      <c r="A116" s="134" t="s">
        <v>141</v>
      </c>
      <c r="B116" s="210" t="s">
        <v>424</v>
      </c>
      <c r="C116" s="266">
        <v>0</v>
      </c>
      <c r="D116" s="120">
        <v>0</v>
      </c>
      <c r="E116" s="120">
        <v>0</v>
      </c>
      <c r="F116" s="120">
        <v>0</v>
      </c>
      <c r="G116" s="120">
        <v>0</v>
      </c>
      <c r="H116" s="120">
        <v>324488</v>
      </c>
      <c r="I116" s="120">
        <v>0</v>
      </c>
      <c r="J116" s="120">
        <v>0</v>
      </c>
      <c r="K116" s="120">
        <v>0</v>
      </c>
      <c r="L116" s="120">
        <v>0</v>
      </c>
      <c r="M116" s="120">
        <v>0</v>
      </c>
      <c r="N116" s="120">
        <v>0</v>
      </c>
      <c r="O116" s="120">
        <v>0</v>
      </c>
      <c r="P116" s="120">
        <v>0</v>
      </c>
      <c r="Q116" s="120">
        <v>0</v>
      </c>
      <c r="R116" s="120">
        <v>0</v>
      </c>
      <c r="S116" s="120">
        <v>0</v>
      </c>
      <c r="T116" s="120">
        <v>0</v>
      </c>
      <c r="U116" s="120">
        <v>0</v>
      </c>
      <c r="V116" s="267">
        <v>0</v>
      </c>
      <c r="W116" s="120">
        <v>0</v>
      </c>
      <c r="X116" s="120">
        <v>0</v>
      </c>
      <c r="Y116" s="120">
        <v>0</v>
      </c>
      <c r="Z116" s="120">
        <v>0</v>
      </c>
      <c r="AA116" s="120">
        <v>0</v>
      </c>
      <c r="AB116" s="121">
        <v>0</v>
      </c>
      <c r="AC116" s="120">
        <v>0</v>
      </c>
      <c r="AD116" s="121">
        <f t="shared" ref="AD116" si="1703">SUM(C116:AC116)</f>
        <v>324488</v>
      </c>
      <c r="AE116" s="120">
        <v>0</v>
      </c>
      <c r="AF116" s="120">
        <v>0</v>
      </c>
      <c r="AG116" s="120">
        <v>0</v>
      </c>
      <c r="AH116" s="120">
        <v>0</v>
      </c>
      <c r="AI116" s="120">
        <v>0</v>
      </c>
      <c r="AJ116" s="120">
        <v>0</v>
      </c>
      <c r="AK116" s="120">
        <v>0</v>
      </c>
      <c r="AL116" s="120">
        <v>0</v>
      </c>
      <c r="AM116" s="267">
        <v>0</v>
      </c>
      <c r="AN116" s="120">
        <v>0</v>
      </c>
      <c r="AO116" s="267">
        <v>0</v>
      </c>
      <c r="AP116" s="120">
        <v>0</v>
      </c>
      <c r="AQ116" s="120">
        <v>0</v>
      </c>
      <c r="AR116" s="120">
        <v>0</v>
      </c>
      <c r="AS116" s="120">
        <v>0</v>
      </c>
      <c r="AT116" s="120">
        <v>0</v>
      </c>
      <c r="AU116" s="120">
        <v>0</v>
      </c>
      <c r="AV116" s="120">
        <v>0</v>
      </c>
      <c r="AW116" s="267">
        <v>0</v>
      </c>
      <c r="AX116" s="267">
        <v>0</v>
      </c>
      <c r="AY116" s="120">
        <v>0</v>
      </c>
      <c r="AZ116" s="120">
        <v>0</v>
      </c>
      <c r="BA116" s="120">
        <v>0</v>
      </c>
      <c r="BB116" s="120">
        <v>0</v>
      </c>
      <c r="BC116" s="120">
        <v>0</v>
      </c>
      <c r="BD116" s="125">
        <v>0</v>
      </c>
      <c r="BE116" s="268">
        <v>0</v>
      </c>
      <c r="BF116" s="124">
        <v>0</v>
      </c>
      <c r="BG116" s="271">
        <v>-986</v>
      </c>
      <c r="BH116" s="272">
        <f t="shared" ref="BH116" si="1704">SUM(AE116:BG116)</f>
        <v>-986</v>
      </c>
      <c r="BI116" s="125">
        <f t="shared" ref="BI116" si="1705">AD116+BH116</f>
        <v>323502</v>
      </c>
      <c r="BJ116" s="174">
        <v>0</v>
      </c>
      <c r="BK116" s="124">
        <f t="shared" ref="BK116" si="1706">BI116-BJ116</f>
        <v>323502</v>
      </c>
      <c r="BM116" s="211"/>
      <c r="BQ116" s="41" t="s">
        <v>330</v>
      </c>
    </row>
    <row r="117" spans="1:118">
      <c r="A117" s="128"/>
      <c r="B117" s="12" t="s">
        <v>425</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352591</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21">
        <f t="shared" ref="AD117:AD118" si="1707">SUM(C117:AC117)</f>
        <v>352591</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9454273</v>
      </c>
      <c r="BH117" s="9">
        <f>SUM(AE117:BG117)</f>
        <v>9454273</v>
      </c>
      <c r="BI117" s="274">
        <f>AD117+BH117</f>
        <v>9806864</v>
      </c>
      <c r="BJ117" s="9">
        <f>IF('Upto Month COPPY'!$L$60="",0,'Upto Month COPPY'!$L$60)</f>
        <v>9453589</v>
      </c>
      <c r="BK117" s="49">
        <f t="shared" ref="BK117:BK118" si="1708">BI117-BJ117</f>
        <v>353275</v>
      </c>
      <c r="BL117">
        <f>'Upto Month COPPY'!$L$61</f>
        <v>353275</v>
      </c>
      <c r="BM117" s="30">
        <f t="shared" ref="BM117:BM121" si="1709">BK117-AD117</f>
        <v>684</v>
      </c>
    </row>
    <row r="118" spans="1:118">
      <c r="A118" s="128"/>
      <c r="B118" s="180" t="s">
        <v>426</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409923</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21">
        <f t="shared" si="1707"/>
        <v>409923</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10114697</v>
      </c>
      <c r="BH118" s="9">
        <f>SUM(AE118:BG118)</f>
        <v>10114697</v>
      </c>
      <c r="BI118" s="274">
        <f>AD118+BH118</f>
        <v>10524620</v>
      </c>
      <c r="BJ118" s="9">
        <f>IF('Upto Month Current'!$L$60="",0,'Upto Month Current'!$L$60)</f>
        <v>10113272</v>
      </c>
      <c r="BK118" s="49">
        <f t="shared" si="1708"/>
        <v>411348</v>
      </c>
      <c r="BL118">
        <f>'Upto Month Current'!$L$61</f>
        <v>411348</v>
      </c>
      <c r="BM118" s="30">
        <f t="shared" si="1709"/>
        <v>1425</v>
      </c>
    </row>
    <row r="119" spans="1:118">
      <c r="A119" s="128"/>
      <c r="B119" s="5" t="s">
        <v>130</v>
      </c>
      <c r="C119" s="11">
        <f>C118-C116</f>
        <v>0</v>
      </c>
      <c r="D119" s="11">
        <f t="shared" ref="D119" si="1710">D118-D116</f>
        <v>0</v>
      </c>
      <c r="E119" s="11">
        <f t="shared" ref="E119" si="1711">E118-E116</f>
        <v>0</v>
      </c>
      <c r="F119" s="11">
        <f t="shared" ref="F119" si="1712">F118-F116</f>
        <v>0</v>
      </c>
      <c r="G119" s="11">
        <f t="shared" ref="G119" si="1713">G118-G116</f>
        <v>0</v>
      </c>
      <c r="H119" s="11">
        <f t="shared" ref="H119" si="1714">H118-H116</f>
        <v>85435</v>
      </c>
      <c r="I119" s="11">
        <f t="shared" ref="I119" si="1715">I118-I116</f>
        <v>0</v>
      </c>
      <c r="J119" s="11">
        <f t="shared" ref="J119" si="1716">J118-J116</f>
        <v>0</v>
      </c>
      <c r="K119" s="11">
        <f t="shared" ref="K119" si="1717">K118-K116</f>
        <v>0</v>
      </c>
      <c r="L119" s="11">
        <f t="shared" ref="L119" si="1718">L118-L116</f>
        <v>0</v>
      </c>
      <c r="M119" s="11">
        <f t="shared" ref="M119" si="1719">M118-M116</f>
        <v>0</v>
      </c>
      <c r="N119" s="11">
        <f t="shared" ref="N119" si="1720">N118-N116</f>
        <v>0</v>
      </c>
      <c r="O119" s="11">
        <f t="shared" ref="O119" si="1721">O118-O116</f>
        <v>0</v>
      </c>
      <c r="P119" s="11">
        <f t="shared" ref="P119" si="1722">P118-P116</f>
        <v>0</v>
      </c>
      <c r="Q119" s="11">
        <f t="shared" ref="Q119" si="1723">Q118-Q116</f>
        <v>0</v>
      </c>
      <c r="R119" s="11">
        <f t="shared" ref="R119" si="1724">R118-R116</f>
        <v>0</v>
      </c>
      <c r="S119" s="11">
        <f t="shared" ref="S119" si="1725">S118-S116</f>
        <v>0</v>
      </c>
      <c r="T119" s="11">
        <f t="shared" ref="T119:U119" si="1726">T118-T116</f>
        <v>0</v>
      </c>
      <c r="U119" s="11">
        <f t="shared" si="1726"/>
        <v>0</v>
      </c>
      <c r="V119" s="9">
        <f t="shared" ref="V119" si="1727">V118-V116</f>
        <v>0</v>
      </c>
      <c r="W119" s="11">
        <f t="shared" ref="W119" si="1728">W118-W116</f>
        <v>0</v>
      </c>
      <c r="X119" s="11">
        <f t="shared" ref="X119" si="1729">X118-X116</f>
        <v>0</v>
      </c>
      <c r="Y119" s="11">
        <f t="shared" ref="Y119" si="1730">Y118-Y116</f>
        <v>0</v>
      </c>
      <c r="Z119" s="11">
        <f t="shared" ref="Z119" si="1731">Z118-Z116</f>
        <v>0</v>
      </c>
      <c r="AA119" s="11">
        <f t="shared" ref="AA119:AD119" si="1732">AA118-AA116</f>
        <v>0</v>
      </c>
      <c r="AB119" s="11">
        <f t="shared" ref="AB119" si="1733">AB118-AB116</f>
        <v>0</v>
      </c>
      <c r="AC119" s="9">
        <f t="shared" si="1732"/>
        <v>0</v>
      </c>
      <c r="AD119" s="216">
        <f t="shared" si="1732"/>
        <v>85435</v>
      </c>
      <c r="AE119" s="11">
        <f t="shared" ref="AE119" si="1734">AE118-AE116</f>
        <v>0</v>
      </c>
      <c r="AF119" s="11">
        <f t="shared" ref="AF119" si="1735">AF118-AF116</f>
        <v>0</v>
      </c>
      <c r="AG119" s="11">
        <f t="shared" ref="AG119" si="1736">AG118-AG116</f>
        <v>0</v>
      </c>
      <c r="AH119" s="11">
        <f t="shared" ref="AH119" si="1737">AH118-AH116</f>
        <v>0</v>
      </c>
      <c r="AI119" s="11">
        <f t="shared" ref="AI119" si="1738">AI118-AI116</f>
        <v>0</v>
      </c>
      <c r="AJ119" s="11">
        <f t="shared" ref="AJ119" si="1739">AJ118-AJ116</f>
        <v>0</v>
      </c>
      <c r="AK119" s="11">
        <f t="shared" ref="AK119" si="1740">AK118-AK116</f>
        <v>0</v>
      </c>
      <c r="AL119" s="11">
        <f t="shared" ref="AL119" si="1741">AL118-AL116</f>
        <v>0</v>
      </c>
      <c r="AM119" s="11">
        <f t="shared" ref="AM119" si="1742">AM118-AM116</f>
        <v>0</v>
      </c>
      <c r="AN119" s="11">
        <f t="shared" ref="AN119" si="1743">AN118-AN116</f>
        <v>0</v>
      </c>
      <c r="AO119" s="9">
        <f t="shared" ref="AO119" si="1744">AO118-AO116</f>
        <v>0</v>
      </c>
      <c r="AP119" s="11">
        <f t="shared" ref="AP119" si="1745">AP118-AP116</f>
        <v>0</v>
      </c>
      <c r="AQ119" s="9">
        <f t="shared" ref="AQ119" si="1746">AQ118-AQ116</f>
        <v>0</v>
      </c>
      <c r="AR119" s="11">
        <f t="shared" ref="AR119" si="1747">AR118-AR116</f>
        <v>0</v>
      </c>
      <c r="AS119" s="11">
        <f t="shared" ref="AS119" si="1748">AS118-AS116</f>
        <v>0</v>
      </c>
      <c r="AT119" s="11">
        <f t="shared" ref="AT119" si="1749">AT118-AT116</f>
        <v>0</v>
      </c>
      <c r="AU119" s="11">
        <f t="shared" ref="AU119" si="1750">AU118-AU116</f>
        <v>0</v>
      </c>
      <c r="AV119" s="11">
        <f t="shared" ref="AV119" si="1751">AV118-AV116</f>
        <v>0</v>
      </c>
      <c r="AW119" s="11">
        <f t="shared" ref="AW119" si="1752">AW118-AW116</f>
        <v>0</v>
      </c>
      <c r="AX119" s="11">
        <f t="shared" ref="AX119" si="1753">AX118-AX116</f>
        <v>0</v>
      </c>
      <c r="AY119" s="11">
        <f t="shared" ref="AY119" si="1754">AY118-AY116</f>
        <v>0</v>
      </c>
      <c r="AZ119" s="11">
        <f t="shared" ref="AZ119" si="1755">AZ118-AZ116</f>
        <v>0</v>
      </c>
      <c r="BA119" s="11">
        <f t="shared" ref="BA119" si="1756">BA118-BA116</f>
        <v>0</v>
      </c>
      <c r="BB119" s="9">
        <f t="shared" ref="BB119" si="1757">BB118-BB116</f>
        <v>0</v>
      </c>
      <c r="BC119" s="11">
        <f t="shared" ref="BC119" si="1758">BC118-BC116</f>
        <v>0</v>
      </c>
      <c r="BD119" s="11">
        <f t="shared" ref="BD119" si="1759">BD118-BD116</f>
        <v>0</v>
      </c>
      <c r="BE119" s="11">
        <f t="shared" ref="BE119" si="1760">BE118-BE116</f>
        <v>0</v>
      </c>
      <c r="BF119" s="11">
        <f t="shared" ref="BF119" si="1761">BF118-BF116</f>
        <v>0</v>
      </c>
      <c r="BG119" s="11">
        <f t="shared" ref="BG119:BH119" si="1762">BG118-BG116</f>
        <v>10115683</v>
      </c>
      <c r="BH119" s="9">
        <f t="shared" si="1762"/>
        <v>10115683</v>
      </c>
      <c r="BI119" s="9">
        <f t="shared" ref="BI119" si="1763">BI118-BI116</f>
        <v>10201118</v>
      </c>
      <c r="BJ119" s="11">
        <f t="shared" ref="BJ119:BK119" si="1764">BJ118-BJ116</f>
        <v>10113272</v>
      </c>
      <c r="BK119" s="49">
        <f t="shared" si="1764"/>
        <v>87846</v>
      </c>
      <c r="BM119" s="30">
        <f t="shared" si="1709"/>
        <v>2411</v>
      </c>
    </row>
    <row r="120" spans="1:118">
      <c r="A120" s="128"/>
      <c r="B120" s="5" t="s">
        <v>131</v>
      </c>
      <c r="C120" s="13" t="e">
        <f>C119/C116</f>
        <v>#DIV/0!</v>
      </c>
      <c r="D120" s="13" t="e">
        <f t="shared" ref="D120" si="1765">D119/D116</f>
        <v>#DIV/0!</v>
      </c>
      <c r="E120" s="13" t="e">
        <f t="shared" ref="E120" si="1766">E119/E116</f>
        <v>#DIV/0!</v>
      </c>
      <c r="F120" s="13" t="e">
        <f t="shared" ref="F120" si="1767">F119/F116</f>
        <v>#DIV/0!</v>
      </c>
      <c r="G120" s="13" t="e">
        <f t="shared" ref="G120" si="1768">G119/G116</f>
        <v>#DIV/0!</v>
      </c>
      <c r="H120" s="13">
        <f t="shared" ref="H120" si="1769">H119/H116</f>
        <v>0.26329170878430019</v>
      </c>
      <c r="I120" s="13" t="e">
        <f t="shared" ref="I120" si="1770">I119/I116</f>
        <v>#DIV/0!</v>
      </c>
      <c r="J120" s="13" t="e">
        <f t="shared" ref="J120" si="1771">J119/J116</f>
        <v>#DIV/0!</v>
      </c>
      <c r="K120" s="13" t="e">
        <f t="shared" ref="K120" si="1772">K119/K116</f>
        <v>#DIV/0!</v>
      </c>
      <c r="L120" s="13" t="e">
        <f t="shared" ref="L120" si="1773">L119/L116</f>
        <v>#DIV/0!</v>
      </c>
      <c r="M120" s="13" t="e">
        <f t="shared" ref="M120" si="1774">M119/M116</f>
        <v>#DIV/0!</v>
      </c>
      <c r="N120" s="13" t="e">
        <f t="shared" ref="N120" si="1775">N119/N116</f>
        <v>#DIV/0!</v>
      </c>
      <c r="O120" s="13" t="e">
        <f t="shared" ref="O120" si="1776">O119/O116</f>
        <v>#DIV/0!</v>
      </c>
      <c r="P120" s="13" t="e">
        <f t="shared" ref="P120" si="1777">P119/P116</f>
        <v>#DIV/0!</v>
      </c>
      <c r="Q120" s="13" t="e">
        <f t="shared" ref="Q120" si="1778">Q119/Q116</f>
        <v>#DIV/0!</v>
      </c>
      <c r="R120" s="13" t="e">
        <f t="shared" ref="R120" si="1779">R119/R116</f>
        <v>#DIV/0!</v>
      </c>
      <c r="S120" s="13" t="e">
        <f t="shared" ref="S120" si="1780">S119/S116</f>
        <v>#DIV/0!</v>
      </c>
      <c r="T120" s="13" t="e">
        <f t="shared" ref="T120:U120" si="1781">T119/T116</f>
        <v>#DIV/0!</v>
      </c>
      <c r="U120" s="13" t="e">
        <f t="shared" si="1781"/>
        <v>#DIV/0!</v>
      </c>
      <c r="V120" s="160" t="e">
        <f t="shared" ref="V120" si="1782">V119/V116</f>
        <v>#DIV/0!</v>
      </c>
      <c r="W120" s="13" t="e">
        <f t="shared" ref="W120" si="1783">W119/W116</f>
        <v>#DIV/0!</v>
      </c>
      <c r="X120" s="13" t="e">
        <f t="shared" ref="X120" si="1784">X119/X116</f>
        <v>#DIV/0!</v>
      </c>
      <c r="Y120" s="13" t="e">
        <f t="shared" ref="Y120" si="1785">Y119/Y116</f>
        <v>#DIV/0!</v>
      </c>
      <c r="Z120" s="13" t="e">
        <f t="shared" ref="Z120" si="1786">Z119/Z116</f>
        <v>#DIV/0!</v>
      </c>
      <c r="AA120" s="13" t="e">
        <f t="shared" ref="AA120:AD120" si="1787">AA119/AA116</f>
        <v>#DIV/0!</v>
      </c>
      <c r="AB120" s="13" t="e">
        <f t="shared" ref="AB120" si="1788">AB119/AB116</f>
        <v>#DIV/0!</v>
      </c>
      <c r="AC120" s="160" t="e">
        <f t="shared" si="1787"/>
        <v>#DIV/0!</v>
      </c>
      <c r="AD120" s="217">
        <f t="shared" si="1787"/>
        <v>0.26329170878430019</v>
      </c>
      <c r="AE120" s="13" t="e">
        <f t="shared" ref="AE120" si="1789">AE119/AE116</f>
        <v>#DIV/0!</v>
      </c>
      <c r="AF120" s="13" t="e">
        <f t="shared" ref="AF120" si="1790">AF119/AF116</f>
        <v>#DIV/0!</v>
      </c>
      <c r="AG120" s="13" t="e">
        <f t="shared" ref="AG120" si="1791">AG119/AG116</f>
        <v>#DIV/0!</v>
      </c>
      <c r="AH120" s="13" t="e">
        <f t="shared" ref="AH120" si="1792">AH119/AH116</f>
        <v>#DIV/0!</v>
      </c>
      <c r="AI120" s="13" t="e">
        <f t="shared" ref="AI120" si="1793">AI119/AI116</f>
        <v>#DIV/0!</v>
      </c>
      <c r="AJ120" s="13" t="e">
        <f t="shared" ref="AJ120" si="1794">AJ119/AJ116</f>
        <v>#DIV/0!</v>
      </c>
      <c r="AK120" s="13" t="e">
        <f t="shared" ref="AK120" si="1795">AK119/AK116</f>
        <v>#DIV/0!</v>
      </c>
      <c r="AL120" s="13" t="e">
        <f t="shared" ref="AL120" si="1796">AL119/AL116</f>
        <v>#DIV/0!</v>
      </c>
      <c r="AM120" s="13" t="e">
        <f t="shared" ref="AM120" si="1797">AM119/AM116</f>
        <v>#DIV/0!</v>
      </c>
      <c r="AN120" s="13" t="e">
        <f t="shared" ref="AN120" si="1798">AN119/AN116</f>
        <v>#DIV/0!</v>
      </c>
      <c r="AO120" s="160" t="e">
        <f t="shared" ref="AO120" si="1799">AO119/AO116</f>
        <v>#DIV/0!</v>
      </c>
      <c r="AP120" s="13" t="e">
        <f t="shared" ref="AP120" si="1800">AP119/AP116</f>
        <v>#DIV/0!</v>
      </c>
      <c r="AQ120" s="160" t="e">
        <f t="shared" ref="AQ120" si="1801">AQ119/AQ116</f>
        <v>#DIV/0!</v>
      </c>
      <c r="AR120" s="13" t="e">
        <f t="shared" ref="AR120" si="1802">AR119/AR116</f>
        <v>#DIV/0!</v>
      </c>
      <c r="AS120" s="13" t="e">
        <f t="shared" ref="AS120" si="1803">AS119/AS116</f>
        <v>#DIV/0!</v>
      </c>
      <c r="AT120" s="13" t="e">
        <f t="shared" ref="AT120" si="1804">AT119/AT116</f>
        <v>#DIV/0!</v>
      </c>
      <c r="AU120" s="13" t="e">
        <f t="shared" ref="AU120" si="1805">AU119/AU116</f>
        <v>#DIV/0!</v>
      </c>
      <c r="AV120" s="13" t="e">
        <f t="shared" ref="AV120" si="1806">AV119/AV116</f>
        <v>#DIV/0!</v>
      </c>
      <c r="AW120" s="13" t="e">
        <f t="shared" ref="AW120" si="1807">AW119/AW116</f>
        <v>#DIV/0!</v>
      </c>
      <c r="AX120" s="13" t="e">
        <f t="shared" ref="AX120" si="1808">AX119/AX116</f>
        <v>#DIV/0!</v>
      </c>
      <c r="AY120" s="13" t="e">
        <f t="shared" ref="AY120" si="1809">AY119/AY116</f>
        <v>#DIV/0!</v>
      </c>
      <c r="AZ120" s="13" t="e">
        <f t="shared" ref="AZ120" si="1810">AZ119/AZ116</f>
        <v>#DIV/0!</v>
      </c>
      <c r="BA120" s="13" t="e">
        <f t="shared" ref="BA120" si="1811">BA119/BA116</f>
        <v>#DIV/0!</v>
      </c>
      <c r="BB120" s="160" t="e">
        <f t="shared" ref="BB120" si="1812">BB119/BB116</f>
        <v>#DIV/0!</v>
      </c>
      <c r="BC120" s="13" t="e">
        <f t="shared" ref="BC120" si="1813">BC119/BC116</f>
        <v>#DIV/0!</v>
      </c>
      <c r="BD120" s="13" t="e">
        <f t="shared" ref="BD120" si="1814">BD119/BD116</f>
        <v>#DIV/0!</v>
      </c>
      <c r="BE120" s="13" t="e">
        <f t="shared" ref="BE120" si="1815">BE119/BE116</f>
        <v>#DIV/0!</v>
      </c>
      <c r="BF120" s="13" t="e">
        <f t="shared" ref="BF120" si="1816">BF119/BF116</f>
        <v>#DIV/0!</v>
      </c>
      <c r="BG120" s="13">
        <f t="shared" ref="BG120:BH120" si="1817">BG119/BG116</f>
        <v>-10259.313387423936</v>
      </c>
      <c r="BH120" s="160">
        <f t="shared" si="1817"/>
        <v>-10259.313387423936</v>
      </c>
      <c r="BI120" s="160">
        <f t="shared" ref="BI120" si="1818">BI119/BI116</f>
        <v>31.533400102626878</v>
      </c>
      <c r="BJ120" s="13" t="e">
        <f t="shared" ref="BJ120:BK120" si="1819">BJ119/BJ116</f>
        <v>#DIV/0!</v>
      </c>
      <c r="BK120" s="50">
        <f t="shared" si="1819"/>
        <v>0.27154700743735743</v>
      </c>
      <c r="BM120" s="160" t="e">
        <f t="shared" ref="BM120" si="1820">BM119/BM116</f>
        <v>#DIV/0!</v>
      </c>
    </row>
    <row r="121" spans="1:118">
      <c r="A121" s="128"/>
      <c r="B121" s="5" t="s">
        <v>132</v>
      </c>
      <c r="C121" s="11">
        <f>C118-C117</f>
        <v>0</v>
      </c>
      <c r="D121" s="11">
        <f t="shared" ref="D121:BK121" si="1821">D118-D117</f>
        <v>0</v>
      </c>
      <c r="E121" s="11">
        <f t="shared" si="1821"/>
        <v>0</v>
      </c>
      <c r="F121" s="11">
        <f t="shared" si="1821"/>
        <v>0</v>
      </c>
      <c r="G121" s="11">
        <f t="shared" si="1821"/>
        <v>0</v>
      </c>
      <c r="H121" s="11">
        <f t="shared" si="1821"/>
        <v>57332</v>
      </c>
      <c r="I121" s="11">
        <f t="shared" si="1821"/>
        <v>0</v>
      </c>
      <c r="J121" s="11">
        <f t="shared" si="1821"/>
        <v>0</v>
      </c>
      <c r="K121" s="11">
        <f t="shared" si="1821"/>
        <v>0</v>
      </c>
      <c r="L121" s="11">
        <f t="shared" si="1821"/>
        <v>0</v>
      </c>
      <c r="M121" s="11">
        <f t="shared" si="1821"/>
        <v>0</v>
      </c>
      <c r="N121" s="11">
        <f t="shared" si="1821"/>
        <v>0</v>
      </c>
      <c r="O121" s="11">
        <f t="shared" si="1821"/>
        <v>0</v>
      </c>
      <c r="P121" s="11">
        <f t="shared" si="1821"/>
        <v>0</v>
      </c>
      <c r="Q121" s="11">
        <f t="shared" si="1821"/>
        <v>0</v>
      </c>
      <c r="R121" s="11">
        <f t="shared" si="1821"/>
        <v>0</v>
      </c>
      <c r="S121" s="11">
        <f t="shared" si="1821"/>
        <v>0</v>
      </c>
      <c r="T121" s="11">
        <f t="shared" si="1821"/>
        <v>0</v>
      </c>
      <c r="U121" s="11">
        <f t="shared" ref="U121" si="1822">U118-U117</f>
        <v>0</v>
      </c>
      <c r="V121" s="9">
        <f t="shared" si="1821"/>
        <v>0</v>
      </c>
      <c r="W121" s="11">
        <f t="shared" si="1821"/>
        <v>0</v>
      </c>
      <c r="X121" s="11">
        <f t="shared" si="1821"/>
        <v>0</v>
      </c>
      <c r="Y121" s="11">
        <f t="shared" si="1821"/>
        <v>0</v>
      </c>
      <c r="Z121" s="11">
        <f t="shared" si="1821"/>
        <v>0</v>
      </c>
      <c r="AA121" s="11">
        <f t="shared" si="1821"/>
        <v>0</v>
      </c>
      <c r="AB121" s="11">
        <f t="shared" ref="AB121" si="1823">AB118-AB117</f>
        <v>0</v>
      </c>
      <c r="AC121" s="9">
        <f t="shared" ref="AC121:AD121" si="1824">AC118-AC117</f>
        <v>0</v>
      </c>
      <c r="AD121" s="216">
        <f t="shared" si="1824"/>
        <v>57332</v>
      </c>
      <c r="AE121" s="11">
        <f t="shared" si="1821"/>
        <v>0</v>
      </c>
      <c r="AF121" s="11">
        <f t="shared" si="1821"/>
        <v>0</v>
      </c>
      <c r="AG121" s="11">
        <f t="shared" si="1821"/>
        <v>0</v>
      </c>
      <c r="AH121" s="11">
        <f t="shared" si="1821"/>
        <v>0</v>
      </c>
      <c r="AI121" s="11">
        <f t="shared" si="1821"/>
        <v>0</v>
      </c>
      <c r="AJ121" s="11">
        <f t="shared" si="1821"/>
        <v>0</v>
      </c>
      <c r="AK121" s="11">
        <f t="shared" si="1821"/>
        <v>0</v>
      </c>
      <c r="AL121" s="11">
        <f t="shared" si="1821"/>
        <v>0</v>
      </c>
      <c r="AM121" s="11">
        <f t="shared" si="1821"/>
        <v>0</v>
      </c>
      <c r="AN121" s="11">
        <f t="shared" si="1821"/>
        <v>0</v>
      </c>
      <c r="AO121" s="9">
        <f t="shared" si="1821"/>
        <v>0</v>
      </c>
      <c r="AP121" s="11">
        <f t="shared" si="1821"/>
        <v>0</v>
      </c>
      <c r="AQ121" s="9">
        <f t="shared" si="1821"/>
        <v>0</v>
      </c>
      <c r="AR121" s="11">
        <f t="shared" si="1821"/>
        <v>0</v>
      </c>
      <c r="AS121" s="11">
        <f t="shared" si="1821"/>
        <v>0</v>
      </c>
      <c r="AT121" s="11">
        <f t="shared" si="1821"/>
        <v>0</v>
      </c>
      <c r="AU121" s="11">
        <f t="shared" si="1821"/>
        <v>0</v>
      </c>
      <c r="AV121" s="11">
        <f t="shared" si="1821"/>
        <v>0</v>
      </c>
      <c r="AW121" s="11">
        <f t="shared" si="1821"/>
        <v>0</v>
      </c>
      <c r="AX121" s="11">
        <f t="shared" si="1821"/>
        <v>0</v>
      </c>
      <c r="AY121" s="11">
        <f t="shared" si="1821"/>
        <v>0</v>
      </c>
      <c r="AZ121" s="11">
        <f t="shared" si="1821"/>
        <v>0</v>
      </c>
      <c r="BA121" s="11">
        <f t="shared" si="1821"/>
        <v>0</v>
      </c>
      <c r="BB121" s="9">
        <f t="shared" si="1821"/>
        <v>0</v>
      </c>
      <c r="BC121" s="11">
        <f t="shared" si="1821"/>
        <v>0</v>
      </c>
      <c r="BD121" s="11">
        <f t="shared" si="1821"/>
        <v>0</v>
      </c>
      <c r="BE121" s="11">
        <f t="shared" si="1821"/>
        <v>0</v>
      </c>
      <c r="BF121" s="11">
        <f t="shared" si="1821"/>
        <v>0</v>
      </c>
      <c r="BG121" s="11">
        <f t="shared" si="1821"/>
        <v>660424</v>
      </c>
      <c r="BH121" s="9">
        <f t="shared" si="1821"/>
        <v>660424</v>
      </c>
      <c r="BI121" s="9">
        <f t="shared" si="1821"/>
        <v>717756</v>
      </c>
      <c r="BJ121" s="11">
        <f t="shared" si="1821"/>
        <v>659683</v>
      </c>
      <c r="BK121" s="49">
        <f t="shared" si="1821"/>
        <v>58073</v>
      </c>
      <c r="BM121" s="30">
        <f t="shared" si="1709"/>
        <v>741</v>
      </c>
    </row>
    <row r="122" spans="1:118">
      <c r="A122" s="128"/>
      <c r="B122" s="5" t="s">
        <v>133</v>
      </c>
      <c r="C122" s="13" t="e">
        <f>C121/C117</f>
        <v>#DIV/0!</v>
      </c>
      <c r="D122" s="13" t="e">
        <f t="shared" ref="D122" si="1825">D121/D117</f>
        <v>#DIV/0!</v>
      </c>
      <c r="E122" s="13" t="e">
        <f t="shared" ref="E122" si="1826">E121/E117</f>
        <v>#DIV/0!</v>
      </c>
      <c r="F122" s="13" t="e">
        <f t="shared" ref="F122" si="1827">F121/F117</f>
        <v>#DIV/0!</v>
      </c>
      <c r="G122" s="13" t="e">
        <f t="shared" ref="G122" si="1828">G121/G117</f>
        <v>#DIV/0!</v>
      </c>
      <c r="H122" s="13">
        <f t="shared" ref="H122" si="1829">H121/H117</f>
        <v>0.16260199494598557</v>
      </c>
      <c r="I122" s="13" t="e">
        <f t="shared" ref="I122" si="1830">I121/I117</f>
        <v>#DIV/0!</v>
      </c>
      <c r="J122" s="13" t="e">
        <f t="shared" ref="J122" si="1831">J121/J117</f>
        <v>#DIV/0!</v>
      </c>
      <c r="K122" s="13" t="e">
        <f t="shared" ref="K122" si="1832">K121/K117</f>
        <v>#DIV/0!</v>
      </c>
      <c r="L122" s="13" t="e">
        <f t="shared" ref="L122" si="1833">L121/L117</f>
        <v>#DIV/0!</v>
      </c>
      <c r="M122" s="13" t="e">
        <f t="shared" ref="M122" si="1834">M121/M117</f>
        <v>#DIV/0!</v>
      </c>
      <c r="N122" s="13" t="e">
        <f t="shared" ref="N122" si="1835">N121/N117</f>
        <v>#DIV/0!</v>
      </c>
      <c r="O122" s="13" t="e">
        <f t="shared" ref="O122" si="1836">O121/O117</f>
        <v>#DIV/0!</v>
      </c>
      <c r="P122" s="13" t="e">
        <f t="shared" ref="P122" si="1837">P121/P117</f>
        <v>#DIV/0!</v>
      </c>
      <c r="Q122" s="13" t="e">
        <f t="shared" ref="Q122" si="1838">Q121/Q117</f>
        <v>#DIV/0!</v>
      </c>
      <c r="R122" s="13" t="e">
        <f t="shared" ref="R122" si="1839">R121/R117</f>
        <v>#DIV/0!</v>
      </c>
      <c r="S122" s="13" t="e">
        <f t="shared" ref="S122" si="1840">S121/S117</f>
        <v>#DIV/0!</v>
      </c>
      <c r="T122" s="13" t="e">
        <f t="shared" ref="T122:U122" si="1841">T121/T117</f>
        <v>#DIV/0!</v>
      </c>
      <c r="U122" s="13" t="e">
        <f t="shared" si="1841"/>
        <v>#DIV/0!</v>
      </c>
      <c r="V122" s="160" t="e">
        <f t="shared" ref="V122" si="1842">V121/V117</f>
        <v>#DIV/0!</v>
      </c>
      <c r="W122" s="13" t="e">
        <f t="shared" ref="W122" si="1843">W121/W117</f>
        <v>#DIV/0!</v>
      </c>
      <c r="X122" s="13" t="e">
        <f t="shared" ref="X122" si="1844">X121/X117</f>
        <v>#DIV/0!</v>
      </c>
      <c r="Y122" s="13" t="e">
        <f t="shared" ref="Y122" si="1845">Y121/Y117</f>
        <v>#DIV/0!</v>
      </c>
      <c r="Z122" s="13" t="e">
        <f t="shared" ref="Z122" si="1846">Z121/Z117</f>
        <v>#DIV/0!</v>
      </c>
      <c r="AA122" s="13" t="e">
        <f t="shared" ref="AA122:AD122" si="1847">AA121/AA117</f>
        <v>#DIV/0!</v>
      </c>
      <c r="AB122" s="13" t="e">
        <f t="shared" ref="AB122" si="1848">AB121/AB117</f>
        <v>#DIV/0!</v>
      </c>
      <c r="AC122" s="160" t="e">
        <f t="shared" si="1847"/>
        <v>#DIV/0!</v>
      </c>
      <c r="AD122" s="217">
        <f t="shared" si="1847"/>
        <v>0.16260199494598557</v>
      </c>
      <c r="AE122" s="13" t="e">
        <f t="shared" ref="AE122" si="1849">AE121/AE117</f>
        <v>#DIV/0!</v>
      </c>
      <c r="AF122" s="13" t="e">
        <f t="shared" ref="AF122" si="1850">AF121/AF117</f>
        <v>#DIV/0!</v>
      </c>
      <c r="AG122" s="13" t="e">
        <f t="shared" ref="AG122" si="1851">AG121/AG117</f>
        <v>#DIV/0!</v>
      </c>
      <c r="AH122" s="13" t="e">
        <f t="shared" ref="AH122" si="1852">AH121/AH117</f>
        <v>#DIV/0!</v>
      </c>
      <c r="AI122" s="13" t="e">
        <f t="shared" ref="AI122" si="1853">AI121/AI117</f>
        <v>#DIV/0!</v>
      </c>
      <c r="AJ122" s="13" t="e">
        <f t="shared" ref="AJ122" si="1854">AJ121/AJ117</f>
        <v>#DIV/0!</v>
      </c>
      <c r="AK122" s="13" t="e">
        <f t="shared" ref="AK122" si="1855">AK121/AK117</f>
        <v>#DIV/0!</v>
      </c>
      <c r="AL122" s="13" t="e">
        <f t="shared" ref="AL122" si="1856">AL121/AL117</f>
        <v>#DIV/0!</v>
      </c>
      <c r="AM122" s="13" t="e">
        <f t="shared" ref="AM122" si="1857">AM121/AM117</f>
        <v>#DIV/0!</v>
      </c>
      <c r="AN122" s="13" t="e">
        <f t="shared" ref="AN122" si="1858">AN121/AN117</f>
        <v>#DIV/0!</v>
      </c>
      <c r="AO122" s="160" t="e">
        <f t="shared" ref="AO122" si="1859">AO121/AO117</f>
        <v>#DIV/0!</v>
      </c>
      <c r="AP122" s="13" t="e">
        <f t="shared" ref="AP122" si="1860">AP121/AP117</f>
        <v>#DIV/0!</v>
      </c>
      <c r="AQ122" s="160" t="e">
        <f t="shared" ref="AQ122" si="1861">AQ121/AQ117</f>
        <v>#DIV/0!</v>
      </c>
      <c r="AR122" s="13" t="e">
        <f t="shared" ref="AR122" si="1862">AR121/AR117</f>
        <v>#DIV/0!</v>
      </c>
      <c r="AS122" s="13" t="e">
        <f t="shared" ref="AS122" si="1863">AS121/AS117</f>
        <v>#DIV/0!</v>
      </c>
      <c r="AT122" s="13" t="e">
        <f t="shared" ref="AT122" si="1864">AT121/AT117</f>
        <v>#DIV/0!</v>
      </c>
      <c r="AU122" s="13" t="e">
        <f t="shared" ref="AU122" si="1865">AU121/AU117</f>
        <v>#DIV/0!</v>
      </c>
      <c r="AV122" s="13" t="e">
        <f t="shared" ref="AV122" si="1866">AV121/AV117</f>
        <v>#DIV/0!</v>
      </c>
      <c r="AW122" s="13" t="e">
        <f t="shared" ref="AW122" si="1867">AW121/AW117</f>
        <v>#DIV/0!</v>
      </c>
      <c r="AX122" s="13" t="e">
        <f t="shared" ref="AX122" si="1868">AX121/AX117</f>
        <v>#DIV/0!</v>
      </c>
      <c r="AY122" s="13" t="e">
        <f t="shared" ref="AY122" si="1869">AY121/AY117</f>
        <v>#DIV/0!</v>
      </c>
      <c r="AZ122" s="13" t="e">
        <f t="shared" ref="AZ122" si="1870">AZ121/AZ117</f>
        <v>#DIV/0!</v>
      </c>
      <c r="BA122" s="13" t="e">
        <f t="shared" ref="BA122" si="1871">BA121/BA117</f>
        <v>#DIV/0!</v>
      </c>
      <c r="BB122" s="160" t="e">
        <f t="shared" ref="BB122" si="1872">BB121/BB117</f>
        <v>#DIV/0!</v>
      </c>
      <c r="BC122" s="13" t="e">
        <f t="shared" ref="BC122" si="1873">BC121/BC117</f>
        <v>#DIV/0!</v>
      </c>
      <c r="BD122" s="13" t="e">
        <f t="shared" ref="BD122" si="1874">BD121/BD117</f>
        <v>#DIV/0!</v>
      </c>
      <c r="BE122" s="13" t="e">
        <f t="shared" ref="BE122" si="1875">BE121/BE117</f>
        <v>#DIV/0!</v>
      </c>
      <c r="BF122" s="13" t="e">
        <f t="shared" ref="BF122" si="1876">BF121/BF117</f>
        <v>#DIV/0!</v>
      </c>
      <c r="BG122" s="13">
        <f t="shared" ref="BG122:BH122" si="1877">BG121/BG117</f>
        <v>6.9854551481642213E-2</v>
      </c>
      <c r="BH122" s="160">
        <f t="shared" si="1877"/>
        <v>6.9854551481642213E-2</v>
      </c>
      <c r="BI122" s="160">
        <f t="shared" ref="BI122" si="1878">BI121/BI117</f>
        <v>7.3189145888022916E-2</v>
      </c>
      <c r="BJ122" s="13">
        <f t="shared" ref="BJ122:BK122" si="1879">BJ121/BJ117</f>
        <v>6.9781222771584425E-2</v>
      </c>
      <c r="BK122" s="50">
        <f t="shared" si="1879"/>
        <v>0.16438468615101551</v>
      </c>
      <c r="BM122" s="14">
        <f t="shared" ref="BM122" si="1880">BM121/BM117</f>
        <v>1.0833333333333333</v>
      </c>
    </row>
    <row r="123" spans="1:118">
      <c r="A123" s="128"/>
      <c r="B123" s="5" t="s">
        <v>431</v>
      </c>
      <c r="C123" s="126" t="e">
        <f>C118/C115</f>
        <v>#DIV/0!</v>
      </c>
      <c r="D123" s="126" t="e">
        <f t="shared" ref="D123:BK123" si="1881">D118/D115</f>
        <v>#DIV/0!</v>
      </c>
      <c r="E123" s="126" t="e">
        <f t="shared" si="1881"/>
        <v>#DIV/0!</v>
      </c>
      <c r="F123" s="126" t="e">
        <f t="shared" si="1881"/>
        <v>#DIV/0!</v>
      </c>
      <c r="G123" s="126" t="e">
        <f t="shared" si="1881"/>
        <v>#DIV/0!</v>
      </c>
      <c r="H123" s="126">
        <f t="shared" si="1881"/>
        <v>0.24002536549262457</v>
      </c>
      <c r="I123" s="126" t="e">
        <f t="shared" si="1881"/>
        <v>#DIV/0!</v>
      </c>
      <c r="J123" s="126" t="e">
        <f t="shared" si="1881"/>
        <v>#DIV/0!</v>
      </c>
      <c r="K123" s="126" t="e">
        <f t="shared" si="1881"/>
        <v>#DIV/0!</v>
      </c>
      <c r="L123" s="126" t="e">
        <f t="shared" si="1881"/>
        <v>#DIV/0!</v>
      </c>
      <c r="M123" s="126" t="e">
        <f t="shared" si="1881"/>
        <v>#DIV/0!</v>
      </c>
      <c r="N123" s="126" t="e">
        <f t="shared" si="1881"/>
        <v>#DIV/0!</v>
      </c>
      <c r="O123" s="126" t="e">
        <f t="shared" si="1881"/>
        <v>#DIV/0!</v>
      </c>
      <c r="P123" s="126" t="e">
        <f t="shared" si="1881"/>
        <v>#DIV/0!</v>
      </c>
      <c r="Q123" s="126" t="e">
        <f t="shared" si="1881"/>
        <v>#DIV/0!</v>
      </c>
      <c r="R123" s="126" t="e">
        <f t="shared" si="1881"/>
        <v>#DIV/0!</v>
      </c>
      <c r="S123" s="126" t="e">
        <f t="shared" si="1881"/>
        <v>#DIV/0!</v>
      </c>
      <c r="T123" s="126" t="e">
        <f t="shared" si="1881"/>
        <v>#DIV/0!</v>
      </c>
      <c r="U123" s="126" t="e">
        <f t="shared" si="1881"/>
        <v>#DIV/0!</v>
      </c>
      <c r="V123" s="175" t="e">
        <f t="shared" si="1881"/>
        <v>#DIV/0!</v>
      </c>
      <c r="W123" s="126" t="e">
        <f t="shared" si="1881"/>
        <v>#DIV/0!</v>
      </c>
      <c r="X123" s="126" t="e">
        <f t="shared" si="1881"/>
        <v>#DIV/0!</v>
      </c>
      <c r="Y123" s="126" t="e">
        <f t="shared" si="1881"/>
        <v>#DIV/0!</v>
      </c>
      <c r="Z123" s="126" t="e">
        <f t="shared" si="1881"/>
        <v>#DIV/0!</v>
      </c>
      <c r="AA123" s="126" t="e">
        <f t="shared" si="1881"/>
        <v>#DIV/0!</v>
      </c>
      <c r="AB123" s="126" t="e">
        <f t="shared" ref="AB123" si="1882">AB118/AB115</f>
        <v>#DIV/0!</v>
      </c>
      <c r="AC123" s="175" t="e">
        <f t="shared" si="1881"/>
        <v>#DIV/0!</v>
      </c>
      <c r="AD123" s="218">
        <f t="shared" si="1881"/>
        <v>0.24002536549262457</v>
      </c>
      <c r="AE123" s="126" t="e">
        <f t="shared" si="1881"/>
        <v>#DIV/0!</v>
      </c>
      <c r="AF123" s="126" t="e">
        <f t="shared" si="1881"/>
        <v>#DIV/0!</v>
      </c>
      <c r="AG123" s="126" t="e">
        <f t="shared" si="1881"/>
        <v>#DIV/0!</v>
      </c>
      <c r="AH123" s="126" t="e">
        <f t="shared" si="1881"/>
        <v>#DIV/0!</v>
      </c>
      <c r="AI123" s="126" t="e">
        <f t="shared" si="1881"/>
        <v>#DIV/0!</v>
      </c>
      <c r="AJ123" s="126" t="e">
        <f t="shared" si="1881"/>
        <v>#DIV/0!</v>
      </c>
      <c r="AK123" s="126" t="e">
        <f t="shared" si="1881"/>
        <v>#DIV/0!</v>
      </c>
      <c r="AL123" s="126" t="e">
        <f t="shared" si="1881"/>
        <v>#DIV/0!</v>
      </c>
      <c r="AM123" s="126" t="e">
        <f t="shared" si="1881"/>
        <v>#DIV/0!</v>
      </c>
      <c r="AN123" s="126" t="e">
        <f t="shared" si="1881"/>
        <v>#DIV/0!</v>
      </c>
      <c r="AO123" s="175" t="e">
        <f t="shared" si="1881"/>
        <v>#DIV/0!</v>
      </c>
      <c r="AP123" s="126" t="e">
        <f t="shared" si="1881"/>
        <v>#DIV/0!</v>
      </c>
      <c r="AQ123" s="175" t="e">
        <f t="shared" si="1881"/>
        <v>#DIV/0!</v>
      </c>
      <c r="AR123" s="126" t="e">
        <f t="shared" si="1881"/>
        <v>#DIV/0!</v>
      </c>
      <c r="AS123" s="126" t="e">
        <f t="shared" si="1881"/>
        <v>#DIV/0!</v>
      </c>
      <c r="AT123" s="126" t="e">
        <f t="shared" si="1881"/>
        <v>#DIV/0!</v>
      </c>
      <c r="AU123" s="126" t="e">
        <f t="shared" si="1881"/>
        <v>#DIV/0!</v>
      </c>
      <c r="AV123" s="126" t="e">
        <f t="shared" si="1881"/>
        <v>#DIV/0!</v>
      </c>
      <c r="AW123" s="126" t="e">
        <f t="shared" si="1881"/>
        <v>#DIV/0!</v>
      </c>
      <c r="AX123" s="126" t="e">
        <f t="shared" si="1881"/>
        <v>#DIV/0!</v>
      </c>
      <c r="AY123" s="126" t="e">
        <f t="shared" si="1881"/>
        <v>#DIV/0!</v>
      </c>
      <c r="AZ123" s="126" t="e">
        <f t="shared" si="1881"/>
        <v>#DIV/0!</v>
      </c>
      <c r="BA123" s="126" t="e">
        <f t="shared" si="1881"/>
        <v>#DIV/0!</v>
      </c>
      <c r="BB123" s="175" t="e">
        <f t="shared" si="1881"/>
        <v>#DIV/0!</v>
      </c>
      <c r="BC123" s="126" t="e">
        <f t="shared" si="1881"/>
        <v>#DIV/0!</v>
      </c>
      <c r="BD123" s="126" t="e">
        <f t="shared" si="1881"/>
        <v>#DIV/0!</v>
      </c>
      <c r="BE123" s="126" t="e">
        <f t="shared" si="1881"/>
        <v>#DIV/0!</v>
      </c>
      <c r="BF123" s="126" t="e">
        <f t="shared" si="1881"/>
        <v>#DIV/0!</v>
      </c>
      <c r="BG123" s="126">
        <f t="shared" si="1881"/>
        <v>0.26559672575467114</v>
      </c>
      <c r="BH123" s="175">
        <f t="shared" si="1881"/>
        <v>0.26559672575467114</v>
      </c>
      <c r="BI123" s="175">
        <f t="shared" si="1881"/>
        <v>0.26449919447348874</v>
      </c>
      <c r="BJ123" s="126">
        <f t="shared" si="1881"/>
        <v>0.2655306716041318</v>
      </c>
      <c r="BK123" s="126">
        <f t="shared" si="1881"/>
        <v>0.24144037329968157</v>
      </c>
      <c r="BM123" s="126" t="e">
        <f t="shared" ref="BM123" si="1883">BM118/BM115</f>
        <v>#DIV/0!</v>
      </c>
    </row>
    <row r="124" spans="1:118" s="178" customFormat="1">
      <c r="A124" s="128"/>
      <c r="B124" s="5" t="s">
        <v>432</v>
      </c>
      <c r="C124" s="11">
        <f>C115-C118</f>
        <v>0</v>
      </c>
      <c r="D124" s="11">
        <f t="shared" ref="D124:BK124" si="1884">D115-D118</f>
        <v>0</v>
      </c>
      <c r="E124" s="11">
        <f t="shared" si="1884"/>
        <v>0</v>
      </c>
      <c r="F124" s="11">
        <f t="shared" si="1884"/>
        <v>0</v>
      </c>
      <c r="G124" s="11">
        <f t="shared" si="1884"/>
        <v>0</v>
      </c>
      <c r="H124" s="11">
        <f t="shared" si="1884"/>
        <v>1297909</v>
      </c>
      <c r="I124" s="11">
        <f t="shared" si="1884"/>
        <v>0</v>
      </c>
      <c r="J124" s="11">
        <f t="shared" si="1884"/>
        <v>0</v>
      </c>
      <c r="K124" s="11">
        <f t="shared" si="1884"/>
        <v>0</v>
      </c>
      <c r="L124" s="11">
        <f t="shared" si="1884"/>
        <v>0</v>
      </c>
      <c r="M124" s="11">
        <f t="shared" si="1884"/>
        <v>0</v>
      </c>
      <c r="N124" s="11">
        <f t="shared" si="1884"/>
        <v>0</v>
      </c>
      <c r="O124" s="11">
        <f t="shared" si="1884"/>
        <v>0</v>
      </c>
      <c r="P124" s="11">
        <f t="shared" si="1884"/>
        <v>0</v>
      </c>
      <c r="Q124" s="11">
        <f t="shared" si="1884"/>
        <v>0</v>
      </c>
      <c r="R124" s="11">
        <f t="shared" si="1884"/>
        <v>0</v>
      </c>
      <c r="S124" s="11">
        <f t="shared" si="1884"/>
        <v>0</v>
      </c>
      <c r="T124" s="11">
        <f t="shared" si="1884"/>
        <v>0</v>
      </c>
      <c r="U124" s="11">
        <f t="shared" si="1884"/>
        <v>0</v>
      </c>
      <c r="V124" s="11">
        <f t="shared" si="1884"/>
        <v>0</v>
      </c>
      <c r="W124" s="11">
        <f t="shared" si="1884"/>
        <v>0</v>
      </c>
      <c r="X124" s="11">
        <f t="shared" si="1884"/>
        <v>0</v>
      </c>
      <c r="Y124" s="11">
        <f t="shared" si="1884"/>
        <v>0</v>
      </c>
      <c r="Z124" s="11">
        <f t="shared" si="1884"/>
        <v>0</v>
      </c>
      <c r="AA124" s="11">
        <f t="shared" si="1884"/>
        <v>0</v>
      </c>
      <c r="AB124" s="11">
        <f t="shared" si="1884"/>
        <v>0</v>
      </c>
      <c r="AC124" s="11">
        <f t="shared" si="1884"/>
        <v>0</v>
      </c>
      <c r="AD124" s="11">
        <f t="shared" si="1884"/>
        <v>1297909</v>
      </c>
      <c r="AE124" s="11">
        <f t="shared" si="1884"/>
        <v>0</v>
      </c>
      <c r="AF124" s="11">
        <f t="shared" si="1884"/>
        <v>0</v>
      </c>
      <c r="AG124" s="11">
        <f t="shared" si="1884"/>
        <v>0</v>
      </c>
      <c r="AH124" s="11">
        <f t="shared" si="1884"/>
        <v>0</v>
      </c>
      <c r="AI124" s="11">
        <f t="shared" si="1884"/>
        <v>0</v>
      </c>
      <c r="AJ124" s="11">
        <f t="shared" si="1884"/>
        <v>0</v>
      </c>
      <c r="AK124" s="11">
        <f t="shared" si="1884"/>
        <v>0</v>
      </c>
      <c r="AL124" s="11">
        <f t="shared" si="1884"/>
        <v>0</v>
      </c>
      <c r="AM124" s="11">
        <f t="shared" si="1884"/>
        <v>0</v>
      </c>
      <c r="AN124" s="11">
        <f t="shared" si="1884"/>
        <v>0</v>
      </c>
      <c r="AO124" s="11">
        <f t="shared" si="1884"/>
        <v>0</v>
      </c>
      <c r="AP124" s="11">
        <f t="shared" si="1884"/>
        <v>0</v>
      </c>
      <c r="AQ124" s="11">
        <f t="shared" si="1884"/>
        <v>0</v>
      </c>
      <c r="AR124" s="11">
        <f t="shared" si="1884"/>
        <v>0</v>
      </c>
      <c r="AS124" s="11">
        <f t="shared" si="1884"/>
        <v>0</v>
      </c>
      <c r="AT124" s="11">
        <f t="shared" si="1884"/>
        <v>0</v>
      </c>
      <c r="AU124" s="11">
        <f t="shared" si="1884"/>
        <v>0</v>
      </c>
      <c r="AV124" s="11">
        <f t="shared" si="1884"/>
        <v>0</v>
      </c>
      <c r="AW124" s="11">
        <f t="shared" si="1884"/>
        <v>0</v>
      </c>
      <c r="AX124" s="11">
        <f t="shared" si="1884"/>
        <v>0</v>
      </c>
      <c r="AY124" s="11">
        <f t="shared" si="1884"/>
        <v>0</v>
      </c>
      <c r="AZ124" s="11">
        <f t="shared" si="1884"/>
        <v>0</v>
      </c>
      <c r="BA124" s="11">
        <f t="shared" si="1884"/>
        <v>0</v>
      </c>
      <c r="BB124" s="11">
        <f t="shared" si="1884"/>
        <v>0</v>
      </c>
      <c r="BC124" s="11">
        <f t="shared" si="1884"/>
        <v>0</v>
      </c>
      <c r="BD124" s="11">
        <f t="shared" si="1884"/>
        <v>0</v>
      </c>
      <c r="BE124" s="11">
        <f t="shared" si="1884"/>
        <v>0</v>
      </c>
      <c r="BF124" s="11">
        <f t="shared" si="1884"/>
        <v>0</v>
      </c>
      <c r="BG124" s="11">
        <f t="shared" si="1884"/>
        <v>27968216</v>
      </c>
      <c r="BH124" s="11">
        <f t="shared" si="1884"/>
        <v>27968216</v>
      </c>
      <c r="BI124" s="11">
        <f t="shared" si="1884"/>
        <v>29266125</v>
      </c>
      <c r="BJ124" s="11">
        <f t="shared" si="1884"/>
        <v>27973748</v>
      </c>
      <c r="BK124" s="11">
        <f t="shared" si="1884"/>
        <v>1292377</v>
      </c>
      <c r="BL124" s="11">
        <f t="shared" ref="BL124:BM124" si="1885">BL118-BL115</f>
        <v>411348</v>
      </c>
      <c r="BM124" s="11">
        <f t="shared" si="1885"/>
        <v>1425</v>
      </c>
    </row>
    <row r="125" spans="1:118">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9"/>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9"/>
      <c r="BJ125" s="5"/>
      <c r="BK125" s="48"/>
    </row>
    <row r="126" spans="1:118">
      <c r="A126" s="128" t="s">
        <v>128</v>
      </c>
      <c r="B126" s="11" t="s">
        <v>430</v>
      </c>
      <c r="C126" s="9">
        <f t="shared" ref="C126:AC127" si="1886">C5+C16+C27+C38+C49+C60+C71+C82+C93+C104+C115</f>
        <v>12624112</v>
      </c>
      <c r="D126" s="9">
        <f t="shared" si="1886"/>
        <v>7909946</v>
      </c>
      <c r="E126" s="9">
        <f t="shared" si="1886"/>
        <v>0</v>
      </c>
      <c r="F126" s="9">
        <f t="shared" si="1886"/>
        <v>1845616</v>
      </c>
      <c r="G126" s="9">
        <f t="shared" si="1886"/>
        <v>928216</v>
      </c>
      <c r="H126" s="9">
        <f>H5+H16+H27+H38+H49+J60+H71+H82+H93+H104+H115</f>
        <v>2768268</v>
      </c>
      <c r="I126" s="9">
        <f t="shared" si="1886"/>
        <v>0</v>
      </c>
      <c r="J126" s="9">
        <f>J5+J16+J27+J38+J49+J60+J71+J82+J93+J104+J115</f>
        <v>1443153</v>
      </c>
      <c r="K126" s="9">
        <f t="shared" si="1886"/>
        <v>90269</v>
      </c>
      <c r="L126" s="9">
        <f t="shared" si="1886"/>
        <v>391944</v>
      </c>
      <c r="M126" s="9">
        <f t="shared" si="1886"/>
        <v>697559</v>
      </c>
      <c r="N126" s="9">
        <f t="shared" si="1886"/>
        <v>17463</v>
      </c>
      <c r="O126" s="9">
        <f t="shared" si="1886"/>
        <v>50261</v>
      </c>
      <c r="P126" s="9">
        <f t="shared" si="1886"/>
        <v>603962</v>
      </c>
      <c r="Q126" s="9">
        <f t="shared" si="1886"/>
        <v>0</v>
      </c>
      <c r="R126" s="9">
        <f t="shared" si="1886"/>
        <v>47426</v>
      </c>
      <c r="S126" s="9">
        <f t="shared" si="1886"/>
        <v>989948</v>
      </c>
      <c r="T126" s="9">
        <f t="shared" si="1886"/>
        <v>839276</v>
      </c>
      <c r="U126" s="9">
        <f t="shared" si="1886"/>
        <v>0</v>
      </c>
      <c r="V126" s="9">
        <f t="shared" si="1886"/>
        <v>365631</v>
      </c>
      <c r="W126" s="9">
        <f t="shared" si="1886"/>
        <v>879</v>
      </c>
      <c r="X126" s="9">
        <f t="shared" si="1886"/>
        <v>232</v>
      </c>
      <c r="Y126" s="9">
        <f t="shared" si="1886"/>
        <v>32422</v>
      </c>
      <c r="Z126" s="9">
        <f t="shared" si="1886"/>
        <v>11652</v>
      </c>
      <c r="AA126" s="9">
        <f t="shared" si="1886"/>
        <v>8590</v>
      </c>
      <c r="AB126" s="9">
        <f t="shared" si="1886"/>
        <v>9627</v>
      </c>
      <c r="AC126" s="9">
        <f t="shared" si="1886"/>
        <v>910842</v>
      </c>
      <c r="AD126" s="221">
        <f t="shared" ref="AD126:AD129" si="1887">SUM(C126:AC126)</f>
        <v>32587294</v>
      </c>
      <c r="AE126" s="5">
        <f t="shared" ref="AE126:BH127" si="1888">AE5+AE16+AE27+AE38+AE49+AE60+AE71+AE82+AE93+AE104+AE115</f>
        <v>25657</v>
      </c>
      <c r="AF126" s="5">
        <f t="shared" si="1888"/>
        <v>11536</v>
      </c>
      <c r="AG126" s="5">
        <f t="shared" si="1888"/>
        <v>86096</v>
      </c>
      <c r="AH126" s="5">
        <f t="shared" si="1888"/>
        <v>0</v>
      </c>
      <c r="AI126" s="5">
        <f t="shared" si="1888"/>
        <v>0</v>
      </c>
      <c r="AJ126" s="5">
        <f t="shared" si="1888"/>
        <v>19795</v>
      </c>
      <c r="AK126" s="5">
        <f t="shared" si="1888"/>
        <v>924135</v>
      </c>
      <c r="AL126" s="5">
        <f t="shared" si="1888"/>
        <v>603244</v>
      </c>
      <c r="AM126" s="5">
        <f t="shared" si="1888"/>
        <v>8903510</v>
      </c>
      <c r="AN126" s="5">
        <f t="shared" si="1888"/>
        <v>214690</v>
      </c>
      <c r="AO126" s="16">
        <f t="shared" si="1888"/>
        <v>2039002</v>
      </c>
      <c r="AP126" s="5">
        <f t="shared" si="1888"/>
        <v>4308084</v>
      </c>
      <c r="AQ126" s="16">
        <f t="shared" si="1888"/>
        <v>377844</v>
      </c>
      <c r="AR126" s="5">
        <f t="shared" si="1888"/>
        <v>53095</v>
      </c>
      <c r="AS126" s="5">
        <f t="shared" si="1888"/>
        <v>0</v>
      </c>
      <c r="AT126" s="5">
        <f t="shared" si="1888"/>
        <v>0</v>
      </c>
      <c r="AU126" s="5">
        <f t="shared" si="1888"/>
        <v>36336</v>
      </c>
      <c r="AV126" s="5">
        <f t="shared" si="1888"/>
        <v>0</v>
      </c>
      <c r="AW126" s="5">
        <f t="shared" si="1888"/>
        <v>9398</v>
      </c>
      <c r="AX126" s="5">
        <f t="shared" si="1888"/>
        <v>15137</v>
      </c>
      <c r="AY126" s="5">
        <f t="shared" si="1888"/>
        <v>2449</v>
      </c>
      <c r="AZ126" s="5">
        <f t="shared" si="1888"/>
        <v>76328</v>
      </c>
      <c r="BA126" s="5">
        <f t="shared" si="1888"/>
        <v>381201</v>
      </c>
      <c r="BB126" s="16">
        <f t="shared" si="1888"/>
        <v>845526</v>
      </c>
      <c r="BC126" s="5">
        <f t="shared" si="1888"/>
        <v>102719</v>
      </c>
      <c r="BD126" s="5">
        <f t="shared" si="1888"/>
        <v>104093</v>
      </c>
      <c r="BE126" s="5">
        <f t="shared" si="1888"/>
        <v>53</v>
      </c>
      <c r="BF126" s="5">
        <f t="shared" si="1888"/>
        <v>135968</v>
      </c>
      <c r="BG126" s="11">
        <f t="shared" si="1888"/>
        <v>39408082</v>
      </c>
      <c r="BH126" s="16">
        <f t="shared" si="1888"/>
        <v>58683978</v>
      </c>
      <c r="BI126" s="220">
        <f>AD126+BH126</f>
        <v>91271272</v>
      </c>
      <c r="BJ126" s="5">
        <f t="shared" ref="BJ126:BK129" si="1889">BJ5+BJ16+BJ27+BJ38+BJ49+BJ60+BJ71+BJ82+BJ93+BJ104+BJ115</f>
        <v>38609440</v>
      </c>
      <c r="BK126" s="49">
        <f t="shared" si="1889"/>
        <v>51601396</v>
      </c>
      <c r="BM126" s="30">
        <f>BK126-AD126</f>
        <v>19014102</v>
      </c>
    </row>
    <row r="127" spans="1:118" s="41" customFormat="1">
      <c r="A127" s="134"/>
      <c r="B127" s="210" t="s">
        <v>424</v>
      </c>
      <c r="C127" s="10">
        <f t="shared" si="1886"/>
        <v>2398581</v>
      </c>
      <c r="D127" s="10">
        <f t="shared" si="1886"/>
        <v>1502889</v>
      </c>
      <c r="E127" s="10">
        <f t="shared" si="1886"/>
        <v>0</v>
      </c>
      <c r="F127" s="10">
        <f t="shared" si="1886"/>
        <v>350666</v>
      </c>
      <c r="G127" s="10">
        <f t="shared" si="1886"/>
        <v>176362</v>
      </c>
      <c r="H127" s="10">
        <f t="shared" si="1886"/>
        <v>324488</v>
      </c>
      <c r="I127" s="10">
        <f t="shared" si="1886"/>
        <v>0</v>
      </c>
      <c r="J127" s="10">
        <f t="shared" si="1886"/>
        <v>274199</v>
      </c>
      <c r="K127" s="10">
        <f t="shared" si="1886"/>
        <v>17152</v>
      </c>
      <c r="L127" s="10">
        <f t="shared" si="1886"/>
        <v>74470</v>
      </c>
      <c r="M127" s="10">
        <f t="shared" si="1886"/>
        <v>132537</v>
      </c>
      <c r="N127" s="10">
        <f t="shared" si="1886"/>
        <v>3317</v>
      </c>
      <c r="O127" s="10">
        <f t="shared" si="1886"/>
        <v>9551</v>
      </c>
      <c r="P127" s="10">
        <f t="shared" si="1886"/>
        <v>114752</v>
      </c>
      <c r="Q127" s="10">
        <f t="shared" si="1886"/>
        <v>0</v>
      </c>
      <c r="R127" s="10">
        <f t="shared" si="1886"/>
        <v>9011</v>
      </c>
      <c r="S127" s="10">
        <f t="shared" si="1886"/>
        <v>494974</v>
      </c>
      <c r="T127" s="10">
        <f t="shared" si="1886"/>
        <v>159462</v>
      </c>
      <c r="U127" s="10">
        <f t="shared" si="1886"/>
        <v>0</v>
      </c>
      <c r="V127" s="10">
        <f t="shared" si="1886"/>
        <v>69470</v>
      </c>
      <c r="W127" s="10">
        <f t="shared" si="1886"/>
        <v>167</v>
      </c>
      <c r="X127" s="10">
        <f t="shared" si="1886"/>
        <v>44</v>
      </c>
      <c r="Y127" s="10">
        <f t="shared" si="1886"/>
        <v>6161</v>
      </c>
      <c r="Z127" s="10">
        <f t="shared" si="1886"/>
        <v>2214</v>
      </c>
      <c r="AA127" s="10">
        <f t="shared" si="1886"/>
        <v>1633</v>
      </c>
      <c r="AB127" s="10">
        <f t="shared" si="1886"/>
        <v>1829</v>
      </c>
      <c r="AC127" s="10">
        <f t="shared" si="1886"/>
        <v>173060</v>
      </c>
      <c r="AD127" s="221">
        <f t="shared" si="1887"/>
        <v>6296989</v>
      </c>
      <c r="AE127" s="6">
        <f t="shared" ref="AE127:BG127" si="1890">AE6+AE17+AE28+AE39+AE50+AE61+AE72+AE83+AE94+AE105+AE116</f>
        <v>6158</v>
      </c>
      <c r="AF127" s="6">
        <f t="shared" si="1890"/>
        <v>2767</v>
      </c>
      <c r="AG127" s="6">
        <f t="shared" si="1890"/>
        <v>20663</v>
      </c>
      <c r="AH127" s="6">
        <f t="shared" si="1890"/>
        <v>0</v>
      </c>
      <c r="AI127" s="6">
        <f t="shared" si="1890"/>
        <v>0</v>
      </c>
      <c r="AJ127" s="6">
        <f t="shared" si="1890"/>
        <v>4751</v>
      </c>
      <c r="AK127" s="6">
        <f t="shared" si="1890"/>
        <v>221793</v>
      </c>
      <c r="AL127" s="6">
        <f t="shared" si="1890"/>
        <v>144778</v>
      </c>
      <c r="AM127" s="6">
        <f t="shared" si="1890"/>
        <v>2136843</v>
      </c>
      <c r="AN127" s="6">
        <f t="shared" si="1890"/>
        <v>51525</v>
      </c>
      <c r="AO127" s="6">
        <f t="shared" si="1890"/>
        <v>489360</v>
      </c>
      <c r="AP127" s="6">
        <f t="shared" si="1890"/>
        <v>2547352</v>
      </c>
      <c r="AQ127" s="6">
        <f t="shared" si="1890"/>
        <v>90683</v>
      </c>
      <c r="AR127" s="6">
        <f t="shared" si="1890"/>
        <v>12743</v>
      </c>
      <c r="AS127" s="6">
        <f t="shared" si="1890"/>
        <v>0</v>
      </c>
      <c r="AT127" s="6">
        <f t="shared" si="1890"/>
        <v>0</v>
      </c>
      <c r="AU127" s="6">
        <f t="shared" si="1890"/>
        <v>8721</v>
      </c>
      <c r="AV127" s="6">
        <f t="shared" si="1890"/>
        <v>0</v>
      </c>
      <c r="AW127" s="6">
        <f t="shared" si="1890"/>
        <v>0</v>
      </c>
      <c r="AX127" s="6">
        <f t="shared" si="1890"/>
        <v>3634</v>
      </c>
      <c r="AY127" s="6">
        <f t="shared" si="1890"/>
        <v>0</v>
      </c>
      <c r="AZ127" s="10">
        <f t="shared" si="1890"/>
        <v>18319</v>
      </c>
      <c r="BA127" s="6">
        <f t="shared" si="1890"/>
        <v>91488</v>
      </c>
      <c r="BB127" s="6">
        <f t="shared" si="1890"/>
        <v>202926</v>
      </c>
      <c r="BC127" s="6">
        <f t="shared" si="1890"/>
        <v>24651</v>
      </c>
      <c r="BD127" s="6">
        <f t="shared" si="1890"/>
        <v>24982</v>
      </c>
      <c r="BE127" s="6">
        <f t="shared" si="1890"/>
        <v>12</v>
      </c>
      <c r="BF127" s="6">
        <f t="shared" si="1890"/>
        <v>32629</v>
      </c>
      <c r="BG127" s="10">
        <f t="shared" si="1890"/>
        <v>317054</v>
      </c>
      <c r="BH127" s="6">
        <f t="shared" si="1888"/>
        <v>6453832</v>
      </c>
      <c r="BI127" s="273">
        <f>AD127+BH127</f>
        <v>12750821</v>
      </c>
      <c r="BJ127" s="6">
        <f t="shared" si="1889"/>
        <v>125374</v>
      </c>
      <c r="BK127" s="10">
        <f t="shared" si="1889"/>
        <v>12625447</v>
      </c>
      <c r="BM127" s="211">
        <f t="shared" ref="BM127:BM132" si="1891">BK127-AD127</f>
        <v>6328458</v>
      </c>
    </row>
    <row r="128" spans="1:118">
      <c r="B128" s="12" t="s">
        <v>425</v>
      </c>
      <c r="C128" s="5">
        <f t="shared" ref="C128:AC128" si="1892">C7+C18+C29+C40+C51+C62+C73+C84+C95+C106+C117</f>
        <v>2340036</v>
      </c>
      <c r="D128" s="5">
        <f t="shared" si="1892"/>
        <v>1263179</v>
      </c>
      <c r="E128" s="5">
        <f t="shared" si="1892"/>
        <v>1013</v>
      </c>
      <c r="F128" s="5">
        <f t="shared" si="1892"/>
        <v>283592</v>
      </c>
      <c r="G128" s="5">
        <f t="shared" si="1892"/>
        <v>163495</v>
      </c>
      <c r="H128" s="5">
        <f t="shared" si="1892"/>
        <v>352591</v>
      </c>
      <c r="I128" s="5">
        <f t="shared" si="1892"/>
        <v>0</v>
      </c>
      <c r="J128" s="5">
        <f t="shared" si="1892"/>
        <v>403778</v>
      </c>
      <c r="K128" s="5">
        <f t="shared" si="1892"/>
        <v>31022</v>
      </c>
      <c r="L128" s="5">
        <f t="shared" si="1892"/>
        <v>151111</v>
      </c>
      <c r="M128" s="5">
        <f t="shared" si="1892"/>
        <v>130429</v>
      </c>
      <c r="N128" s="5">
        <f t="shared" si="1892"/>
        <v>1795</v>
      </c>
      <c r="O128" s="5">
        <f t="shared" si="1892"/>
        <v>11705</v>
      </c>
      <c r="P128" s="5">
        <f t="shared" si="1892"/>
        <v>214377</v>
      </c>
      <c r="Q128" s="5">
        <f t="shared" si="1892"/>
        <v>0</v>
      </c>
      <c r="R128" s="5">
        <f t="shared" si="1892"/>
        <v>16878</v>
      </c>
      <c r="S128" s="5">
        <f t="shared" si="1892"/>
        <v>233330</v>
      </c>
      <c r="T128" s="5">
        <f t="shared" si="1892"/>
        <v>298491</v>
      </c>
      <c r="U128" s="5">
        <f t="shared" si="1892"/>
        <v>0</v>
      </c>
      <c r="V128" s="16">
        <f t="shared" si="1892"/>
        <v>10499</v>
      </c>
      <c r="W128" s="5">
        <f t="shared" si="1892"/>
        <v>464</v>
      </c>
      <c r="X128" s="5">
        <f t="shared" si="1892"/>
        <v>0</v>
      </c>
      <c r="Y128" s="5">
        <f t="shared" si="1892"/>
        <v>5945</v>
      </c>
      <c r="Z128" s="5">
        <f t="shared" si="1892"/>
        <v>1638</v>
      </c>
      <c r="AA128" s="5">
        <f t="shared" si="1892"/>
        <v>2657</v>
      </c>
      <c r="AB128" s="5">
        <f t="shared" si="1892"/>
        <v>45</v>
      </c>
      <c r="AC128" s="16">
        <f t="shared" si="1892"/>
        <v>127363</v>
      </c>
      <c r="AD128" s="221">
        <f t="shared" si="1887"/>
        <v>6045433</v>
      </c>
      <c r="AE128" s="5">
        <f t="shared" ref="AE128:BH128" si="1893">AE7+AE18+AE29+AE40+AE51+AE62+AE73+AE84+AE95+AE106+AE117</f>
        <v>5899</v>
      </c>
      <c r="AF128" s="5">
        <f t="shared" si="1893"/>
        <v>2913</v>
      </c>
      <c r="AG128" s="5">
        <f t="shared" si="1893"/>
        <v>21675</v>
      </c>
      <c r="AH128" s="5">
        <f t="shared" si="1893"/>
        <v>0</v>
      </c>
      <c r="AI128" s="5">
        <f t="shared" si="1893"/>
        <v>0</v>
      </c>
      <c r="AJ128" s="5">
        <f t="shared" si="1893"/>
        <v>1973</v>
      </c>
      <c r="AK128" s="5">
        <f t="shared" si="1893"/>
        <v>176871</v>
      </c>
      <c r="AL128" s="5">
        <f t="shared" si="1893"/>
        <v>219998</v>
      </c>
      <c r="AM128" s="5">
        <f t="shared" si="1893"/>
        <v>945804</v>
      </c>
      <c r="AN128" s="5">
        <f t="shared" si="1893"/>
        <v>27031</v>
      </c>
      <c r="AO128" s="16">
        <f t="shared" si="1893"/>
        <v>446028</v>
      </c>
      <c r="AP128" s="5">
        <f t="shared" si="1893"/>
        <v>3678872</v>
      </c>
      <c r="AQ128" s="16">
        <f t="shared" si="1893"/>
        <v>39575</v>
      </c>
      <c r="AR128" s="5">
        <f t="shared" si="1893"/>
        <v>19033</v>
      </c>
      <c r="AS128" s="5">
        <f t="shared" si="1893"/>
        <v>0</v>
      </c>
      <c r="AT128" s="5">
        <f t="shared" si="1893"/>
        <v>0</v>
      </c>
      <c r="AU128" s="5">
        <f t="shared" si="1893"/>
        <v>15940</v>
      </c>
      <c r="AV128" s="5">
        <f t="shared" si="1893"/>
        <v>0</v>
      </c>
      <c r="AW128" s="5">
        <f t="shared" si="1893"/>
        <v>2952</v>
      </c>
      <c r="AX128" s="5">
        <f t="shared" si="1893"/>
        <v>2406</v>
      </c>
      <c r="AY128" s="5">
        <f t="shared" si="1893"/>
        <v>1257</v>
      </c>
      <c r="AZ128" s="5">
        <f t="shared" si="1893"/>
        <v>1022</v>
      </c>
      <c r="BA128" s="5">
        <f t="shared" si="1893"/>
        <v>148354</v>
      </c>
      <c r="BB128" s="16">
        <f t="shared" si="1893"/>
        <v>147946</v>
      </c>
      <c r="BC128" s="5">
        <f t="shared" si="1893"/>
        <v>27940</v>
      </c>
      <c r="BD128" s="5">
        <f t="shared" si="1893"/>
        <v>27940</v>
      </c>
      <c r="BE128" s="5">
        <f t="shared" si="1893"/>
        <v>0</v>
      </c>
      <c r="BF128" s="5">
        <f t="shared" si="1893"/>
        <v>24456</v>
      </c>
      <c r="BG128" s="11">
        <f t="shared" si="1893"/>
        <v>9797455</v>
      </c>
      <c r="BH128" s="9">
        <f t="shared" si="1893"/>
        <v>15783340</v>
      </c>
      <c r="BI128" s="274">
        <f>AD128+BH128</f>
        <v>21828773</v>
      </c>
      <c r="BJ128" s="5">
        <f t="shared" si="1889"/>
        <v>9471501</v>
      </c>
      <c r="BK128" s="49">
        <f t="shared" si="1889"/>
        <v>12357272</v>
      </c>
      <c r="BL128" s="30">
        <f>'Upto Month COPPY'!N61-'Upto Month COPPY'!M61</f>
        <v>12357523</v>
      </c>
      <c r="BM128" s="30">
        <f t="shared" si="1891"/>
        <v>6311839</v>
      </c>
    </row>
    <row r="129" spans="1:65">
      <c r="A129" s="128"/>
      <c r="B129" s="180" t="s">
        <v>426</v>
      </c>
      <c r="C129" s="5">
        <f t="shared" ref="C129:AC129" si="1894">C8+C19+C30+C41+C52+C63+C74+C85+C96+C107+C118</f>
        <v>2496542</v>
      </c>
      <c r="D129" s="5">
        <f t="shared" si="1894"/>
        <v>1533045</v>
      </c>
      <c r="E129" s="5">
        <f t="shared" si="1894"/>
        <v>559</v>
      </c>
      <c r="F129" s="5">
        <f t="shared" si="1894"/>
        <v>306455</v>
      </c>
      <c r="G129" s="5">
        <f t="shared" si="1894"/>
        <v>185020</v>
      </c>
      <c r="H129" s="5">
        <f t="shared" si="1894"/>
        <v>409923</v>
      </c>
      <c r="I129" s="5">
        <f t="shared" si="1894"/>
        <v>0</v>
      </c>
      <c r="J129" s="5">
        <f t="shared" si="1894"/>
        <v>262695</v>
      </c>
      <c r="K129" s="5">
        <f t="shared" si="1894"/>
        <v>11440</v>
      </c>
      <c r="L129" s="5">
        <f t="shared" si="1894"/>
        <v>96716</v>
      </c>
      <c r="M129" s="5">
        <f t="shared" si="1894"/>
        <v>121316</v>
      </c>
      <c r="N129" s="5">
        <f t="shared" si="1894"/>
        <v>1644</v>
      </c>
      <c r="O129" s="5">
        <f t="shared" si="1894"/>
        <v>7855</v>
      </c>
      <c r="P129" s="5">
        <f t="shared" si="1894"/>
        <v>154508</v>
      </c>
      <c r="Q129" s="5">
        <f t="shared" si="1894"/>
        <v>0</v>
      </c>
      <c r="R129" s="5">
        <f t="shared" si="1894"/>
        <v>5330</v>
      </c>
      <c r="S129" s="5">
        <f t="shared" si="1894"/>
        <v>43575</v>
      </c>
      <c r="T129" s="5">
        <f t="shared" si="1894"/>
        <v>530399</v>
      </c>
      <c r="U129" s="5">
        <f t="shared" si="1894"/>
        <v>0</v>
      </c>
      <c r="V129" s="16">
        <f t="shared" si="1894"/>
        <v>21973</v>
      </c>
      <c r="W129" s="5">
        <f t="shared" si="1894"/>
        <v>46</v>
      </c>
      <c r="X129" s="5">
        <f t="shared" si="1894"/>
        <v>0</v>
      </c>
      <c r="Y129" s="5">
        <f t="shared" si="1894"/>
        <v>10408</v>
      </c>
      <c r="Z129" s="5">
        <f t="shared" si="1894"/>
        <v>4250</v>
      </c>
      <c r="AA129" s="5">
        <f t="shared" si="1894"/>
        <v>3712</v>
      </c>
      <c r="AB129" s="5">
        <f t="shared" si="1894"/>
        <v>80</v>
      </c>
      <c r="AC129" s="16">
        <f t="shared" si="1894"/>
        <v>148659</v>
      </c>
      <c r="AD129" s="221">
        <f t="shared" si="1887"/>
        <v>6356150</v>
      </c>
      <c r="AE129" s="5">
        <f t="shared" ref="AE129:BH129" si="1895">AE8+AE19+AE30+AE41+AE52+AE63+AE74+AE85+AE96+AE107+AE118</f>
        <v>7121</v>
      </c>
      <c r="AF129" s="5">
        <f t="shared" si="1895"/>
        <v>2553</v>
      </c>
      <c r="AG129" s="5">
        <f t="shared" si="1895"/>
        <v>55283</v>
      </c>
      <c r="AH129" s="5">
        <f t="shared" si="1895"/>
        <v>0</v>
      </c>
      <c r="AI129" s="5">
        <f t="shared" si="1895"/>
        <v>0</v>
      </c>
      <c r="AJ129" s="5">
        <f t="shared" si="1895"/>
        <v>3024</v>
      </c>
      <c r="AK129" s="5">
        <f t="shared" si="1895"/>
        <v>225685</v>
      </c>
      <c r="AL129" s="5">
        <f t="shared" si="1895"/>
        <v>179620</v>
      </c>
      <c r="AM129" s="5">
        <f t="shared" si="1895"/>
        <v>1687648</v>
      </c>
      <c r="AN129" s="5">
        <f t="shared" si="1895"/>
        <v>27180</v>
      </c>
      <c r="AO129" s="9">
        <f>AO8+AO19+AO30+AO41+AO52+AO63+AO74+AO85+AO96+AO107+AO118</f>
        <v>682844</v>
      </c>
      <c r="AP129" s="5">
        <f t="shared" si="1895"/>
        <v>-5162252</v>
      </c>
      <c r="AQ129" s="16">
        <f t="shared" si="1895"/>
        <v>36574</v>
      </c>
      <c r="AR129" s="5">
        <f t="shared" si="1895"/>
        <v>4280</v>
      </c>
      <c r="AS129" s="5">
        <f t="shared" si="1895"/>
        <v>0</v>
      </c>
      <c r="AT129" s="5">
        <f t="shared" si="1895"/>
        <v>0</v>
      </c>
      <c r="AU129" s="5">
        <f t="shared" si="1895"/>
        <v>3240</v>
      </c>
      <c r="AV129" s="5">
        <f t="shared" si="1895"/>
        <v>0</v>
      </c>
      <c r="AW129" s="5">
        <f t="shared" si="1895"/>
        <v>0</v>
      </c>
      <c r="AX129" s="5">
        <f t="shared" si="1895"/>
        <v>2022</v>
      </c>
      <c r="AY129" s="5">
        <f t="shared" si="1895"/>
        <v>0</v>
      </c>
      <c r="AZ129" s="5">
        <f t="shared" si="1895"/>
        <v>5136</v>
      </c>
      <c r="BA129" s="5">
        <f t="shared" si="1895"/>
        <v>62529</v>
      </c>
      <c r="BB129" s="16">
        <f t="shared" si="1895"/>
        <v>170631</v>
      </c>
      <c r="BC129" s="5">
        <f t="shared" si="1895"/>
        <v>34208</v>
      </c>
      <c r="BD129" s="5">
        <f t="shared" si="1895"/>
        <v>34208</v>
      </c>
      <c r="BE129" s="5">
        <f t="shared" si="1895"/>
        <v>0</v>
      </c>
      <c r="BF129" s="5">
        <f t="shared" si="1895"/>
        <v>46106</v>
      </c>
      <c r="BG129" s="5">
        <f t="shared" si="1895"/>
        <v>10403046</v>
      </c>
      <c r="BH129" s="16">
        <f t="shared" si="1895"/>
        <v>8510686</v>
      </c>
      <c r="BI129" s="274">
        <f>AD129+BH129</f>
        <v>14866836</v>
      </c>
      <c r="BJ129" s="5">
        <f t="shared" si="1889"/>
        <v>10401231</v>
      </c>
      <c r="BK129" s="49">
        <f t="shared" si="1889"/>
        <v>4465605</v>
      </c>
      <c r="BL129" s="30">
        <f>'Upto Month Current'!N61-'Upto Month Current'!M61</f>
        <v>4465597</v>
      </c>
      <c r="BM129" s="30">
        <f t="shared" si="1891"/>
        <v>-1890545</v>
      </c>
    </row>
    <row r="130" spans="1:65">
      <c r="A130" s="128"/>
      <c r="B130" s="5" t="s">
        <v>130</v>
      </c>
      <c r="C130" s="11">
        <f>C129-C127</f>
        <v>97961</v>
      </c>
      <c r="D130" s="11">
        <f t="shared" ref="D130" si="1896">D129-D127</f>
        <v>30156</v>
      </c>
      <c r="E130" s="11">
        <f t="shared" ref="E130" si="1897">E129-E127</f>
        <v>559</v>
      </c>
      <c r="F130" s="11">
        <f t="shared" ref="F130" si="1898">F129-F127</f>
        <v>-44211</v>
      </c>
      <c r="G130" s="11">
        <f t="shared" ref="G130" si="1899">G129-G127</f>
        <v>8658</v>
      </c>
      <c r="H130" s="11">
        <f t="shared" ref="H130" si="1900">H129-H127</f>
        <v>85435</v>
      </c>
      <c r="I130" s="11">
        <f t="shared" ref="I130" si="1901">I129-I127</f>
        <v>0</v>
      </c>
      <c r="J130" s="11">
        <f t="shared" ref="J130" si="1902">J129-J127</f>
        <v>-11504</v>
      </c>
      <c r="K130" s="11">
        <f t="shared" ref="K130" si="1903">K129-K127</f>
        <v>-5712</v>
      </c>
      <c r="L130" s="11">
        <f t="shared" ref="L130" si="1904">L129-L127</f>
        <v>22246</v>
      </c>
      <c r="M130" s="11">
        <f t="shared" ref="M130" si="1905">M129-M127</f>
        <v>-11221</v>
      </c>
      <c r="N130" s="11">
        <f t="shared" ref="N130" si="1906">N129-N127</f>
        <v>-1673</v>
      </c>
      <c r="O130" s="11">
        <f t="shared" ref="O130" si="1907">O129-O127</f>
        <v>-1696</v>
      </c>
      <c r="P130" s="11">
        <f t="shared" ref="P130" si="1908">P129-P127</f>
        <v>39756</v>
      </c>
      <c r="Q130" s="11">
        <f t="shared" ref="Q130" si="1909">Q129-Q127</f>
        <v>0</v>
      </c>
      <c r="R130" s="11">
        <f t="shared" ref="R130" si="1910">R129-R127</f>
        <v>-3681</v>
      </c>
      <c r="S130" s="11">
        <f t="shared" ref="S130" si="1911">S129-S127</f>
        <v>-451399</v>
      </c>
      <c r="T130" s="11">
        <f t="shared" ref="T130:U130" si="1912">T129-T127</f>
        <v>370937</v>
      </c>
      <c r="U130" s="11">
        <f t="shared" si="1912"/>
        <v>0</v>
      </c>
      <c r="V130" s="9">
        <f t="shared" ref="V130" si="1913">V129-V127</f>
        <v>-47497</v>
      </c>
      <c r="W130" s="11">
        <f t="shared" ref="W130" si="1914">W129-W127</f>
        <v>-121</v>
      </c>
      <c r="X130" s="11">
        <f t="shared" ref="X130" si="1915">X129-X127</f>
        <v>-44</v>
      </c>
      <c r="Y130" s="11">
        <f t="shared" ref="Y130" si="1916">Y129-Y127</f>
        <v>4247</v>
      </c>
      <c r="Z130" s="11">
        <f t="shared" ref="Z130" si="1917">Z129-Z127</f>
        <v>2036</v>
      </c>
      <c r="AA130" s="11">
        <f t="shared" ref="AA130:AD130" si="1918">AA129-AA127</f>
        <v>2079</v>
      </c>
      <c r="AB130" s="11">
        <f t="shared" ref="AB130" si="1919">AB129-AB127</f>
        <v>-1749</v>
      </c>
      <c r="AC130" s="9">
        <f t="shared" si="1918"/>
        <v>-24401</v>
      </c>
      <c r="AD130" s="216">
        <f t="shared" si="1918"/>
        <v>59161</v>
      </c>
      <c r="AE130" s="11">
        <f t="shared" ref="AE130" si="1920">AE129-AE127</f>
        <v>963</v>
      </c>
      <c r="AF130" s="11">
        <f t="shared" ref="AF130" si="1921">AF129-AF127</f>
        <v>-214</v>
      </c>
      <c r="AG130" s="11">
        <f t="shared" ref="AG130" si="1922">AG129-AG127</f>
        <v>34620</v>
      </c>
      <c r="AH130" s="11">
        <f t="shared" ref="AH130" si="1923">AH129-AH127</f>
        <v>0</v>
      </c>
      <c r="AI130" s="11">
        <f t="shared" ref="AI130" si="1924">AI129-AI127</f>
        <v>0</v>
      </c>
      <c r="AJ130" s="11">
        <f t="shared" ref="AJ130" si="1925">AJ129-AJ127</f>
        <v>-1727</v>
      </c>
      <c r="AK130" s="11">
        <f t="shared" ref="AK130" si="1926">AK129-AK127</f>
        <v>3892</v>
      </c>
      <c r="AL130" s="11">
        <f t="shared" ref="AL130" si="1927">AL129-AL127</f>
        <v>34842</v>
      </c>
      <c r="AM130" s="11">
        <f t="shared" ref="AM130" si="1928">AM129-AM127</f>
        <v>-449195</v>
      </c>
      <c r="AN130" s="11">
        <f t="shared" ref="AN130" si="1929">AN129-AN127</f>
        <v>-24345</v>
      </c>
      <c r="AO130" s="9">
        <f>AO129-AO127</f>
        <v>193484</v>
      </c>
      <c r="AP130" s="11">
        <f t="shared" ref="AP130" si="1930">AP129-AP127</f>
        <v>-7709604</v>
      </c>
      <c r="AQ130" s="9">
        <f t="shared" ref="AQ130" si="1931">AQ129-AQ127</f>
        <v>-54109</v>
      </c>
      <c r="AR130" s="11">
        <f t="shared" ref="AR130" si="1932">AR129-AR127</f>
        <v>-8463</v>
      </c>
      <c r="AS130" s="11">
        <f t="shared" ref="AS130" si="1933">AS129-AS127</f>
        <v>0</v>
      </c>
      <c r="AT130" s="11">
        <f t="shared" ref="AT130" si="1934">AT129-AT127</f>
        <v>0</v>
      </c>
      <c r="AU130" s="11">
        <f t="shared" ref="AU130" si="1935">AU129-AU127</f>
        <v>-5481</v>
      </c>
      <c r="AV130" s="11">
        <f t="shared" ref="AV130" si="1936">AV129-AV127</f>
        <v>0</v>
      </c>
      <c r="AW130" s="11">
        <f t="shared" ref="AW130" si="1937">AW129-AW127</f>
        <v>0</v>
      </c>
      <c r="AX130" s="11">
        <f t="shared" ref="AX130" si="1938">AX129-AX127</f>
        <v>-1612</v>
      </c>
      <c r="AY130" s="11">
        <f t="shared" ref="AY130" si="1939">AY129-AY127</f>
        <v>0</v>
      </c>
      <c r="AZ130" s="11">
        <f t="shared" ref="AZ130" si="1940">AZ129-AZ127</f>
        <v>-13183</v>
      </c>
      <c r="BA130" s="11">
        <f t="shared" ref="BA130" si="1941">BA129-BA127</f>
        <v>-28959</v>
      </c>
      <c r="BB130" s="9">
        <f t="shared" ref="BB130" si="1942">BB129-BB127</f>
        <v>-32295</v>
      </c>
      <c r="BC130" s="11">
        <f t="shared" ref="BC130" si="1943">BC129-BC127</f>
        <v>9557</v>
      </c>
      <c r="BD130" s="11">
        <f t="shared" ref="BD130" si="1944">BD129-BD127</f>
        <v>9226</v>
      </c>
      <c r="BE130" s="11">
        <f t="shared" ref="BE130" si="1945">BE129-BE127</f>
        <v>-12</v>
      </c>
      <c r="BF130" s="11">
        <f t="shared" ref="BF130" si="1946">BF129-BF127</f>
        <v>13477</v>
      </c>
      <c r="BG130" s="11">
        <f t="shared" ref="BG130" si="1947">BG129-BG127</f>
        <v>10085992</v>
      </c>
      <c r="BH130" s="9">
        <f t="shared" ref="BH130:BI130" si="1948">BH129-BH127</f>
        <v>2056854</v>
      </c>
      <c r="BI130" s="9">
        <f t="shared" si="1948"/>
        <v>2116015</v>
      </c>
      <c r="BJ130" s="11">
        <f t="shared" ref="BJ130" si="1949">BJ129-BJ127</f>
        <v>10275857</v>
      </c>
      <c r="BK130" s="49">
        <f t="shared" ref="BK130" si="1950">BK129-BK127</f>
        <v>-8159842</v>
      </c>
      <c r="BM130" s="30">
        <f t="shared" si="1891"/>
        <v>-8219003</v>
      </c>
    </row>
    <row r="131" spans="1:65">
      <c r="A131" s="128"/>
      <c r="B131" s="5" t="s">
        <v>131</v>
      </c>
      <c r="C131" s="13">
        <f>C130/C127</f>
        <v>4.084123071099121E-2</v>
      </c>
      <c r="D131" s="13">
        <f t="shared" ref="D131" si="1951">D130/D127</f>
        <v>2.0065354127949568E-2</v>
      </c>
      <c r="E131" s="13" t="e">
        <f t="shared" ref="E131" si="1952">E130/E127</f>
        <v>#DIV/0!</v>
      </c>
      <c r="F131" s="13">
        <f t="shared" ref="F131" si="1953">F130/F127</f>
        <v>-0.12607723588828115</v>
      </c>
      <c r="G131" s="13">
        <f t="shared" ref="G131" si="1954">G130/G127</f>
        <v>4.9092208072033655E-2</v>
      </c>
      <c r="H131" s="13">
        <f t="shared" ref="H131" si="1955">H130/H127</f>
        <v>0.26329170878430019</v>
      </c>
      <c r="I131" s="13" t="e">
        <f t="shared" ref="I131" si="1956">I130/I127</f>
        <v>#DIV/0!</v>
      </c>
      <c r="J131" s="13">
        <f t="shared" ref="J131" si="1957">J130/J127</f>
        <v>-4.1954930543145669E-2</v>
      </c>
      <c r="K131" s="13">
        <f t="shared" ref="K131" si="1958">K130/K127</f>
        <v>-0.33302238805970147</v>
      </c>
      <c r="L131" s="13">
        <f t="shared" ref="L131" si="1959">L130/L127</f>
        <v>0.29872431851752385</v>
      </c>
      <c r="M131" s="13">
        <f t="shared" ref="M131" si="1960">M130/M127</f>
        <v>-8.4663150667360812E-2</v>
      </c>
      <c r="N131" s="13">
        <f t="shared" ref="N131" si="1961">N130/N127</f>
        <v>-0.50437141995779322</v>
      </c>
      <c r="O131" s="13">
        <f t="shared" ref="O131" si="1962">O130/O127</f>
        <v>-0.17757302900219873</v>
      </c>
      <c r="P131" s="13">
        <f t="shared" ref="P131" si="1963">P130/P127</f>
        <v>0.3464514779698829</v>
      </c>
      <c r="Q131" s="13" t="e">
        <f t="shared" ref="Q131" si="1964">Q130/Q127</f>
        <v>#DIV/0!</v>
      </c>
      <c r="R131" s="13">
        <f t="shared" ref="R131" si="1965">R130/R127</f>
        <v>-0.40850072134058374</v>
      </c>
      <c r="S131" s="13">
        <f t="shared" ref="S131" si="1966">S130/S127</f>
        <v>-0.91196507291292073</v>
      </c>
      <c r="T131" s="13">
        <f t="shared" ref="T131:U131" si="1967">T130/T127</f>
        <v>2.3261780236043696</v>
      </c>
      <c r="U131" s="13" t="e">
        <f t="shared" si="1967"/>
        <v>#DIV/0!</v>
      </c>
      <c r="V131" s="160">
        <f t="shared" ref="V131" si="1968">V130/V127</f>
        <v>-0.68370519648769257</v>
      </c>
      <c r="W131" s="13">
        <f t="shared" ref="W131" si="1969">W130/W127</f>
        <v>-0.72455089820359286</v>
      </c>
      <c r="X131" s="13">
        <f t="shared" ref="X131" si="1970">X130/X127</f>
        <v>-1</v>
      </c>
      <c r="Y131" s="13">
        <f t="shared" ref="Y131" si="1971">Y130/Y127</f>
        <v>0.689336146729427</v>
      </c>
      <c r="Z131" s="13">
        <f t="shared" ref="Z131" si="1972">Z130/Z127</f>
        <v>0.91960252935862696</v>
      </c>
      <c r="AA131" s="13">
        <f t="shared" ref="AA131:AD131" si="1973">AA130/AA127</f>
        <v>1.2731169626454379</v>
      </c>
      <c r="AB131" s="13">
        <f t="shared" ref="AB131" si="1974">AB130/AB127</f>
        <v>-0.95626025150355387</v>
      </c>
      <c r="AC131" s="160">
        <f t="shared" si="1973"/>
        <v>-0.14099734196232522</v>
      </c>
      <c r="AD131" s="217">
        <f t="shared" si="1973"/>
        <v>9.3951251939617484E-3</v>
      </c>
      <c r="AE131" s="13">
        <f t="shared" ref="AE131" si="1975">AE130/AE127</f>
        <v>0.1563819421890224</v>
      </c>
      <c r="AF131" s="13">
        <f t="shared" ref="AF131" si="1976">AF130/AF127</f>
        <v>-7.7340079508492948E-2</v>
      </c>
      <c r="AG131" s="13">
        <f t="shared" ref="AG131" si="1977">AG130/AG127</f>
        <v>1.6754585490974205</v>
      </c>
      <c r="AH131" s="13" t="e">
        <f t="shared" ref="AH131" si="1978">AH130/AH127</f>
        <v>#DIV/0!</v>
      </c>
      <c r="AI131" s="13" t="e">
        <f t="shared" ref="AI131" si="1979">AI130/AI127</f>
        <v>#DIV/0!</v>
      </c>
      <c r="AJ131" s="13">
        <f t="shared" ref="AJ131" si="1980">AJ130/AJ127</f>
        <v>-0.36350242054304355</v>
      </c>
      <c r="AK131" s="13">
        <f t="shared" ref="AK131" si="1981">AK130/AK127</f>
        <v>1.7547893756791243E-2</v>
      </c>
      <c r="AL131" s="13">
        <f t="shared" ref="AL131" si="1982">AL130/AL127</f>
        <v>0.24065811103897</v>
      </c>
      <c r="AM131" s="13">
        <f t="shared" ref="AM131" si="1983">AM130/AM127</f>
        <v>-0.21021432084622033</v>
      </c>
      <c r="AN131" s="13">
        <f t="shared" ref="AN131" si="1984">AN130/AN127</f>
        <v>-0.47248908296943232</v>
      </c>
      <c r="AO131" s="160">
        <f t="shared" ref="AO131" si="1985">AO130/AO127</f>
        <v>0.39538172306686287</v>
      </c>
      <c r="AP131" s="13">
        <f t="shared" ref="AP131" si="1986">AP130/AP127</f>
        <v>-3.0265169477952005</v>
      </c>
      <c r="AQ131" s="160">
        <f t="shared" ref="AQ131" si="1987">AQ130/AQ127</f>
        <v>-0.59668295049788822</v>
      </c>
      <c r="AR131" s="13">
        <f t="shared" ref="AR131" si="1988">AR130/AR127</f>
        <v>-0.66412932590441809</v>
      </c>
      <c r="AS131" s="13" t="e">
        <f t="shared" ref="AS131" si="1989">AS130/AS127</f>
        <v>#DIV/0!</v>
      </c>
      <c r="AT131" s="13" t="e">
        <f t="shared" ref="AT131" si="1990">AT130/AT127</f>
        <v>#DIV/0!</v>
      </c>
      <c r="AU131" s="13">
        <f t="shared" ref="AU131" si="1991">AU130/AU127</f>
        <v>-0.62848297213622295</v>
      </c>
      <c r="AV131" s="13" t="e">
        <f t="shared" ref="AV131" si="1992">AV130/AV127</f>
        <v>#DIV/0!</v>
      </c>
      <c r="AW131" s="13" t="e">
        <f t="shared" ref="AW131" si="1993">AW130/AW127</f>
        <v>#DIV/0!</v>
      </c>
      <c r="AX131" s="13">
        <f t="shared" ref="AX131" si="1994">AX130/AX127</f>
        <v>-0.44358833241607043</v>
      </c>
      <c r="AY131" s="13" t="e">
        <f t="shared" ref="AY131" si="1995">AY130/AY127</f>
        <v>#DIV/0!</v>
      </c>
      <c r="AZ131" s="13">
        <f t="shared" ref="AZ131" si="1996">AZ130/AZ127</f>
        <v>-0.71963535127463285</v>
      </c>
      <c r="BA131" s="13">
        <f t="shared" ref="BA131" si="1997">BA130/BA127</f>
        <v>-0.31653331584470096</v>
      </c>
      <c r="BB131" s="160">
        <f t="shared" ref="BB131" si="1998">BB130/BB127</f>
        <v>-0.15914668401289139</v>
      </c>
      <c r="BC131" s="13">
        <f t="shared" ref="BC131" si="1999">BC130/BC127</f>
        <v>0.38769218287290574</v>
      </c>
      <c r="BD131" s="13">
        <f t="shared" ref="BD131" si="2000">BD130/BD127</f>
        <v>0.36930590024817866</v>
      </c>
      <c r="BE131" s="13">
        <f t="shared" ref="BE131" si="2001">BE130/BE127</f>
        <v>-1</v>
      </c>
      <c r="BF131" s="13">
        <f t="shared" ref="BF131" si="2002">BF130/BF127</f>
        <v>0.41303748199454471</v>
      </c>
      <c r="BG131" s="13">
        <f t="shared" ref="BG131" si="2003">BG130/BG127</f>
        <v>31.811590454622873</v>
      </c>
      <c r="BH131" s="160">
        <f t="shared" ref="BH131:BI131" si="2004">BH130/BH127</f>
        <v>0.3187027490024531</v>
      </c>
      <c r="BI131" s="160">
        <f t="shared" si="2004"/>
        <v>0.16595127482379371</v>
      </c>
      <c r="BJ131" s="13">
        <f t="shared" ref="BJ131" si="2005">BJ130/BJ127</f>
        <v>81.961626812576768</v>
      </c>
      <c r="BK131" s="50">
        <f t="shared" ref="BK131" si="2006">BK130/BK127</f>
        <v>-0.64630123590871669</v>
      </c>
      <c r="BM131" s="160">
        <f t="shared" ref="BM131" si="2007">BM130/BM127</f>
        <v>-1.2987370699149776</v>
      </c>
    </row>
    <row r="132" spans="1:65">
      <c r="A132" s="128"/>
      <c r="B132" s="5" t="s">
        <v>132</v>
      </c>
      <c r="C132" s="11">
        <f>C129-C128</f>
        <v>156506</v>
      </c>
      <c r="D132" s="11">
        <f t="shared" ref="D132:BK132" si="2008">D129-D128</f>
        <v>269866</v>
      </c>
      <c r="E132" s="11">
        <f t="shared" si="2008"/>
        <v>-454</v>
      </c>
      <c r="F132" s="11">
        <f t="shared" si="2008"/>
        <v>22863</v>
      </c>
      <c r="G132" s="11">
        <f t="shared" si="2008"/>
        <v>21525</v>
      </c>
      <c r="H132" s="11">
        <f t="shared" si="2008"/>
        <v>57332</v>
      </c>
      <c r="I132" s="11">
        <f t="shared" si="2008"/>
        <v>0</v>
      </c>
      <c r="J132" s="11">
        <f t="shared" si="2008"/>
        <v>-141083</v>
      </c>
      <c r="K132" s="11">
        <f t="shared" si="2008"/>
        <v>-19582</v>
      </c>
      <c r="L132" s="11">
        <f t="shared" si="2008"/>
        <v>-54395</v>
      </c>
      <c r="M132" s="11">
        <f t="shared" si="2008"/>
        <v>-9113</v>
      </c>
      <c r="N132" s="11">
        <f t="shared" si="2008"/>
        <v>-151</v>
      </c>
      <c r="O132" s="11">
        <f t="shared" si="2008"/>
        <v>-3850</v>
      </c>
      <c r="P132" s="11">
        <f t="shared" si="2008"/>
        <v>-59869</v>
      </c>
      <c r="Q132" s="11">
        <f t="shared" si="2008"/>
        <v>0</v>
      </c>
      <c r="R132" s="11">
        <f t="shared" si="2008"/>
        <v>-11548</v>
      </c>
      <c r="S132" s="11">
        <f t="shared" si="2008"/>
        <v>-189755</v>
      </c>
      <c r="T132" s="11">
        <f t="shared" si="2008"/>
        <v>231908</v>
      </c>
      <c r="U132" s="11">
        <f t="shared" ref="U132" si="2009">U129-U128</f>
        <v>0</v>
      </c>
      <c r="V132" s="9">
        <f t="shared" si="2008"/>
        <v>11474</v>
      </c>
      <c r="W132" s="11">
        <f t="shared" si="2008"/>
        <v>-418</v>
      </c>
      <c r="X132" s="11">
        <f t="shared" si="2008"/>
        <v>0</v>
      </c>
      <c r="Y132" s="11">
        <f t="shared" si="2008"/>
        <v>4463</v>
      </c>
      <c r="Z132" s="11">
        <f t="shared" si="2008"/>
        <v>2612</v>
      </c>
      <c r="AA132" s="11">
        <f t="shared" si="2008"/>
        <v>1055</v>
      </c>
      <c r="AB132" s="11">
        <f t="shared" ref="AB132" si="2010">AB129-AB128</f>
        <v>35</v>
      </c>
      <c r="AC132" s="9">
        <f t="shared" ref="AC132:AD132" si="2011">AC129-AC128</f>
        <v>21296</v>
      </c>
      <c r="AD132" s="216">
        <f t="shared" si="2011"/>
        <v>310717</v>
      </c>
      <c r="AE132" s="11">
        <f t="shared" si="2008"/>
        <v>1222</v>
      </c>
      <c r="AF132" s="11">
        <f t="shared" si="2008"/>
        <v>-360</v>
      </c>
      <c r="AG132" s="11">
        <f t="shared" si="2008"/>
        <v>33608</v>
      </c>
      <c r="AH132" s="11">
        <f t="shared" si="2008"/>
        <v>0</v>
      </c>
      <c r="AI132" s="11">
        <f t="shared" si="2008"/>
        <v>0</v>
      </c>
      <c r="AJ132" s="11">
        <f t="shared" si="2008"/>
        <v>1051</v>
      </c>
      <c r="AK132" s="11">
        <f t="shared" si="2008"/>
        <v>48814</v>
      </c>
      <c r="AL132" s="11">
        <f t="shared" si="2008"/>
        <v>-40378</v>
      </c>
      <c r="AM132" s="11">
        <f t="shared" si="2008"/>
        <v>741844</v>
      </c>
      <c r="AN132" s="11">
        <f t="shared" si="2008"/>
        <v>149</v>
      </c>
      <c r="AO132" s="9">
        <f t="shared" si="2008"/>
        <v>236816</v>
      </c>
      <c r="AP132" s="11">
        <f t="shared" si="2008"/>
        <v>-8841124</v>
      </c>
      <c r="AQ132" s="9">
        <f t="shared" si="2008"/>
        <v>-3001</v>
      </c>
      <c r="AR132" s="11">
        <f t="shared" si="2008"/>
        <v>-14753</v>
      </c>
      <c r="AS132" s="11">
        <f t="shared" si="2008"/>
        <v>0</v>
      </c>
      <c r="AT132" s="11">
        <f t="shared" si="2008"/>
        <v>0</v>
      </c>
      <c r="AU132" s="11">
        <f t="shared" si="2008"/>
        <v>-12700</v>
      </c>
      <c r="AV132" s="11">
        <f t="shared" si="2008"/>
        <v>0</v>
      </c>
      <c r="AW132" s="11">
        <f t="shared" si="2008"/>
        <v>-2952</v>
      </c>
      <c r="AX132" s="11">
        <f t="shared" si="2008"/>
        <v>-384</v>
      </c>
      <c r="AY132" s="11">
        <f t="shared" si="2008"/>
        <v>-1257</v>
      </c>
      <c r="AZ132" s="11">
        <f t="shared" si="2008"/>
        <v>4114</v>
      </c>
      <c r="BA132" s="11">
        <f t="shared" si="2008"/>
        <v>-85825</v>
      </c>
      <c r="BB132" s="9">
        <f t="shared" si="2008"/>
        <v>22685</v>
      </c>
      <c r="BC132" s="11">
        <f t="shared" si="2008"/>
        <v>6268</v>
      </c>
      <c r="BD132" s="11">
        <f t="shared" si="2008"/>
        <v>6268</v>
      </c>
      <c r="BE132" s="11">
        <f t="shared" si="2008"/>
        <v>0</v>
      </c>
      <c r="BF132" s="11">
        <f t="shared" si="2008"/>
        <v>21650</v>
      </c>
      <c r="BG132" s="11">
        <f t="shared" si="2008"/>
        <v>605591</v>
      </c>
      <c r="BH132" s="9">
        <f t="shared" si="2008"/>
        <v>-7272654</v>
      </c>
      <c r="BI132" s="9">
        <f t="shared" si="2008"/>
        <v>-6961937</v>
      </c>
      <c r="BJ132" s="11">
        <f t="shared" si="2008"/>
        <v>929730</v>
      </c>
      <c r="BK132" s="49">
        <f t="shared" si="2008"/>
        <v>-7891667</v>
      </c>
      <c r="BM132" s="30">
        <f t="shared" si="1891"/>
        <v>-8202384</v>
      </c>
    </row>
    <row r="133" spans="1:65">
      <c r="A133" s="128"/>
      <c r="B133" s="5" t="s">
        <v>133</v>
      </c>
      <c r="C133" s="13">
        <f>C132/C128</f>
        <v>6.6881877030951664E-2</v>
      </c>
      <c r="D133" s="13">
        <f t="shared" ref="D133" si="2012">D132/D128</f>
        <v>0.21364034709253399</v>
      </c>
      <c r="E133" s="13">
        <f t="shared" ref="E133" si="2013">E132/E128</f>
        <v>-0.44817374136229021</v>
      </c>
      <c r="F133" s="13">
        <f t="shared" ref="F133" si="2014">F132/F128</f>
        <v>8.0619340460943892E-2</v>
      </c>
      <c r="G133" s="13">
        <f t="shared" ref="G133" si="2015">G132/G128</f>
        <v>0.13165540230588091</v>
      </c>
      <c r="H133" s="13">
        <f t="shared" ref="H133" si="2016">H132/H128</f>
        <v>0.16260199494598557</v>
      </c>
      <c r="I133" s="13" t="e">
        <f t="shared" ref="I133" si="2017">I132/I128</f>
        <v>#DIV/0!</v>
      </c>
      <c r="J133" s="13">
        <f t="shared" ref="J133" si="2018">J132/J128</f>
        <v>-0.34940734760190006</v>
      </c>
      <c r="K133" s="13">
        <f t="shared" ref="K133" si="2019">K132/K128</f>
        <v>-0.63122945006769393</v>
      </c>
      <c r="L133" s="13">
        <f t="shared" ref="L133" si="2020">L132/L128</f>
        <v>-0.35996717644645326</v>
      </c>
      <c r="M133" s="13">
        <f t="shared" ref="M133" si="2021">M132/M128</f>
        <v>-6.9869430878102268E-2</v>
      </c>
      <c r="N133" s="13">
        <f t="shared" ref="N133" si="2022">N132/N128</f>
        <v>-8.4122562674094709E-2</v>
      </c>
      <c r="O133" s="13">
        <f t="shared" ref="O133" si="2023">O132/O128</f>
        <v>-0.32891926527125159</v>
      </c>
      <c r="P133" s="13">
        <f t="shared" ref="P133" si="2024">P132/P128</f>
        <v>-0.27926969777541433</v>
      </c>
      <c r="Q133" s="13" t="e">
        <f t="shared" ref="Q133" si="2025">Q132/Q128</f>
        <v>#DIV/0!</v>
      </c>
      <c r="R133" s="13">
        <f t="shared" ref="R133" si="2026">R132/R128</f>
        <v>-0.68420428960777346</v>
      </c>
      <c r="S133" s="13">
        <f t="shared" ref="S133" si="2027">S132/S128</f>
        <v>-0.81324733210474431</v>
      </c>
      <c r="T133" s="13">
        <f t="shared" ref="T133:U133" si="2028">T132/T128</f>
        <v>0.77693464794583422</v>
      </c>
      <c r="U133" s="13" t="e">
        <f t="shared" si="2028"/>
        <v>#DIV/0!</v>
      </c>
      <c r="V133" s="160">
        <f t="shared" ref="V133" si="2029">V132/V128</f>
        <v>1.0928659872368798</v>
      </c>
      <c r="W133" s="13">
        <f t="shared" ref="W133" si="2030">W132/W128</f>
        <v>-0.90086206896551724</v>
      </c>
      <c r="X133" s="13" t="e">
        <f t="shared" ref="X133" si="2031">X132/X128</f>
        <v>#DIV/0!</v>
      </c>
      <c r="Y133" s="13">
        <f t="shared" ref="Y133" si="2032">Y132/Y128</f>
        <v>0.75071488645920947</v>
      </c>
      <c r="Z133" s="13">
        <f t="shared" ref="Z133" si="2033">Z132/Z128</f>
        <v>1.5946275946275947</v>
      </c>
      <c r="AA133" s="13">
        <f t="shared" ref="AA133:AD133" si="2034">AA132/AA128</f>
        <v>0.3970643582988333</v>
      </c>
      <c r="AB133" s="13">
        <f t="shared" ref="AB133" si="2035">AB132/AB128</f>
        <v>0.77777777777777779</v>
      </c>
      <c r="AC133" s="160">
        <f t="shared" si="2034"/>
        <v>0.16720711666653582</v>
      </c>
      <c r="AD133" s="217">
        <f t="shared" si="2034"/>
        <v>5.1396980166681198E-2</v>
      </c>
      <c r="AE133" s="13">
        <f t="shared" ref="AE133" si="2036">AE132/AE128</f>
        <v>0.20715375487370741</v>
      </c>
      <c r="AF133" s="13">
        <f t="shared" ref="AF133" si="2037">AF132/AF128</f>
        <v>-0.12358393408856849</v>
      </c>
      <c r="AG133" s="13">
        <f t="shared" ref="AG133" si="2038">AG132/AG128</f>
        <v>1.5505420991926182</v>
      </c>
      <c r="AH133" s="13" t="e">
        <f t="shared" ref="AH133" si="2039">AH132/AH128</f>
        <v>#DIV/0!</v>
      </c>
      <c r="AI133" s="13" t="e">
        <f t="shared" ref="AI133" si="2040">AI132/AI128</f>
        <v>#DIV/0!</v>
      </c>
      <c r="AJ133" s="13">
        <f t="shared" ref="AJ133" si="2041">AJ132/AJ128</f>
        <v>0.53269133299543847</v>
      </c>
      <c r="AK133" s="13">
        <f t="shared" ref="AK133" si="2042">AK132/AK128</f>
        <v>0.27598645340389322</v>
      </c>
      <c r="AL133" s="13">
        <f t="shared" ref="AL133" si="2043">AL132/AL128</f>
        <v>-0.18353803216392875</v>
      </c>
      <c r="AM133" s="13">
        <f t="shared" ref="AM133" si="2044">AM132/AM128</f>
        <v>0.78435278345196258</v>
      </c>
      <c r="AN133" s="13">
        <f t="shared" ref="AN133" si="2045">AN132/AN128</f>
        <v>5.5121897081129075E-3</v>
      </c>
      <c r="AO133" s="160">
        <f t="shared" ref="AO133" si="2046">AO132/AO128</f>
        <v>0.53094424565273934</v>
      </c>
      <c r="AP133" s="13">
        <f t="shared" ref="AP133" si="2047">AP132/AP128</f>
        <v>-2.4032159857695512</v>
      </c>
      <c r="AQ133" s="160">
        <f t="shared" ref="AQ133" si="2048">AQ132/AQ128</f>
        <v>-7.583070120025269E-2</v>
      </c>
      <c r="AR133" s="13">
        <f t="shared" ref="AR133" si="2049">AR132/AR128</f>
        <v>-0.77512741028739562</v>
      </c>
      <c r="AS133" s="13" t="e">
        <f t="shared" ref="AS133" si="2050">AS132/AS128</f>
        <v>#DIV/0!</v>
      </c>
      <c r="AT133" s="13" t="e">
        <f t="shared" ref="AT133" si="2051">AT132/AT128</f>
        <v>#DIV/0!</v>
      </c>
      <c r="AU133" s="13">
        <f t="shared" ref="AU133" si="2052">AU132/AU128</f>
        <v>-0.79673776662484319</v>
      </c>
      <c r="AV133" s="13" t="e">
        <f t="shared" ref="AV133" si="2053">AV132/AV128</f>
        <v>#DIV/0!</v>
      </c>
      <c r="AW133" s="13">
        <f t="shared" ref="AW133" si="2054">AW132/AW128</f>
        <v>-1</v>
      </c>
      <c r="AX133" s="13">
        <f t="shared" ref="AX133" si="2055">AX132/AX128</f>
        <v>-0.15960099750623441</v>
      </c>
      <c r="AY133" s="13">
        <f t="shared" ref="AY133" si="2056">AY132/AY128</f>
        <v>-1</v>
      </c>
      <c r="AZ133" s="13">
        <f t="shared" ref="AZ133" si="2057">AZ132/AZ128</f>
        <v>4.0254403131115462</v>
      </c>
      <c r="BA133" s="13">
        <f t="shared" ref="BA133" si="2058">BA132/BA128</f>
        <v>-0.57851490354152901</v>
      </c>
      <c r="BB133" s="160">
        <f t="shared" ref="BB133" si="2059">BB132/BB128</f>
        <v>0.15333297284144215</v>
      </c>
      <c r="BC133" s="13">
        <f t="shared" ref="BC133" si="2060">BC132/BC128</f>
        <v>0.22433786685755189</v>
      </c>
      <c r="BD133" s="13">
        <f t="shared" ref="BD133" si="2061">BD132/BD128</f>
        <v>0.22433786685755189</v>
      </c>
      <c r="BE133" s="13" t="e">
        <f t="shared" ref="BE133" si="2062">BE132/BE128</f>
        <v>#DIV/0!</v>
      </c>
      <c r="BF133" s="13">
        <f t="shared" ref="BF133" si="2063">BF132/BF128</f>
        <v>0.88526333006215241</v>
      </c>
      <c r="BG133" s="13">
        <f t="shared" ref="BG133" si="2064">BG132/BG128</f>
        <v>6.181105195175686E-2</v>
      </c>
      <c r="BH133" s="160">
        <f t="shared" ref="BH133:BI133" si="2065">BH132/BH128</f>
        <v>-0.46078041783298085</v>
      </c>
      <c r="BI133" s="160">
        <f t="shared" si="2065"/>
        <v>-0.318933959320572</v>
      </c>
      <c r="BJ133" s="13">
        <f t="shared" ref="BJ133" si="2066">BJ132/BJ128</f>
        <v>9.8160787820219836E-2</v>
      </c>
      <c r="BK133" s="50">
        <f t="shared" ref="BK133" si="2067">BK132/BK128</f>
        <v>-0.63862533737219673</v>
      </c>
      <c r="BM133" s="14">
        <f t="shared" ref="BM133" si="2068">BM132/BM128</f>
        <v>-1.2995236412082121</v>
      </c>
    </row>
    <row r="134" spans="1:65">
      <c r="A134" s="128"/>
      <c r="B134" s="5" t="s">
        <v>431</v>
      </c>
      <c r="C134" s="126">
        <f>C129/C126</f>
        <v>0.19775981074946103</v>
      </c>
      <c r="D134" s="126">
        <f t="shared" ref="D134:BK134" si="2069">D129/D126</f>
        <v>0.19381232185403036</v>
      </c>
      <c r="E134" s="126" t="e">
        <f t="shared" si="2069"/>
        <v>#DIV/0!</v>
      </c>
      <c r="F134" s="126">
        <f t="shared" si="2069"/>
        <v>0.16604483272793474</v>
      </c>
      <c r="G134" s="126">
        <f t="shared" si="2069"/>
        <v>0.19932860454894119</v>
      </c>
      <c r="H134" s="126">
        <f t="shared" si="2069"/>
        <v>0.14807923221306607</v>
      </c>
      <c r="I134" s="126" t="e">
        <f t="shared" si="2069"/>
        <v>#DIV/0!</v>
      </c>
      <c r="J134" s="126">
        <f t="shared" si="2069"/>
        <v>0.18202851672691669</v>
      </c>
      <c r="K134" s="126">
        <f t="shared" si="2069"/>
        <v>0.12673232228118181</v>
      </c>
      <c r="L134" s="126">
        <f t="shared" si="2069"/>
        <v>0.24675974118751659</v>
      </c>
      <c r="M134" s="126">
        <f t="shared" si="2069"/>
        <v>0.17391503801112165</v>
      </c>
      <c r="N134" s="126">
        <f t="shared" si="2069"/>
        <v>9.4141900017179175E-2</v>
      </c>
      <c r="O134" s="126">
        <f t="shared" si="2069"/>
        <v>0.15628419649429975</v>
      </c>
      <c r="P134" s="126">
        <f t="shared" si="2069"/>
        <v>0.25582404190992147</v>
      </c>
      <c r="Q134" s="126" t="e">
        <f t="shared" si="2069"/>
        <v>#DIV/0!</v>
      </c>
      <c r="R134" s="126">
        <f t="shared" si="2069"/>
        <v>0.1123856112680808</v>
      </c>
      <c r="S134" s="126">
        <f t="shared" si="2069"/>
        <v>4.4017463543539657E-2</v>
      </c>
      <c r="T134" s="126">
        <f t="shared" si="2069"/>
        <v>0.63197208069812549</v>
      </c>
      <c r="U134" s="126" t="e">
        <f t="shared" si="2069"/>
        <v>#DIV/0!</v>
      </c>
      <c r="V134" s="175">
        <f t="shared" si="2069"/>
        <v>6.0096107824555357E-2</v>
      </c>
      <c r="W134" s="126">
        <f t="shared" si="2069"/>
        <v>5.2332195676905571E-2</v>
      </c>
      <c r="X134" s="126">
        <f t="shared" si="2069"/>
        <v>0</v>
      </c>
      <c r="Y134" s="126">
        <f t="shared" si="2069"/>
        <v>0.32101659367096413</v>
      </c>
      <c r="Z134" s="126">
        <f t="shared" si="2069"/>
        <v>0.36474424991417781</v>
      </c>
      <c r="AA134" s="126">
        <f t="shared" si="2069"/>
        <v>0.43213038416763677</v>
      </c>
      <c r="AB134" s="126">
        <f t="shared" ref="AB134" si="2070">AB129/AB126</f>
        <v>8.3099615664277548E-3</v>
      </c>
      <c r="AC134" s="175">
        <f t="shared" si="2069"/>
        <v>0.16321052388888524</v>
      </c>
      <c r="AD134" s="218">
        <f t="shared" si="2069"/>
        <v>0.19504994799506825</v>
      </c>
      <c r="AE134" s="126">
        <f t="shared" si="2069"/>
        <v>0.27754608878668591</v>
      </c>
      <c r="AF134" s="126">
        <f t="shared" si="2069"/>
        <v>0.22130721220527047</v>
      </c>
      <c r="AG134" s="126">
        <f t="shared" si="2069"/>
        <v>0.64210880877160381</v>
      </c>
      <c r="AH134" s="126" t="e">
        <f t="shared" si="2069"/>
        <v>#DIV/0!</v>
      </c>
      <c r="AI134" s="126" t="e">
        <f t="shared" si="2069"/>
        <v>#DIV/0!</v>
      </c>
      <c r="AJ134" s="126">
        <f t="shared" si="2069"/>
        <v>0.15276584996211165</v>
      </c>
      <c r="AK134" s="126">
        <f t="shared" si="2069"/>
        <v>0.24421215515049208</v>
      </c>
      <c r="AL134" s="126">
        <f t="shared" si="2069"/>
        <v>0.2977567949287519</v>
      </c>
      <c r="AM134" s="126">
        <f t="shared" si="2069"/>
        <v>0.1895486162198953</v>
      </c>
      <c r="AN134" s="126">
        <f t="shared" si="2069"/>
        <v>0.1266011458381853</v>
      </c>
      <c r="AO134" s="175">
        <f t="shared" si="2069"/>
        <v>0.33489128505023535</v>
      </c>
      <c r="AP134" s="126">
        <f t="shared" si="2069"/>
        <v>-1.1982709715038053</v>
      </c>
      <c r="AQ134" s="175">
        <f t="shared" si="2069"/>
        <v>9.6796561543917595E-2</v>
      </c>
      <c r="AR134" s="126">
        <f t="shared" si="2069"/>
        <v>8.0610226951690372E-2</v>
      </c>
      <c r="AS134" s="126" t="e">
        <f t="shared" si="2069"/>
        <v>#DIV/0!</v>
      </c>
      <c r="AT134" s="126" t="e">
        <f t="shared" si="2069"/>
        <v>#DIV/0!</v>
      </c>
      <c r="AU134" s="126">
        <f t="shared" si="2069"/>
        <v>8.9167767503302506E-2</v>
      </c>
      <c r="AV134" s="126" t="e">
        <f t="shared" si="2069"/>
        <v>#DIV/0!</v>
      </c>
      <c r="AW134" s="126">
        <f t="shared" si="2069"/>
        <v>0</v>
      </c>
      <c r="AX134" s="126">
        <f t="shared" si="2069"/>
        <v>0.13357996961088722</v>
      </c>
      <c r="AY134" s="126">
        <f t="shared" si="2069"/>
        <v>0</v>
      </c>
      <c r="AZ134" s="126">
        <f t="shared" si="2069"/>
        <v>6.7288544177759146E-2</v>
      </c>
      <c r="BA134" s="126">
        <f t="shared" si="2069"/>
        <v>0.16403157389408737</v>
      </c>
      <c r="BB134" s="175">
        <f t="shared" si="2069"/>
        <v>0.20180455716323331</v>
      </c>
      <c r="BC134" s="126">
        <f t="shared" si="2069"/>
        <v>0.33302504891986878</v>
      </c>
      <c r="BD134" s="126">
        <f t="shared" si="2069"/>
        <v>0.32862920657488975</v>
      </c>
      <c r="BE134" s="126">
        <f t="shared" si="2069"/>
        <v>0</v>
      </c>
      <c r="BF134" s="126">
        <f t="shared" si="2069"/>
        <v>0.33909449282184045</v>
      </c>
      <c r="BG134" s="126">
        <f t="shared" si="2069"/>
        <v>0.26398255058442072</v>
      </c>
      <c r="BH134" s="175">
        <f t="shared" si="2069"/>
        <v>0.1450257172409137</v>
      </c>
      <c r="BI134" s="175">
        <f t="shared" si="2069"/>
        <v>0.16288625844942756</v>
      </c>
      <c r="BJ134" s="126">
        <f t="shared" si="2069"/>
        <v>0.26939605961650831</v>
      </c>
      <c r="BK134" s="126">
        <f t="shared" si="2069"/>
        <v>8.6540391271584985E-2</v>
      </c>
      <c r="BM134" s="126">
        <f t="shared" ref="BM134" si="2071">BM129/BM126</f>
        <v>-9.9428571488677189E-2</v>
      </c>
    </row>
    <row r="135" spans="1:65">
      <c r="B135" s="5" t="s">
        <v>432</v>
      </c>
      <c r="C135" s="11">
        <f>C126-C129</f>
        <v>10127570</v>
      </c>
      <c r="D135" s="11">
        <f t="shared" ref="D135:BK135" si="2072">D126-D129</f>
        <v>6376901</v>
      </c>
      <c r="E135" s="11">
        <f t="shared" si="2072"/>
        <v>-559</v>
      </c>
      <c r="F135" s="11">
        <f t="shared" si="2072"/>
        <v>1539161</v>
      </c>
      <c r="G135" s="11">
        <f t="shared" si="2072"/>
        <v>743196</v>
      </c>
      <c r="H135" s="11">
        <f t="shared" si="2072"/>
        <v>2358345</v>
      </c>
      <c r="I135" s="11">
        <f t="shared" si="2072"/>
        <v>0</v>
      </c>
      <c r="J135" s="11">
        <f t="shared" si="2072"/>
        <v>1180458</v>
      </c>
      <c r="K135" s="11">
        <f t="shared" si="2072"/>
        <v>78829</v>
      </c>
      <c r="L135" s="11">
        <f t="shared" si="2072"/>
        <v>295228</v>
      </c>
      <c r="M135" s="11">
        <f t="shared" si="2072"/>
        <v>576243</v>
      </c>
      <c r="N135" s="11">
        <f t="shared" si="2072"/>
        <v>15819</v>
      </c>
      <c r="O135" s="11">
        <f t="shared" si="2072"/>
        <v>42406</v>
      </c>
      <c r="P135" s="11">
        <f t="shared" si="2072"/>
        <v>449454</v>
      </c>
      <c r="Q135" s="11">
        <f t="shared" si="2072"/>
        <v>0</v>
      </c>
      <c r="R135" s="11">
        <f t="shared" si="2072"/>
        <v>42096</v>
      </c>
      <c r="S135" s="11">
        <f t="shared" si="2072"/>
        <v>946373</v>
      </c>
      <c r="T135" s="11">
        <f t="shared" si="2072"/>
        <v>308877</v>
      </c>
      <c r="U135" s="11">
        <f t="shared" si="2072"/>
        <v>0</v>
      </c>
      <c r="V135" s="11">
        <f t="shared" si="2072"/>
        <v>343658</v>
      </c>
      <c r="W135" s="11">
        <f t="shared" si="2072"/>
        <v>833</v>
      </c>
      <c r="X135" s="11">
        <f t="shared" si="2072"/>
        <v>232</v>
      </c>
      <c r="Y135" s="11">
        <f t="shared" si="2072"/>
        <v>22014</v>
      </c>
      <c r="Z135" s="11">
        <f t="shared" si="2072"/>
        <v>7402</v>
      </c>
      <c r="AA135" s="11">
        <f t="shared" si="2072"/>
        <v>4878</v>
      </c>
      <c r="AB135" s="11">
        <f t="shared" si="2072"/>
        <v>9547</v>
      </c>
      <c r="AC135" s="11">
        <f t="shared" si="2072"/>
        <v>762183</v>
      </c>
      <c r="AD135" s="11">
        <f t="shared" si="2072"/>
        <v>26231144</v>
      </c>
      <c r="AE135" s="11">
        <f t="shared" si="2072"/>
        <v>18536</v>
      </c>
      <c r="AF135" s="11">
        <f t="shared" si="2072"/>
        <v>8983</v>
      </c>
      <c r="AG135" s="11">
        <f t="shared" si="2072"/>
        <v>30813</v>
      </c>
      <c r="AH135" s="11">
        <f t="shared" si="2072"/>
        <v>0</v>
      </c>
      <c r="AI135" s="11">
        <f t="shared" si="2072"/>
        <v>0</v>
      </c>
      <c r="AJ135" s="11">
        <f t="shared" si="2072"/>
        <v>16771</v>
      </c>
      <c r="AK135" s="11">
        <f t="shared" si="2072"/>
        <v>698450</v>
      </c>
      <c r="AL135" s="11">
        <f t="shared" si="2072"/>
        <v>423624</v>
      </c>
      <c r="AM135" s="11">
        <f t="shared" si="2072"/>
        <v>7215862</v>
      </c>
      <c r="AN135" s="11">
        <f t="shared" si="2072"/>
        <v>187510</v>
      </c>
      <c r="AO135" s="11">
        <f t="shared" si="2072"/>
        <v>1356158</v>
      </c>
      <c r="AP135" s="11">
        <f t="shared" si="2072"/>
        <v>9470336</v>
      </c>
      <c r="AQ135" s="11">
        <f t="shared" si="2072"/>
        <v>341270</v>
      </c>
      <c r="AR135" s="11">
        <f t="shared" si="2072"/>
        <v>48815</v>
      </c>
      <c r="AS135" s="11">
        <f t="shared" si="2072"/>
        <v>0</v>
      </c>
      <c r="AT135" s="11">
        <f t="shared" si="2072"/>
        <v>0</v>
      </c>
      <c r="AU135" s="11">
        <f t="shared" si="2072"/>
        <v>33096</v>
      </c>
      <c r="AV135" s="11">
        <f t="shared" si="2072"/>
        <v>0</v>
      </c>
      <c r="AW135" s="11">
        <f t="shared" si="2072"/>
        <v>9398</v>
      </c>
      <c r="AX135" s="11">
        <f t="shared" si="2072"/>
        <v>13115</v>
      </c>
      <c r="AY135" s="11">
        <f t="shared" si="2072"/>
        <v>2449</v>
      </c>
      <c r="AZ135" s="11">
        <f t="shared" si="2072"/>
        <v>71192</v>
      </c>
      <c r="BA135" s="11">
        <f t="shared" si="2072"/>
        <v>318672</v>
      </c>
      <c r="BB135" s="11">
        <f t="shared" si="2072"/>
        <v>674895</v>
      </c>
      <c r="BC135" s="11">
        <f t="shared" si="2072"/>
        <v>68511</v>
      </c>
      <c r="BD135" s="11">
        <f t="shared" si="2072"/>
        <v>69885</v>
      </c>
      <c r="BE135" s="11">
        <f t="shared" si="2072"/>
        <v>53</v>
      </c>
      <c r="BF135" s="11">
        <f t="shared" si="2072"/>
        <v>89862</v>
      </c>
      <c r="BG135" s="11">
        <f t="shared" si="2072"/>
        <v>29005036</v>
      </c>
      <c r="BH135" s="11">
        <f t="shared" si="2072"/>
        <v>50173292</v>
      </c>
      <c r="BI135" s="11">
        <f t="shared" si="2072"/>
        <v>76404436</v>
      </c>
      <c r="BJ135" s="11">
        <f t="shared" si="2072"/>
        <v>28208209</v>
      </c>
      <c r="BK135" s="11">
        <f t="shared" si="2072"/>
        <v>47135791</v>
      </c>
    </row>
  </sheetData>
  <mergeCells count="4">
    <mergeCell ref="C1:K1"/>
    <mergeCell ref="M2:O2"/>
    <mergeCell ref="AQ2:AS2"/>
    <mergeCell ref="BI2:BK2"/>
  </mergeCells>
  <conditionalFormatting sqref="BM13 BM24 BM35 BM46 BM57 BM68 BM79 BM90 BM101 BM112 BM123 BM134 C46:BI46 C90:BI90 C101:BI101 C13:BI13 C79:BI79 C57:BI57 C35:BI35 C24:BI24 C112:BI112 C134:BI134 C123:BI123">
    <cfRule type="cellIs" dxfId="21" priority="25"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zoomScaleSheetLayoutView="100" workbookViewId="0">
      <selection activeCell="G2" sqref="G2"/>
    </sheetView>
  </sheetViews>
  <sheetFormatPr defaultRowHeight="15"/>
  <cols>
    <col min="2" max="2" width="27" customWidth="1"/>
    <col min="3" max="3" width="10" style="181" customWidth="1"/>
    <col min="4" max="4" width="12.42578125" customWidth="1"/>
    <col min="5" max="5" width="0.5703125" customWidth="1"/>
    <col min="6" max="6" width="19.140625" style="176" customWidth="1"/>
    <col min="7" max="7" width="14.140625" customWidth="1"/>
    <col min="8" max="8" width="11.7109375" style="69" customWidth="1"/>
    <col min="9" max="9" width="10.5703125" style="176" customWidth="1"/>
    <col min="10" max="10" width="12" style="176" customWidth="1"/>
    <col min="11" max="11" width="9.42578125" customWidth="1"/>
    <col min="12" max="12" width="10.7109375" customWidth="1"/>
    <col min="13" max="13" width="11.5703125" customWidth="1"/>
    <col min="14" max="14" width="11" customWidth="1"/>
    <col min="15" max="15" width="10.42578125" style="181" customWidth="1"/>
  </cols>
  <sheetData>
    <row r="1" spans="1:15">
      <c r="B1" s="36" t="s">
        <v>422</v>
      </c>
      <c r="C1" s="36"/>
      <c r="G1" s="36"/>
      <c r="H1" s="278"/>
      <c r="M1" s="256"/>
      <c r="N1" s="36"/>
    </row>
    <row r="2" spans="1:15">
      <c r="M2" s="36" t="s">
        <v>148</v>
      </c>
      <c r="N2" s="277"/>
    </row>
    <row r="3" spans="1:15" s="36" customFormat="1" ht="15" customHeight="1">
      <c r="B3" s="408" t="s">
        <v>149</v>
      </c>
      <c r="C3" s="414" t="s">
        <v>421</v>
      </c>
      <c r="D3" s="414" t="s">
        <v>423</v>
      </c>
      <c r="E3" s="414"/>
      <c r="F3" s="419" t="str">
        <f>'PU Wise OWE'!$B$5</f>
        <v>Vote On Acc 2024-25</v>
      </c>
      <c r="G3" s="414" t="s">
        <v>433</v>
      </c>
      <c r="H3" s="416" t="str">
        <f>'PU Wise OWE'!$B$7</f>
        <v>Actual up to April-23</v>
      </c>
      <c r="I3" s="421" t="str">
        <f>'PU Wise OWE'!$B$6</f>
        <v>BP to end April-24</v>
      </c>
      <c r="J3" s="421" t="str">
        <f>'PU Wise OWE'!$B$8</f>
        <v>Actual up to April-24</v>
      </c>
      <c r="K3" s="418" t="s">
        <v>204</v>
      </c>
      <c r="L3" s="418"/>
      <c r="M3" s="418" t="s">
        <v>145</v>
      </c>
      <c r="N3" s="418"/>
      <c r="O3" s="385" t="s">
        <v>434</v>
      </c>
    </row>
    <row r="4" spans="1:15" ht="15.6" customHeight="1">
      <c r="A4" s="31"/>
      <c r="B4" s="409"/>
      <c r="C4" s="415"/>
      <c r="D4" s="415"/>
      <c r="E4" s="415"/>
      <c r="F4" s="420"/>
      <c r="G4" s="415"/>
      <c r="H4" s="415"/>
      <c r="I4" s="422"/>
      <c r="J4" s="422"/>
      <c r="K4" s="19" t="s">
        <v>143</v>
      </c>
      <c r="L4" s="18" t="s">
        <v>144</v>
      </c>
      <c r="M4" s="19" t="s">
        <v>143</v>
      </c>
      <c r="N4" s="18" t="s">
        <v>144</v>
      </c>
      <c r="O4" s="385"/>
    </row>
    <row r="5" spans="1:15">
      <c r="A5" s="31"/>
      <c r="B5" s="61" t="s">
        <v>146</v>
      </c>
      <c r="C5" s="22">
        <v>6210.09</v>
      </c>
      <c r="D5" s="66">
        <f>C5/C7</f>
        <v>0.69188346667587686</v>
      </c>
      <c r="E5" s="66"/>
      <c r="F5" s="105">
        <f>ROUND('PU Wise OWE'!$AD$126/10000,2)</f>
        <v>3258.73</v>
      </c>
      <c r="G5" s="66">
        <f>F5/F7</f>
        <v>0.63151968745034048</v>
      </c>
      <c r="H5" s="70">
        <f>ROUND('PU Wise OWE'!$AD$128/10000,2)</f>
        <v>604.54</v>
      </c>
      <c r="I5" s="105">
        <f>ROUND('PU Wise OWE'!$AD$127/10000,2)</f>
        <v>629.70000000000005</v>
      </c>
      <c r="J5" s="105">
        <f>ROUND('PU Wise OWE'!$AD$129/10000,2)</f>
        <v>635.62</v>
      </c>
      <c r="K5" s="22">
        <f>J5-I5</f>
        <v>5.9199999999999591</v>
      </c>
      <c r="L5" s="24">
        <f>K5/I5</f>
        <v>9.401302207400283E-3</v>
      </c>
      <c r="M5" s="22">
        <f>J5-H5</f>
        <v>31.080000000000041</v>
      </c>
      <c r="N5" s="52">
        <f>M5/H5</f>
        <v>5.1410990174347505E-2</v>
      </c>
      <c r="O5" s="52">
        <f>J5/F5</f>
        <v>0.19505144642237926</v>
      </c>
    </row>
    <row r="6" spans="1:15">
      <c r="A6" s="31"/>
      <c r="B6" s="78" t="s">
        <v>142</v>
      </c>
      <c r="C6" s="21">
        <v>2765.5399999999991</v>
      </c>
      <c r="D6" s="66">
        <f>C6/C7</f>
        <v>0.30811653332412314</v>
      </c>
      <c r="E6" s="66"/>
      <c r="F6" s="21">
        <f t="shared" ref="F6:J6" si="0">F7-F5</f>
        <v>1901.4100000000003</v>
      </c>
      <c r="G6" s="66">
        <f>F6/F7</f>
        <v>0.36848031254965952</v>
      </c>
      <c r="H6" s="70">
        <f>H7-H5</f>
        <v>631.19000000000005</v>
      </c>
      <c r="I6" s="21">
        <f t="shared" si="0"/>
        <v>632.83999999999992</v>
      </c>
      <c r="J6" s="21">
        <f t="shared" si="0"/>
        <v>-189.06</v>
      </c>
      <c r="K6" s="22">
        <f t="shared" ref="K6:K7" si="1">J6-I6</f>
        <v>-821.89999999999986</v>
      </c>
      <c r="L6" s="24">
        <f t="shared" ref="L6:L7" si="2">K6/I6</f>
        <v>-1.2987484988306681</v>
      </c>
      <c r="M6" s="22">
        <f t="shared" ref="M6:M7" si="3">J6-H6</f>
        <v>-820.25</v>
      </c>
      <c r="N6" s="52">
        <f t="shared" ref="N6:N7" si="4">M6/H6</f>
        <v>-1.2995294602259224</v>
      </c>
      <c r="O6" s="52">
        <f t="shared" ref="O6:O7" si="5">J6/F6</f>
        <v>-9.943147453731703E-2</v>
      </c>
    </row>
    <row r="7" spans="1:15">
      <c r="A7" s="31"/>
      <c r="B7" s="27" t="s">
        <v>169</v>
      </c>
      <c r="C7" s="104">
        <v>8975.6299999999992</v>
      </c>
      <c r="D7" s="67">
        <f>SUM(D5:D6)</f>
        <v>1</v>
      </c>
      <c r="E7" s="67"/>
      <c r="F7" s="104">
        <f>ROUND('PU Wise OWE'!BK126/10000,2)</f>
        <v>5160.1400000000003</v>
      </c>
      <c r="G7" s="67">
        <f>SUM(G5:G6)</f>
        <v>1</v>
      </c>
      <c r="H7" s="71">
        <f>ROUND('PU Wise OWE'!BK128/10000,2)</f>
        <v>1235.73</v>
      </c>
      <c r="I7" s="104">
        <f>ROUND('PU Wise OWE'!BK127/10000,2)</f>
        <v>1262.54</v>
      </c>
      <c r="J7" s="104">
        <f>ROUND('PU Wise OWE'!BK129/10000,2)</f>
        <v>446.56</v>
      </c>
      <c r="K7" s="26">
        <f t="shared" si="1"/>
        <v>-815.98</v>
      </c>
      <c r="L7" s="54">
        <f t="shared" si="2"/>
        <v>-0.64630031523753706</v>
      </c>
      <c r="M7" s="26">
        <f t="shared" si="3"/>
        <v>-789.17000000000007</v>
      </c>
      <c r="N7" s="55">
        <f t="shared" si="4"/>
        <v>-0.63862656081830182</v>
      </c>
      <c r="O7" s="55">
        <f t="shared" si="5"/>
        <v>8.6540287666613688E-2</v>
      </c>
    </row>
    <row r="8" spans="1:15">
      <c r="A8" s="31"/>
      <c r="B8" s="32"/>
      <c r="C8" s="32"/>
      <c r="D8" s="33"/>
      <c r="E8" s="33"/>
      <c r="F8" s="279"/>
      <c r="G8" s="34"/>
      <c r="H8" s="72"/>
      <c r="I8" s="279"/>
      <c r="J8" s="32"/>
      <c r="K8" s="31"/>
      <c r="L8" s="35"/>
      <c r="M8" s="34"/>
      <c r="N8" s="31"/>
    </row>
    <row r="9" spans="1:15" ht="14.45" customHeight="1">
      <c r="A9" s="31"/>
      <c r="D9" s="33"/>
      <c r="E9" s="33"/>
      <c r="F9" s="279"/>
      <c r="G9" s="34"/>
      <c r="H9" s="72"/>
      <c r="I9" s="279"/>
      <c r="J9" s="32"/>
      <c r="K9" s="31"/>
      <c r="L9" s="35"/>
      <c r="M9" s="34"/>
      <c r="N9" s="31"/>
    </row>
    <row r="10" spans="1:15">
      <c r="A10" s="31"/>
      <c r="B10" s="62" t="s">
        <v>170</v>
      </c>
      <c r="C10" s="62"/>
      <c r="D10" s="63"/>
      <c r="E10" s="63"/>
      <c r="F10" s="280"/>
      <c r="G10" s="63"/>
      <c r="H10" s="73"/>
      <c r="I10" s="280"/>
      <c r="J10" s="280"/>
      <c r="M10" s="36" t="s">
        <v>148</v>
      </c>
    </row>
    <row r="11" spans="1:15" ht="15" customHeight="1">
      <c r="A11" s="31"/>
      <c r="B11" s="410" t="s">
        <v>149</v>
      </c>
      <c r="C11" s="406" t="s">
        <v>421</v>
      </c>
      <c r="D11" s="406" t="s">
        <v>171</v>
      </c>
      <c r="E11" s="406"/>
      <c r="F11" s="412" t="str">
        <f>'PU Wise OWE'!$B$5</f>
        <v>Vote On Acc 2024-25</v>
      </c>
      <c r="G11" s="406" t="s">
        <v>433</v>
      </c>
      <c r="H11" s="417" t="str">
        <f>'PU Wise OWE'!$B$7</f>
        <v>Actual up to April-23</v>
      </c>
      <c r="I11" s="393" t="str">
        <f>'PU Wise OWE'!$B$6</f>
        <v>BP to end April-24</v>
      </c>
      <c r="J11" s="393" t="str">
        <f>'PU Wise OWE'!$B$8</f>
        <v>Actual up to April-24</v>
      </c>
      <c r="K11" s="403" t="s">
        <v>204</v>
      </c>
      <c r="L11" s="403"/>
      <c r="M11" s="403" t="s">
        <v>145</v>
      </c>
      <c r="N11" s="403"/>
      <c r="O11" s="386" t="s">
        <v>434</v>
      </c>
    </row>
    <row r="12" spans="1:15" ht="15" customHeight="1">
      <c r="A12" s="31"/>
      <c r="B12" s="411"/>
      <c r="C12" s="407"/>
      <c r="D12" s="407"/>
      <c r="E12" s="407"/>
      <c r="F12" s="413"/>
      <c r="G12" s="407"/>
      <c r="H12" s="407"/>
      <c r="I12" s="394"/>
      <c r="J12" s="394"/>
      <c r="K12" s="64" t="s">
        <v>143</v>
      </c>
      <c r="L12" s="65" t="s">
        <v>144</v>
      </c>
      <c r="M12" s="64" t="s">
        <v>143</v>
      </c>
      <c r="N12" s="65" t="s">
        <v>144</v>
      </c>
      <c r="O12" s="386"/>
    </row>
    <row r="13" spans="1:15">
      <c r="A13" s="31"/>
      <c r="B13" s="20" t="s">
        <v>150</v>
      </c>
      <c r="C13" s="105">
        <v>2711.56</v>
      </c>
      <c r="D13" s="66">
        <f>C13/$C$7</f>
        <v>0.3021024708014925</v>
      </c>
      <c r="E13" s="21"/>
      <c r="F13" s="105">
        <f>ROUND('PU Wise OWE'!$C$126/10000,2)</f>
        <v>1262.4100000000001</v>
      </c>
      <c r="G13" s="24">
        <f>F13/$F$7</f>
        <v>0.24464646308045906</v>
      </c>
      <c r="H13" s="70">
        <f>ROUND('PU Wise OWE'!$C$128/10000,2)</f>
        <v>234</v>
      </c>
      <c r="I13" s="105">
        <f>ROUND('PU Wise OWE'!$C$127/10000,2)</f>
        <v>239.86</v>
      </c>
      <c r="J13" s="20">
        <f>ROUND('PU Wise OWE'!$C$129/10000,2)</f>
        <v>249.65</v>
      </c>
      <c r="K13" s="22">
        <f>J13-I13</f>
        <v>9.789999999999992</v>
      </c>
      <c r="L13" s="24">
        <f>K13/I13</f>
        <v>4.081547569415489E-2</v>
      </c>
      <c r="M13" s="22">
        <f>J13-H13</f>
        <v>15.650000000000006</v>
      </c>
      <c r="N13" s="52">
        <f>M13/H13</f>
        <v>6.6880341880341906E-2</v>
      </c>
      <c r="O13" s="52">
        <f t="shared" ref="O13:O28" si="6">J13/F13</f>
        <v>0.19775667176273951</v>
      </c>
    </row>
    <row r="14" spans="1:15">
      <c r="A14" s="31"/>
      <c r="B14" s="20" t="s">
        <v>151</v>
      </c>
      <c r="C14" s="105">
        <v>1294.5899999999999</v>
      </c>
      <c r="D14" s="66">
        <f t="shared" ref="D14:D27" si="7">C14/$C$7</f>
        <v>0.14423388664639697</v>
      </c>
      <c r="E14" s="21"/>
      <c r="F14" s="105">
        <f>ROUND('PU Wise OWE'!$D$126/10000,2)</f>
        <v>790.99</v>
      </c>
      <c r="G14" s="24">
        <f t="shared" ref="G14:G27" si="8">F14/$F$7</f>
        <v>0.15328847666923764</v>
      </c>
      <c r="H14" s="70">
        <f>ROUND('PU Wise OWE'!$D$128/10000,2)</f>
        <v>126.32</v>
      </c>
      <c r="I14" s="105">
        <f>ROUND('PU Wise OWE'!$D$127/10000,2)</f>
        <v>150.29</v>
      </c>
      <c r="J14" s="20">
        <f>ROUND('PU Wise OWE'!$D$129/10000,2)</f>
        <v>153.30000000000001</v>
      </c>
      <c r="K14" s="22">
        <f t="shared" ref="K14:K17" si="9">J14-I14</f>
        <v>3.0100000000000193</v>
      </c>
      <c r="L14" s="24">
        <f t="shared" ref="L14:L17" si="10">K14/I14</f>
        <v>2.0027945971122625E-2</v>
      </c>
      <c r="M14" s="22">
        <f t="shared" ref="M14:M27" si="11">J14-H14</f>
        <v>26.980000000000018</v>
      </c>
      <c r="N14" s="52">
        <f t="shared" ref="N14:N27" si="12">M14/H14</f>
        <v>0.21358454718176076</v>
      </c>
      <c r="O14" s="52">
        <f t="shared" si="6"/>
        <v>0.19380775989582677</v>
      </c>
    </row>
    <row r="15" spans="1:15">
      <c r="B15" s="23" t="s">
        <v>172</v>
      </c>
      <c r="C15" s="22">
        <v>101.4</v>
      </c>
      <c r="D15" s="66">
        <f t="shared" si="7"/>
        <v>1.1297257128468978E-2</v>
      </c>
      <c r="E15" s="21"/>
      <c r="F15" s="105">
        <f>ROUND('PU Wise OWE'!$E$126/10000,2)</f>
        <v>0</v>
      </c>
      <c r="G15" s="24">
        <f t="shared" si="8"/>
        <v>0</v>
      </c>
      <c r="H15" s="70">
        <f>ROUND('PU Wise OWE'!$E$128/10000,2)</f>
        <v>0.1</v>
      </c>
      <c r="I15" s="105">
        <f>ROUND('PU Wise OWE'!$E$127/10000,2)</f>
        <v>0</v>
      </c>
      <c r="J15" s="20">
        <f>ROUND('PU Wise OWE'!$E$129/10000,2)</f>
        <v>0.06</v>
      </c>
      <c r="K15" s="22">
        <f t="shared" si="9"/>
        <v>0.06</v>
      </c>
      <c r="L15" s="24" t="e">
        <f t="shared" si="10"/>
        <v>#DIV/0!</v>
      </c>
      <c r="M15" s="22">
        <f t="shared" si="11"/>
        <v>-4.0000000000000008E-2</v>
      </c>
      <c r="N15" s="52">
        <f t="shared" si="12"/>
        <v>-0.40000000000000008</v>
      </c>
      <c r="O15" s="52" t="e">
        <f t="shared" si="6"/>
        <v>#DIV/0!</v>
      </c>
    </row>
    <row r="16" spans="1:15">
      <c r="B16" s="23" t="s">
        <v>173</v>
      </c>
      <c r="C16" s="22">
        <v>337.2</v>
      </c>
      <c r="D16" s="66">
        <f t="shared" si="7"/>
        <v>3.7568393527808081E-2</v>
      </c>
      <c r="E16" s="21"/>
      <c r="F16" s="105">
        <f>ROUND('PU Wise OWE'!$F$126/10000,2)</f>
        <v>184.56</v>
      </c>
      <c r="G16" s="24">
        <f t="shared" si="8"/>
        <v>3.5766471452324936E-2</v>
      </c>
      <c r="H16" s="70">
        <f>ROUND('PU Wise OWE'!$F$128/10000,2)</f>
        <v>28.36</v>
      </c>
      <c r="I16" s="105">
        <f>ROUND('PU Wise OWE'!$F$127/10000,2)</f>
        <v>35.07</v>
      </c>
      <c r="J16" s="20">
        <f>ROUND('PU Wise OWE'!$F$129/10000,2)</f>
        <v>30.65</v>
      </c>
      <c r="K16" s="22">
        <f t="shared" si="9"/>
        <v>-4.4200000000000017</v>
      </c>
      <c r="L16" s="24">
        <f t="shared" si="10"/>
        <v>-0.12603364699173086</v>
      </c>
      <c r="M16" s="22">
        <f t="shared" si="11"/>
        <v>2.2899999999999991</v>
      </c>
      <c r="N16" s="52">
        <f t="shared" si="12"/>
        <v>8.0747531734837771E-2</v>
      </c>
      <c r="O16" s="52">
        <f t="shared" si="6"/>
        <v>0.16607065452969222</v>
      </c>
    </row>
    <row r="17" spans="1:15">
      <c r="B17" s="23" t="s">
        <v>174</v>
      </c>
      <c r="C17" s="22">
        <v>187.64</v>
      </c>
      <c r="D17" s="66">
        <f t="shared" si="7"/>
        <v>2.0905496327277305E-2</v>
      </c>
      <c r="E17" s="21"/>
      <c r="F17" s="105">
        <f>ROUND('PU Wise OWE'!$G$126/10000,2)</f>
        <v>92.82</v>
      </c>
      <c r="G17" s="24">
        <f t="shared" si="8"/>
        <v>1.7987884049657565E-2</v>
      </c>
      <c r="H17" s="70">
        <f>ROUND('PU Wise OWE'!$G$128/10000,2)</f>
        <v>16.350000000000001</v>
      </c>
      <c r="I17" s="105">
        <f>ROUND('PU Wise OWE'!$G$127/10000,2)</f>
        <v>17.64</v>
      </c>
      <c r="J17" s="20">
        <f>ROUND('PU Wise OWE'!$G$129/10000,2)</f>
        <v>18.5</v>
      </c>
      <c r="K17" s="22">
        <f t="shared" si="9"/>
        <v>0.85999999999999943</v>
      </c>
      <c r="L17" s="24">
        <f t="shared" si="10"/>
        <v>4.875283446712015E-2</v>
      </c>
      <c r="M17" s="22">
        <f t="shared" si="11"/>
        <v>2.1499999999999986</v>
      </c>
      <c r="N17" s="52">
        <f t="shared" si="12"/>
        <v>0.13149847094801215</v>
      </c>
      <c r="O17" s="52">
        <f t="shared" si="6"/>
        <v>0.1993104934281405</v>
      </c>
    </row>
    <row r="18" spans="1:15">
      <c r="A18" s="31"/>
      <c r="B18" s="20" t="s">
        <v>152</v>
      </c>
      <c r="C18" s="105">
        <v>385.39</v>
      </c>
      <c r="D18" s="66">
        <f t="shared" si="7"/>
        <v>4.2937375983635694E-2</v>
      </c>
      <c r="E18" s="21"/>
      <c r="F18" s="105">
        <f>ROUND('PU Wise OWE'!$H$126/10000,2)</f>
        <v>276.83</v>
      </c>
      <c r="G18" s="24">
        <f t="shared" si="8"/>
        <v>5.3647769246570824E-2</v>
      </c>
      <c r="H18" s="70">
        <f>ROUND('PU Wise OWE'!$H$128/10000,2)</f>
        <v>35.26</v>
      </c>
      <c r="I18" s="105">
        <f>ROUND('PU Wise OWE'!$H$127/10000,2)</f>
        <v>32.450000000000003</v>
      </c>
      <c r="J18" s="20">
        <f>ROUND('PU Wise OWE'!$H$129/10000,2)</f>
        <v>40.99</v>
      </c>
      <c r="K18" s="22">
        <f t="shared" ref="K18:K28" si="13">J18-I18</f>
        <v>8.5399999999999991</v>
      </c>
      <c r="L18" s="24">
        <f t="shared" ref="L18:L28" si="14">K18/I18</f>
        <v>0.26317411402157159</v>
      </c>
      <c r="M18" s="22">
        <f t="shared" si="11"/>
        <v>5.730000000000004</v>
      </c>
      <c r="N18" s="52">
        <f t="shared" si="12"/>
        <v>0.16250709018718107</v>
      </c>
      <c r="O18" s="52">
        <f t="shared" si="6"/>
        <v>0.14806921215186217</v>
      </c>
    </row>
    <row r="19" spans="1:15">
      <c r="A19" s="31"/>
      <c r="B19" s="56" t="s">
        <v>153</v>
      </c>
      <c r="C19" s="106">
        <v>305.26</v>
      </c>
      <c r="D19" s="66">
        <f t="shared" si="7"/>
        <v>3.4009868945132547E-2</v>
      </c>
      <c r="E19" s="21"/>
      <c r="F19" s="105">
        <f>ROUND('PU Wise OWE'!$J$126/10000,2)</f>
        <v>144.32</v>
      </c>
      <c r="G19" s="24">
        <f t="shared" si="8"/>
        <v>2.7968233420023483E-2</v>
      </c>
      <c r="H19" s="70">
        <f>ROUND('PU Wise OWE'!$J$128/10000,2)</f>
        <v>40.380000000000003</v>
      </c>
      <c r="I19" s="105">
        <f>ROUND('PU Wise OWE'!$J$127/10000,2)</f>
        <v>27.42</v>
      </c>
      <c r="J19" s="20">
        <f>ROUND('PU Wise OWE'!$J$129/10000,2)</f>
        <v>26.27</v>
      </c>
      <c r="K19" s="22">
        <f t="shared" si="13"/>
        <v>-1.1500000000000021</v>
      </c>
      <c r="L19" s="24">
        <f t="shared" si="14"/>
        <v>-4.1940189642596722E-2</v>
      </c>
      <c r="M19" s="22">
        <f t="shared" si="11"/>
        <v>-14.110000000000003</v>
      </c>
      <c r="N19" s="52">
        <f t="shared" si="12"/>
        <v>-0.34943041109460132</v>
      </c>
      <c r="O19" s="52">
        <f t="shared" si="6"/>
        <v>0.18202605321507762</v>
      </c>
    </row>
    <row r="20" spans="1:15">
      <c r="A20" s="31"/>
      <c r="B20" s="20" t="s">
        <v>154</v>
      </c>
      <c r="C20" s="105">
        <v>20.420000000000002</v>
      </c>
      <c r="D20" s="66">
        <f t="shared" si="7"/>
        <v>2.2750492166009519E-3</v>
      </c>
      <c r="E20" s="21"/>
      <c r="F20" s="105">
        <f>ROUND('PU Wise OWE'!$K$126/10000,2)</f>
        <v>9.0299999999999994</v>
      </c>
      <c r="G20" s="24">
        <f t="shared" si="8"/>
        <v>1.7499525206680436E-3</v>
      </c>
      <c r="H20" s="70">
        <f>ROUND('PU Wise OWE'!$K$128/10000,2)</f>
        <v>3.1</v>
      </c>
      <c r="I20" s="105">
        <f>ROUND('PU Wise OWE'!$K$127/10000,2)</f>
        <v>1.72</v>
      </c>
      <c r="J20" s="20">
        <f>ROUND('PU Wise OWE'!$K$129/10000,2)</f>
        <v>1.1399999999999999</v>
      </c>
      <c r="K20" s="22">
        <f t="shared" si="13"/>
        <v>-0.58000000000000007</v>
      </c>
      <c r="L20" s="24">
        <f t="shared" si="14"/>
        <v>-0.33720930232558144</v>
      </c>
      <c r="M20" s="22">
        <f t="shared" si="11"/>
        <v>-1.9600000000000002</v>
      </c>
      <c r="N20" s="52">
        <f t="shared" si="12"/>
        <v>-0.63225806451612909</v>
      </c>
      <c r="O20" s="52">
        <f t="shared" si="6"/>
        <v>0.12624584717607973</v>
      </c>
    </row>
    <row r="21" spans="1:15">
      <c r="A21" s="31"/>
      <c r="B21" s="20" t="s">
        <v>155</v>
      </c>
      <c r="C21" s="105">
        <v>83.39</v>
      </c>
      <c r="D21" s="66">
        <f t="shared" si="7"/>
        <v>9.290712741055503E-3</v>
      </c>
      <c r="E21" s="21"/>
      <c r="F21" s="105">
        <f>ROUND('PU Wise OWE'!$L$126/10000,2)</f>
        <v>39.19</v>
      </c>
      <c r="G21" s="24">
        <f t="shared" si="8"/>
        <v>7.5947551810609778E-3</v>
      </c>
      <c r="H21" s="70">
        <f>ROUND('PU Wise OWE'!$L$128/10000,2)</f>
        <v>15.11</v>
      </c>
      <c r="I21" s="105">
        <f>ROUND('PU Wise OWE'!$L$127/10000,2)</f>
        <v>7.45</v>
      </c>
      <c r="J21" s="20">
        <f>ROUND('PU Wise OWE'!$L$129/10000,2)</f>
        <v>9.67</v>
      </c>
      <c r="K21" s="22">
        <f t="shared" si="13"/>
        <v>2.2199999999999998</v>
      </c>
      <c r="L21" s="24">
        <f t="shared" si="14"/>
        <v>0.29798657718120802</v>
      </c>
      <c r="M21" s="22">
        <f t="shared" si="11"/>
        <v>-5.4399999999999995</v>
      </c>
      <c r="N21" s="52">
        <f t="shared" si="12"/>
        <v>-0.36002647253474518</v>
      </c>
      <c r="O21" s="52">
        <f t="shared" si="6"/>
        <v>0.24674661903546824</v>
      </c>
    </row>
    <row r="22" spans="1:15">
      <c r="A22" s="31"/>
      <c r="B22" s="20" t="s">
        <v>177</v>
      </c>
      <c r="C22" s="105">
        <v>143.05000000000001</v>
      </c>
      <c r="D22" s="66">
        <f t="shared" si="7"/>
        <v>1.5937599923348002E-2</v>
      </c>
      <c r="E22" s="21"/>
      <c r="F22" s="105">
        <f>ROUND('PU Wise OWE'!$M$126/10000,2)</f>
        <v>69.760000000000005</v>
      </c>
      <c r="G22" s="24">
        <f t="shared" si="8"/>
        <v>1.3519013050033526E-2</v>
      </c>
      <c r="H22" s="70">
        <f>ROUND('PU Wise OWE'!$M$128/10000,2)</f>
        <v>13.04</v>
      </c>
      <c r="I22" s="105">
        <f>ROUND('PU Wise OWE'!$M$127/10000,2)</f>
        <v>13.25</v>
      </c>
      <c r="J22" s="20">
        <f>ROUND('PU Wise OWE'!$M$129/10000,2)</f>
        <v>12.13</v>
      </c>
      <c r="K22" s="22">
        <f t="shared" ref="K22" si="15">J22-I22</f>
        <v>-1.1199999999999992</v>
      </c>
      <c r="L22" s="24">
        <f t="shared" ref="L22" si="16">K22/I22</f>
        <v>-8.452830188679239E-2</v>
      </c>
      <c r="M22" s="22">
        <f t="shared" si="11"/>
        <v>-0.90999999999999837</v>
      </c>
      <c r="N22" s="52">
        <f t="shared" si="12"/>
        <v>-6.9785276073619507E-2</v>
      </c>
      <c r="O22" s="52">
        <f t="shared" si="6"/>
        <v>0.17388188073394495</v>
      </c>
    </row>
    <row r="23" spans="1:15">
      <c r="A23" s="31"/>
      <c r="B23" s="56" t="s">
        <v>156</v>
      </c>
      <c r="C23" s="106">
        <v>125.95</v>
      </c>
      <c r="D23" s="66">
        <f t="shared" si="7"/>
        <v>1.4032441176831043E-2</v>
      </c>
      <c r="E23" s="21"/>
      <c r="F23" s="105">
        <f>ROUND('PU Wise OWE'!$P$126/10000,2)</f>
        <v>60.4</v>
      </c>
      <c r="G23" s="24">
        <f t="shared" si="8"/>
        <v>1.1705108776118476E-2</v>
      </c>
      <c r="H23" s="70">
        <f>ROUND('PU Wise OWE'!$P$128/10000,2)</f>
        <v>21.44</v>
      </c>
      <c r="I23" s="105">
        <f>ROUND('PU Wise OWE'!$P$127/10000,2)</f>
        <v>11.48</v>
      </c>
      <c r="J23" s="20">
        <f>ROUND('PU Wise OWE'!$P$129/10000,2)</f>
        <v>15.45</v>
      </c>
      <c r="K23" s="22">
        <f t="shared" si="13"/>
        <v>3.9699999999999989</v>
      </c>
      <c r="L23" s="24">
        <f t="shared" si="14"/>
        <v>0.34581881533101033</v>
      </c>
      <c r="M23" s="22">
        <f t="shared" si="11"/>
        <v>-5.990000000000002</v>
      </c>
      <c r="N23" s="52">
        <f t="shared" si="12"/>
        <v>-0.27938432835820903</v>
      </c>
      <c r="O23" s="52">
        <f t="shared" si="6"/>
        <v>0.25579470198675497</v>
      </c>
    </row>
    <row r="24" spans="1:15">
      <c r="B24" s="56" t="s">
        <v>157</v>
      </c>
      <c r="C24" s="106">
        <v>99.96</v>
      </c>
      <c r="D24" s="66">
        <f t="shared" si="7"/>
        <v>1.1136822707709654E-2</v>
      </c>
      <c r="E24" s="21"/>
      <c r="F24" s="105">
        <f>ROUND('PU Wise OWE'!$S$126/10000,2)</f>
        <v>98.99</v>
      </c>
      <c r="G24" s="24">
        <f t="shared" si="8"/>
        <v>1.9183588042184899E-2</v>
      </c>
      <c r="H24" s="70">
        <f>ROUND('PU Wise OWE'!$S$128/10000,2)</f>
        <v>23.33</v>
      </c>
      <c r="I24" s="105">
        <f>ROUND('PU Wise OWE'!$S$127/10000,2)</f>
        <v>49.5</v>
      </c>
      <c r="J24" s="20">
        <f>ROUND('PU Wise OWE'!$S$129/10000,2)</f>
        <v>4.3600000000000003</v>
      </c>
      <c r="K24" s="22">
        <f t="shared" si="13"/>
        <v>-45.14</v>
      </c>
      <c r="L24" s="24">
        <f t="shared" si="14"/>
        <v>-0.91191919191919191</v>
      </c>
      <c r="M24" s="22">
        <f t="shared" si="11"/>
        <v>-18.97</v>
      </c>
      <c r="N24" s="52">
        <f t="shared" si="12"/>
        <v>-0.81311615945135018</v>
      </c>
      <c r="O24" s="52">
        <f t="shared" si="6"/>
        <v>4.404485301545611E-2</v>
      </c>
    </row>
    <row r="25" spans="1:15">
      <c r="B25" s="56" t="s">
        <v>158</v>
      </c>
      <c r="C25" s="106">
        <v>176.68</v>
      </c>
      <c r="D25" s="66">
        <f t="shared" si="7"/>
        <v>1.9684412124831352E-2</v>
      </c>
      <c r="E25" s="21"/>
      <c r="F25" s="105">
        <f>ROUND('PU Wise OWE'!$T$126/10000,2)</f>
        <v>83.93</v>
      </c>
      <c r="G25" s="24">
        <f t="shared" si="8"/>
        <v>1.6265062575821585E-2</v>
      </c>
      <c r="H25" s="70">
        <f>ROUND('PU Wise OWE'!$T$128/10000,2)</f>
        <v>29.85</v>
      </c>
      <c r="I25" s="105">
        <f>ROUND('PU Wise OWE'!$T$127/10000,2)</f>
        <v>15.95</v>
      </c>
      <c r="J25" s="20">
        <f>ROUND('PU Wise OWE'!$T$129/10000,2)</f>
        <v>53.04</v>
      </c>
      <c r="K25" s="22">
        <f t="shared" si="13"/>
        <v>37.090000000000003</v>
      </c>
      <c r="L25" s="24">
        <f t="shared" si="14"/>
        <v>2.325391849529781</v>
      </c>
      <c r="M25" s="22">
        <f>J25-H25</f>
        <v>23.189999999999998</v>
      </c>
      <c r="N25" s="52">
        <f>M25/H25</f>
        <v>0.77688442211055264</v>
      </c>
      <c r="O25" s="52">
        <f t="shared" si="6"/>
        <v>0.63195520076254019</v>
      </c>
    </row>
    <row r="26" spans="1:15">
      <c r="B26" s="56" t="s">
        <v>176</v>
      </c>
      <c r="C26" s="106">
        <v>69.81</v>
      </c>
      <c r="D26" s="66">
        <f t="shared" si="7"/>
        <v>7.7777270230613349E-3</v>
      </c>
      <c r="E26" s="22"/>
      <c r="F26" s="105">
        <f>ROUND('PU Wise OWE'!$V$126/10000,2)</f>
        <v>36.56</v>
      </c>
      <c r="G26" s="24">
        <f t="shared" si="8"/>
        <v>7.0850790870015156E-3</v>
      </c>
      <c r="H26" s="70">
        <f>ROUND('PU Wise OWE'!$V$128/10000,2)</f>
        <v>1.05</v>
      </c>
      <c r="I26" s="105">
        <f>ROUND('PU Wise OWE'!$V$127/10000,2)</f>
        <v>6.95</v>
      </c>
      <c r="J26" s="20">
        <f>ROUND('PU Wise OWE'!$V$129/10000,2)</f>
        <v>2.2000000000000002</v>
      </c>
      <c r="K26" s="22">
        <f t="shared" si="13"/>
        <v>-4.75</v>
      </c>
      <c r="L26" s="24">
        <f t="shared" si="14"/>
        <v>-0.68345323741007191</v>
      </c>
      <c r="M26" s="22">
        <f t="shared" si="11"/>
        <v>1.1500000000000001</v>
      </c>
      <c r="N26" s="52">
        <f t="shared" si="12"/>
        <v>1.0952380952380953</v>
      </c>
      <c r="O26" s="52">
        <f t="shared" si="6"/>
        <v>6.0175054704595186E-2</v>
      </c>
    </row>
    <row r="27" spans="1:15">
      <c r="B27" s="56" t="s">
        <v>175</v>
      </c>
      <c r="C27" s="106">
        <v>139.18</v>
      </c>
      <c r="D27" s="66">
        <f t="shared" si="7"/>
        <v>1.5506432417557321E-2</v>
      </c>
      <c r="E27" s="22"/>
      <c r="F27" s="105">
        <f>ROUND('PU Wise OWE'!$AC$126/10000,2)</f>
        <v>91.08</v>
      </c>
      <c r="G27" s="24">
        <f t="shared" si="8"/>
        <v>1.7650683896173358E-2</v>
      </c>
      <c r="H27" s="70">
        <f>ROUND('PU Wise OWE'!$AC$128/10000,2)</f>
        <v>12.74</v>
      </c>
      <c r="I27" s="105">
        <f>ROUND('PU Wise OWE'!$AC$127/10000,2)</f>
        <v>17.309999999999999</v>
      </c>
      <c r="J27" s="20">
        <f>ROUND('PU Wise OWE'!$AC$129/10000,2)</f>
        <v>14.87</v>
      </c>
      <c r="K27" s="22">
        <f t="shared" ref="K27" si="17">J27-I27</f>
        <v>-2.4399999999999995</v>
      </c>
      <c r="L27" s="24">
        <f t="shared" ref="L27" si="18">K27/I27</f>
        <v>-0.14095898324667822</v>
      </c>
      <c r="M27" s="22">
        <f t="shared" si="11"/>
        <v>2.129999999999999</v>
      </c>
      <c r="N27" s="52">
        <f t="shared" si="12"/>
        <v>0.16718995290423855</v>
      </c>
      <c r="O27" s="52">
        <f t="shared" si="6"/>
        <v>0.16326306543697847</v>
      </c>
    </row>
    <row r="28" spans="1:15">
      <c r="B28" s="199" t="s">
        <v>147</v>
      </c>
      <c r="C28" s="200">
        <f>SUM(C13:C27)</f>
        <v>6181.4800000000014</v>
      </c>
      <c r="D28" s="202">
        <f>SUM(D13:D27)</f>
        <v>0.68869594669120715</v>
      </c>
      <c r="E28" s="200"/>
      <c r="F28" s="281">
        <f>F5</f>
        <v>3258.73</v>
      </c>
      <c r="G28" s="202">
        <f t="shared" ref="G28:J28" si="19">SUM(G13:G27)</f>
        <v>0.62805854104733605</v>
      </c>
      <c r="H28" s="201">
        <f>SUM(H13:H27)</f>
        <v>600.43000000000018</v>
      </c>
      <c r="I28" s="281">
        <f t="shared" si="19"/>
        <v>626.34</v>
      </c>
      <c r="J28" s="281">
        <f t="shared" si="19"/>
        <v>632.28000000000009</v>
      </c>
      <c r="K28" s="200">
        <f t="shared" si="13"/>
        <v>5.9400000000000546</v>
      </c>
      <c r="L28" s="202">
        <f t="shared" si="14"/>
        <v>9.4836670179136804E-3</v>
      </c>
      <c r="M28" s="200">
        <f>J28-H28</f>
        <v>31.849999999999909</v>
      </c>
      <c r="N28" s="203">
        <f>M28/H28</f>
        <v>5.3045317522442084E-2</v>
      </c>
      <c r="O28" s="203">
        <f t="shared" si="6"/>
        <v>0.19402650725896287</v>
      </c>
    </row>
    <row r="29" spans="1:15">
      <c r="J29" s="284"/>
    </row>
    <row r="31" spans="1:15">
      <c r="B31" s="75" t="s">
        <v>178</v>
      </c>
      <c r="C31" s="75"/>
      <c r="D31" s="77"/>
      <c r="H31" s="250"/>
      <c r="M31" s="36" t="s">
        <v>148</v>
      </c>
    </row>
    <row r="32" spans="1:15" ht="15" customHeight="1">
      <c r="B32" s="404" t="s">
        <v>149</v>
      </c>
      <c r="C32" s="397" t="s">
        <v>421</v>
      </c>
      <c r="D32" s="397" t="s">
        <v>171</v>
      </c>
      <c r="E32" s="397"/>
      <c r="F32" s="372" t="str">
        <f>'PU Wise OWE'!$B$5</f>
        <v>Vote On Acc 2024-25</v>
      </c>
      <c r="G32" s="397" t="s">
        <v>433</v>
      </c>
      <c r="H32" s="402" t="str">
        <f>'PU Wise OWE'!$B$7</f>
        <v>Actual up to April-23</v>
      </c>
      <c r="I32" s="395" t="str">
        <f>'PU Wise OWE'!$B$6</f>
        <v>BP to end April-24</v>
      </c>
      <c r="J32" s="395" t="str">
        <f>'PU Wise OWE'!$B$8</f>
        <v>Actual up to April-24</v>
      </c>
      <c r="K32" s="369" t="s">
        <v>204</v>
      </c>
      <c r="L32" s="369"/>
      <c r="M32" s="369" t="s">
        <v>145</v>
      </c>
      <c r="N32" s="369"/>
      <c r="O32" s="370" t="s">
        <v>434</v>
      </c>
    </row>
    <row r="33" spans="2:15" ht="18" customHeight="1">
      <c r="B33" s="405"/>
      <c r="C33" s="398"/>
      <c r="D33" s="398"/>
      <c r="E33" s="398"/>
      <c r="F33" s="373"/>
      <c r="G33" s="398"/>
      <c r="H33" s="398"/>
      <c r="I33" s="396"/>
      <c r="J33" s="396"/>
      <c r="K33" s="79" t="s">
        <v>143</v>
      </c>
      <c r="L33" s="80" t="s">
        <v>144</v>
      </c>
      <c r="M33" s="79" t="s">
        <v>143</v>
      </c>
      <c r="N33" s="80" t="s">
        <v>144</v>
      </c>
      <c r="O33" s="370"/>
    </row>
    <row r="34" spans="2:15">
      <c r="B34" s="84" t="s">
        <v>179</v>
      </c>
      <c r="C34" s="107">
        <v>9.02</v>
      </c>
      <c r="D34" s="66">
        <f t="shared" ref="D34:D37" si="20">C34/$C$7</f>
        <v>1.0049433855896467E-3</v>
      </c>
      <c r="E34" s="21"/>
      <c r="F34" s="105">
        <f>ROUND(('PU Wise OWE'!$AE$126+'PU Wise OWE'!$AF$126)/10000,2)</f>
        <v>3.72</v>
      </c>
      <c r="G34" s="24">
        <f t="shared" ref="G34:G37" si="21">F34/$F$7</f>
        <v>7.2091067296623738E-4</v>
      </c>
      <c r="H34" s="70">
        <f>ROUND(('PU Wise OWE'!$AE$128+'PU Wise OWE'!$AF$128)/10000,2)</f>
        <v>0.88</v>
      </c>
      <c r="I34" s="105">
        <f>ROUND(('PU Wise OWE'!$AE$127+'PU Wise OWE'!$AF$127)/10000,2)</f>
        <v>0.89</v>
      </c>
      <c r="J34" s="20">
        <f>ROUND(('PU Wise OWE'!$AE$129+'PU Wise OWE'!$AF$129)/10000,2)</f>
        <v>0.97</v>
      </c>
      <c r="K34" s="22">
        <f t="shared" ref="K34:K36" si="22">J34-I34</f>
        <v>7.999999999999996E-2</v>
      </c>
      <c r="L34" s="24">
        <f t="shared" ref="L34:L36" si="23">K34/I34</f>
        <v>8.9887640449438158E-2</v>
      </c>
      <c r="M34" s="22">
        <f t="shared" ref="M34" si="24">J34-H34</f>
        <v>8.9999999999999969E-2</v>
      </c>
      <c r="N34" s="52">
        <f t="shared" ref="N34" si="25">M34/H34</f>
        <v>0.10227272727272724</v>
      </c>
      <c r="O34" s="52">
        <f t="shared" ref="O34" si="26">J34/F34</f>
        <v>0.260752688172043</v>
      </c>
    </row>
    <row r="35" spans="2:15" ht="16.5" customHeight="1">
      <c r="B35" s="84" t="s">
        <v>180</v>
      </c>
      <c r="C35" s="107">
        <v>19.2</v>
      </c>
      <c r="D35" s="66">
        <f t="shared" si="20"/>
        <v>2.1391256101243035E-3</v>
      </c>
      <c r="E35" s="21"/>
      <c r="F35" s="105">
        <f>ROUND('PU Wise OWE'!$AG$126/10000,2)</f>
        <v>8.61</v>
      </c>
      <c r="G35" s="24">
        <f t="shared" si="21"/>
        <v>1.6685593801718556E-3</v>
      </c>
      <c r="H35" s="70">
        <f>ROUND('PU Wise OWE'!$AG$128/10000,2)</f>
        <v>2.17</v>
      </c>
      <c r="I35" s="105">
        <f>ROUND('PU Wise OWE'!$AG$127/10000,2)</f>
        <v>2.0699999999999998</v>
      </c>
      <c r="J35" s="20">
        <f>ROUND('PU Wise OWE'!$AG$129/10000,2)</f>
        <v>5.53</v>
      </c>
      <c r="K35" s="22">
        <f t="shared" si="22"/>
        <v>3.4600000000000004</v>
      </c>
      <c r="L35" s="24">
        <f t="shared" si="23"/>
        <v>1.6714975845410631</v>
      </c>
      <c r="M35" s="22">
        <f t="shared" ref="M35:M37" si="27">J35-H35</f>
        <v>3.3600000000000003</v>
      </c>
      <c r="N35" s="52">
        <f t="shared" ref="N35:N37" si="28">M35/H35</f>
        <v>1.5483870967741937</v>
      </c>
      <c r="O35" s="52">
        <f t="shared" ref="O35:O37" si="29">J35/F35</f>
        <v>0.64227642276422769</v>
      </c>
    </row>
    <row r="36" spans="2:15" ht="15.75" customHeight="1">
      <c r="B36" s="84" t="s">
        <v>181</v>
      </c>
      <c r="C36" s="107">
        <v>2.91</v>
      </c>
      <c r="D36" s="66">
        <f t="shared" si="20"/>
        <v>3.2421122528446478E-4</v>
      </c>
      <c r="E36" s="21"/>
      <c r="F36" s="105">
        <f>ROUND('PU Wise OWE'!$AJ$126/10000,2)</f>
        <v>1.98</v>
      </c>
      <c r="G36" s="24">
        <f t="shared" si="21"/>
        <v>3.8371051948202955E-4</v>
      </c>
      <c r="H36" s="70">
        <f>ROUND('PU Wise OWE'!$AJ$128/10000,2)</f>
        <v>0.2</v>
      </c>
      <c r="I36" s="105">
        <f>ROUND('PU Wise OWE'!$AJ$127/10000,2)</f>
        <v>0.48</v>
      </c>
      <c r="J36" s="20">
        <f>ROUND('PU Wise OWE'!$AJ$129/10000,2)</f>
        <v>0.3</v>
      </c>
      <c r="K36" s="22">
        <f t="shared" si="22"/>
        <v>-0.18</v>
      </c>
      <c r="L36" s="24">
        <f t="shared" si="23"/>
        <v>-0.375</v>
      </c>
      <c r="M36" s="22">
        <f t="shared" si="27"/>
        <v>9.9999999999999978E-2</v>
      </c>
      <c r="N36" s="52">
        <f t="shared" si="28"/>
        <v>0.49999999999999989</v>
      </c>
      <c r="O36" s="52">
        <f t="shared" si="29"/>
        <v>0.15151515151515152</v>
      </c>
    </row>
    <row r="37" spans="2:15">
      <c r="B37" s="25" t="s">
        <v>147</v>
      </c>
      <c r="C37" s="26">
        <f>SUM(C34:C36)</f>
        <v>31.13</v>
      </c>
      <c r="D37" s="67">
        <f t="shared" si="20"/>
        <v>3.4682802209984147E-3</v>
      </c>
      <c r="E37" s="26"/>
      <c r="F37" s="138">
        <f t="shared" ref="F37:J37" si="30">SUM(F34:F36)</f>
        <v>14.31</v>
      </c>
      <c r="G37" s="54">
        <f t="shared" si="21"/>
        <v>2.7731805726201224E-3</v>
      </c>
      <c r="H37" s="74">
        <f>SUM(H34:H36)</f>
        <v>3.25</v>
      </c>
      <c r="I37" s="138">
        <f t="shared" si="30"/>
        <v>3.44</v>
      </c>
      <c r="J37" s="138">
        <f t="shared" si="30"/>
        <v>6.8</v>
      </c>
      <c r="K37" s="26">
        <f t="shared" ref="K37" si="31">J37-I37</f>
        <v>3.36</v>
      </c>
      <c r="L37" s="54">
        <f t="shared" ref="L37" si="32">K37/I37</f>
        <v>0.97674418604651159</v>
      </c>
      <c r="M37" s="26">
        <f t="shared" si="27"/>
        <v>3.55</v>
      </c>
      <c r="N37" s="55">
        <f t="shared" si="28"/>
        <v>1.0923076923076922</v>
      </c>
      <c r="O37" s="55">
        <f t="shared" si="29"/>
        <v>0.47519217330538083</v>
      </c>
    </row>
    <row r="38" spans="2:15">
      <c r="C38" s="68"/>
    </row>
    <row r="39" spans="2:15">
      <c r="B39" s="82"/>
      <c r="C39" s="82"/>
      <c r="D39" s="82"/>
      <c r="H39" s="83"/>
      <c r="M39" s="36" t="s">
        <v>148</v>
      </c>
    </row>
    <row r="40" spans="2:15" ht="15" customHeight="1">
      <c r="B40" s="370" t="s">
        <v>162</v>
      </c>
      <c r="C40" s="397" t="s">
        <v>421</v>
      </c>
      <c r="D40" s="397" t="s">
        <v>171</v>
      </c>
      <c r="E40" s="399"/>
      <c r="F40" s="372" t="str">
        <f>'PU Wise OWE'!$B$5</f>
        <v>Vote On Acc 2024-25</v>
      </c>
      <c r="G40" s="397" t="s">
        <v>433</v>
      </c>
      <c r="H40" s="402" t="str">
        <f>'PU Wise OWE'!$B$7</f>
        <v>Actual up to April-23</v>
      </c>
      <c r="I40" s="395" t="str">
        <f>'PU Wise OWE'!$B$6</f>
        <v>BP to end April-24</v>
      </c>
      <c r="J40" s="395" t="str">
        <f>'PU Wise OWE'!$B$8</f>
        <v>Actual up to April-24</v>
      </c>
      <c r="K40" s="369" t="s">
        <v>204</v>
      </c>
      <c r="L40" s="369"/>
      <c r="M40" s="369" t="s">
        <v>145</v>
      </c>
      <c r="N40" s="369"/>
      <c r="O40" s="370" t="s">
        <v>434</v>
      </c>
    </row>
    <row r="41" spans="2:15" ht="17.25" customHeight="1">
      <c r="B41" s="370"/>
      <c r="C41" s="398"/>
      <c r="D41" s="398"/>
      <c r="E41" s="400"/>
      <c r="F41" s="373"/>
      <c r="G41" s="398"/>
      <c r="H41" s="398"/>
      <c r="I41" s="396"/>
      <c r="J41" s="396"/>
      <c r="K41" s="79" t="s">
        <v>143</v>
      </c>
      <c r="L41" s="80" t="s">
        <v>144</v>
      </c>
      <c r="M41" s="79" t="s">
        <v>143</v>
      </c>
      <c r="N41" s="80" t="s">
        <v>144</v>
      </c>
      <c r="O41" s="370"/>
    </row>
    <row r="42" spans="2:15">
      <c r="B42" s="27" t="s">
        <v>163</v>
      </c>
      <c r="C42" s="53">
        <v>224</v>
      </c>
      <c r="D42" s="66">
        <f t="shared" ref="D42:D50" si="33">C42/$C$7</f>
        <v>2.4956465451450208E-2</v>
      </c>
      <c r="E42" s="400"/>
      <c r="F42" s="21">
        <f>SUM(F43:F48)</f>
        <v>68.669999999999987</v>
      </c>
      <c r="G42" s="24">
        <f t="shared" ref="G42:G50" si="34">F42/$F$7</f>
        <v>1.330777847112675E-2</v>
      </c>
      <c r="H42" s="70">
        <f>SUM(H43:H48)</f>
        <v>21.669999999999998</v>
      </c>
      <c r="I42" s="21">
        <f>SUM(I43:I48)</f>
        <v>16.48</v>
      </c>
      <c r="J42" s="21">
        <f>SUM(J43:J48)</f>
        <v>9.8099999999999987</v>
      </c>
      <c r="K42" s="22">
        <f>J42-I42</f>
        <v>-6.6700000000000017</v>
      </c>
      <c r="L42" s="24">
        <f>K42/I42</f>
        <v>-0.40473300970873793</v>
      </c>
      <c r="M42" s="22">
        <f t="shared" ref="M42" si="35">J42-H42</f>
        <v>-11.86</v>
      </c>
      <c r="N42" s="52">
        <f t="shared" ref="N42" si="36">M42/H42</f>
        <v>-0.54730041532071994</v>
      </c>
      <c r="O42" s="52">
        <f t="shared" ref="O42:O49" si="37">J42/F42</f>
        <v>0.14285714285714288</v>
      </c>
    </row>
    <row r="43" spans="2:15">
      <c r="B43" s="57" t="s">
        <v>311</v>
      </c>
      <c r="C43" s="21">
        <v>35.6</v>
      </c>
      <c r="D43" s="66">
        <f t="shared" si="33"/>
        <v>3.9662954021054799E-3</v>
      </c>
      <c r="E43" s="400"/>
      <c r="F43" s="21">
        <f>ROUND('PU Wise OWE'!$AK$82/10000,2)</f>
        <v>6.75</v>
      </c>
      <c r="G43" s="24">
        <f t="shared" si="34"/>
        <v>1.3081040436887371E-3</v>
      </c>
      <c r="H43" s="70">
        <f>ROUND('PU Wise OWE'!$AK$84/10000,2)</f>
        <v>3.21</v>
      </c>
      <c r="I43" s="21">
        <f>ROUND('PU Wise OWE'!$AK$83/10000,2)</f>
        <v>1.62</v>
      </c>
      <c r="J43" s="21">
        <f>ROUND('PU Wise OWE'!$AK$85/10000,2)</f>
        <v>2.0299999999999998</v>
      </c>
      <c r="K43" s="22">
        <f t="shared" ref="K43:K50" si="38">J43-I43</f>
        <v>0.4099999999999997</v>
      </c>
      <c r="L43" s="24">
        <f t="shared" ref="L43:L50" si="39">K43/I43</f>
        <v>0.25308641975308621</v>
      </c>
      <c r="M43" s="22">
        <f t="shared" ref="M43:M49" si="40">J43-H43</f>
        <v>-1.1800000000000002</v>
      </c>
      <c r="N43" s="52">
        <f t="shared" ref="N43:N49" si="41">M43/H43</f>
        <v>-0.36760124610591904</v>
      </c>
      <c r="O43" s="52">
        <f t="shared" si="37"/>
        <v>0.3007407407407407</v>
      </c>
    </row>
    <row r="44" spans="2:15" s="246" customFormat="1">
      <c r="B44" s="247" t="s">
        <v>309</v>
      </c>
      <c r="C44" s="21">
        <v>0.81</v>
      </c>
      <c r="D44" s="66">
        <f t="shared" si="33"/>
        <v>9.0244361677119052E-5</v>
      </c>
      <c r="E44" s="400"/>
      <c r="F44" s="21">
        <f>ROUND('PU Wise OWE'!$AP$82/10000,2)</f>
        <v>7.23</v>
      </c>
      <c r="G44" s="24">
        <f t="shared" si="34"/>
        <v>1.4011247756843806E-3</v>
      </c>
      <c r="H44" s="21">
        <f>ROUND('PU Wise OWE'!$AP$84/10000,2)</f>
        <v>0.03</v>
      </c>
      <c r="I44" s="21">
        <f>ROUND('PU Wise OWE'!$AP$83/10000,2)</f>
        <v>1.74</v>
      </c>
      <c r="J44" s="21">
        <f>ROUND('PU Wise OWE'!$AP$85/10000,2)</f>
        <v>0.27</v>
      </c>
      <c r="K44" s="22">
        <f t="shared" ref="K44" si="42">J44-I44</f>
        <v>-1.47</v>
      </c>
      <c r="L44" s="24">
        <f t="shared" ref="L44" si="43">K44/I44</f>
        <v>-0.84482758620689657</v>
      </c>
      <c r="M44" s="22">
        <f t="shared" ref="M44" si="44">J44-H44</f>
        <v>0.24000000000000002</v>
      </c>
      <c r="N44" s="52">
        <f t="shared" ref="N44" si="45">M44/H44</f>
        <v>8.0000000000000018</v>
      </c>
      <c r="O44" s="52">
        <f t="shared" ref="O44" si="46">J44/F44</f>
        <v>3.7344398340248962E-2</v>
      </c>
    </row>
    <row r="45" spans="2:15">
      <c r="B45" s="58" t="s">
        <v>166</v>
      </c>
      <c r="C45" s="108">
        <v>11.45</v>
      </c>
      <c r="D45" s="66">
        <f t="shared" si="33"/>
        <v>1.2756764706210039E-3</v>
      </c>
      <c r="E45" s="400"/>
      <c r="F45" s="21">
        <f>ROUND('PU Wise OWE'!$AR$82/10000,2)</f>
        <v>5.31</v>
      </c>
      <c r="G45" s="24">
        <f t="shared" si="34"/>
        <v>1.0290418477018064E-3</v>
      </c>
      <c r="H45" s="70">
        <f>ROUND('PU Wise OWE'!$AR$84/10000,2)</f>
        <v>1.9</v>
      </c>
      <c r="I45" s="21">
        <f>ROUND('PU Wise OWE'!$AR$83/10000,2)</f>
        <v>1.27</v>
      </c>
      <c r="J45" s="21">
        <f>ROUND('PU Wise OWE'!$AR$85/10000,2)</f>
        <v>0.43</v>
      </c>
      <c r="K45" s="22">
        <f t="shared" ref="K45:K46" si="47">J45-I45</f>
        <v>-0.84000000000000008</v>
      </c>
      <c r="L45" s="24">
        <f t="shared" ref="L45:L46" si="48">K45/I45</f>
        <v>-0.66141732283464572</v>
      </c>
      <c r="M45" s="22">
        <f t="shared" si="40"/>
        <v>-1.47</v>
      </c>
      <c r="N45" s="52">
        <f t="shared" si="41"/>
        <v>-0.77368421052631586</v>
      </c>
      <c r="O45" s="52">
        <f t="shared" si="37"/>
        <v>8.0979284369114876E-2</v>
      </c>
    </row>
    <row r="46" spans="2:15">
      <c r="B46" s="58" t="s">
        <v>167</v>
      </c>
      <c r="C46" s="108">
        <v>9.2100000000000009</v>
      </c>
      <c r="D46" s="66">
        <f t="shared" si="33"/>
        <v>1.0261118161065019E-3</v>
      </c>
      <c r="E46" s="400"/>
      <c r="F46" s="21">
        <f>ROUND('PU Wise OWE'!$AU$82/10000,2)</f>
        <v>3.63</v>
      </c>
      <c r="G46" s="24">
        <f t="shared" si="34"/>
        <v>7.0346928571705415E-4</v>
      </c>
      <c r="H46" s="70">
        <f>ROUND('PU Wise OWE'!$AU$84/10000,2)</f>
        <v>1.59</v>
      </c>
      <c r="I46" s="21">
        <f>ROUND('PU Wise OWE'!$AU$83/10000,2)</f>
        <v>0.87</v>
      </c>
      <c r="J46" s="21">
        <f>ROUND('PU Wise OWE'!$AU$85/10000,2)</f>
        <v>0.32</v>
      </c>
      <c r="K46" s="22">
        <f t="shared" si="47"/>
        <v>-0.55000000000000004</v>
      </c>
      <c r="L46" s="24">
        <f t="shared" si="48"/>
        <v>-0.63218390804597702</v>
      </c>
      <c r="M46" s="22">
        <f t="shared" si="40"/>
        <v>-1.27</v>
      </c>
      <c r="N46" s="52">
        <f t="shared" si="41"/>
        <v>-0.79874213836477981</v>
      </c>
      <c r="O46" s="52">
        <f t="shared" si="37"/>
        <v>8.8154269972451793E-2</v>
      </c>
    </row>
    <row r="47" spans="2:15">
      <c r="B47" s="57" t="s">
        <v>164</v>
      </c>
      <c r="C47" s="21">
        <v>1.95</v>
      </c>
      <c r="D47" s="66">
        <f t="shared" si="33"/>
        <v>2.1725494477824956E-4</v>
      </c>
      <c r="E47" s="400"/>
      <c r="F47" s="21">
        <f>ROUND('PU Wise OWE'!$AZ$82/10000,2)</f>
        <v>7.63</v>
      </c>
      <c r="G47" s="24">
        <f t="shared" si="34"/>
        <v>1.4786420523474168E-3</v>
      </c>
      <c r="H47" s="70">
        <f>ROUND('PU Wise OWE'!$AZ$84/10000,2)</f>
        <v>0.1</v>
      </c>
      <c r="I47" s="21">
        <f>ROUND('PU Wise OWE'!$AZ$83/10000,2)</f>
        <v>1.83</v>
      </c>
      <c r="J47" s="21">
        <f>ROUND('PU Wise OWE'!$AZ$85/10000,2)</f>
        <v>0.51</v>
      </c>
      <c r="K47" s="22">
        <f t="shared" si="38"/>
        <v>-1.32</v>
      </c>
      <c r="L47" s="24">
        <f t="shared" si="39"/>
        <v>-0.72131147540983609</v>
      </c>
      <c r="M47" s="22">
        <f t="shared" si="40"/>
        <v>0.41000000000000003</v>
      </c>
      <c r="N47" s="52">
        <f t="shared" si="41"/>
        <v>4.0999999999999996</v>
      </c>
      <c r="O47" s="52">
        <f t="shared" si="37"/>
        <v>6.6841415465268672E-2</v>
      </c>
    </row>
    <row r="48" spans="2:15">
      <c r="B48" s="58" t="s">
        <v>165</v>
      </c>
      <c r="C48" s="108">
        <v>164.98</v>
      </c>
      <c r="D48" s="66">
        <f t="shared" si="33"/>
        <v>1.8380882456161853E-2</v>
      </c>
      <c r="E48" s="400"/>
      <c r="F48" s="21">
        <f>ROUND('PU Wise OWE'!$BA$82/10000,2)</f>
        <v>38.119999999999997</v>
      </c>
      <c r="G48" s="24">
        <f t="shared" si="34"/>
        <v>7.3873964659873555E-3</v>
      </c>
      <c r="H48" s="70">
        <f>ROUND('PU Wise OWE'!$BA$84/10000,2)</f>
        <v>14.84</v>
      </c>
      <c r="I48" s="21">
        <f>ROUND('PU Wise OWE'!$BA$83/10000,2)</f>
        <v>9.15</v>
      </c>
      <c r="J48" s="21">
        <f>ROUND('PU Wise OWE'!$BA$85/10000,2)</f>
        <v>6.25</v>
      </c>
      <c r="K48" s="22">
        <f t="shared" si="38"/>
        <v>-2.9000000000000004</v>
      </c>
      <c r="L48" s="24">
        <f t="shared" si="39"/>
        <v>-0.31693989071038253</v>
      </c>
      <c r="M48" s="22">
        <f t="shared" si="40"/>
        <v>-8.59</v>
      </c>
      <c r="N48" s="52">
        <f t="shared" si="41"/>
        <v>-0.57884097035040427</v>
      </c>
      <c r="O48" s="52">
        <f t="shared" si="37"/>
        <v>0.16395592864637987</v>
      </c>
    </row>
    <row r="49" spans="2:15">
      <c r="B49" s="59" t="s">
        <v>168</v>
      </c>
      <c r="C49" s="103">
        <v>1571.23</v>
      </c>
      <c r="D49" s="66">
        <f t="shared" si="33"/>
        <v>0.17505512147893798</v>
      </c>
      <c r="E49" s="400"/>
      <c r="F49" s="21">
        <f>ROUND('PU Wise OWE'!$AM$82/10000,2)-36.66</f>
        <v>805.56000000000006</v>
      </c>
      <c r="G49" s="24">
        <f t="shared" si="34"/>
        <v>0.15611204347168875</v>
      </c>
      <c r="H49" s="70">
        <f>ROUND('PU Wise OWE'!$AM$84/10000,2)-ROUND('Upto Month COPPY'!I60/10000,2)</f>
        <v>91.17</v>
      </c>
      <c r="I49" s="21">
        <f>ROUND('PU Wise OWE'!$AM$83/10000,2)-8.8</f>
        <v>193.32999999999998</v>
      </c>
      <c r="J49" s="21">
        <f>ROUND('PU Wise OWE'!$AM$85/10000,2)-ROUND('Upto Month Current'!I60/10000,2)</f>
        <v>142.22999999999999</v>
      </c>
      <c r="K49" s="22">
        <f t="shared" si="38"/>
        <v>-51.099999999999994</v>
      </c>
      <c r="L49" s="24">
        <f t="shared" si="39"/>
        <v>-0.26431490198106861</v>
      </c>
      <c r="M49" s="22">
        <f t="shared" si="40"/>
        <v>51.059999999999988</v>
      </c>
      <c r="N49" s="52">
        <f t="shared" si="41"/>
        <v>0.5600526488976636</v>
      </c>
      <c r="O49" s="52">
        <f t="shared" si="37"/>
        <v>0.17656040518397137</v>
      </c>
    </row>
    <row r="50" spans="2:15" s="36" customFormat="1">
      <c r="B50" s="60" t="s">
        <v>128</v>
      </c>
      <c r="C50" s="74">
        <f>C42+C49</f>
        <v>1795.23</v>
      </c>
      <c r="D50" s="67">
        <f t="shared" si="33"/>
        <v>0.2000115869303882</v>
      </c>
      <c r="E50" s="401"/>
      <c r="F50" s="104">
        <f>F42+F49</f>
        <v>874.23</v>
      </c>
      <c r="G50" s="54">
        <f t="shared" si="34"/>
        <v>0.16941982194281549</v>
      </c>
      <c r="H50" s="74">
        <f>H42+H49</f>
        <v>112.84</v>
      </c>
      <c r="I50" s="104">
        <f>I42+I49</f>
        <v>209.80999999999997</v>
      </c>
      <c r="J50" s="104">
        <f>J42+J49</f>
        <v>152.04</v>
      </c>
      <c r="K50" s="26">
        <f t="shared" si="38"/>
        <v>-57.769999999999982</v>
      </c>
      <c r="L50" s="54">
        <f t="shared" si="39"/>
        <v>-0.27534435918211708</v>
      </c>
      <c r="M50" s="26">
        <f t="shared" ref="M50" si="49">J50-H50</f>
        <v>39.199999999999989</v>
      </c>
      <c r="N50" s="55">
        <f t="shared" ref="N50" si="50">M50/H50</f>
        <v>0.34739454094292793</v>
      </c>
      <c r="O50" s="55">
        <f t="shared" ref="O50" si="51">J50/F50</f>
        <v>0.17391304347826086</v>
      </c>
    </row>
    <row r="51" spans="2:15">
      <c r="J51" s="176" t="s">
        <v>329</v>
      </c>
    </row>
    <row r="52" spans="2:15">
      <c r="B52" s="75" t="s">
        <v>182</v>
      </c>
      <c r="C52" s="75"/>
    </row>
    <row r="53" spans="2:15" ht="47.25" customHeight="1">
      <c r="B53" s="81" t="s">
        <v>183</v>
      </c>
      <c r="C53" s="109">
        <v>189.35</v>
      </c>
      <c r="D53" s="66">
        <f t="shared" ref="D53:D57" si="52">C53/$C$7</f>
        <v>2.1096012201929002E-2</v>
      </c>
      <c r="E53" s="390"/>
      <c r="F53" s="105">
        <f>ROUND('PU Wise OWE'!$AK$126/10000,2)-F43</f>
        <v>85.66</v>
      </c>
      <c r="G53" s="24">
        <f t="shared" ref="G53:G55" si="53">F53/$F$7</f>
        <v>1.6600324797389217E-2</v>
      </c>
      <c r="H53" s="70">
        <f>ROUND('PU Wise OWE'!$AK$128/10000,2)-H43</f>
        <v>14.48</v>
      </c>
      <c r="I53" s="105">
        <f>ROUND('PU Wise OWE'!$AK$127/10000,2)-I43</f>
        <v>20.56</v>
      </c>
      <c r="J53" s="105">
        <f>ROUND('PU Wise OWE'!$AK$129/10000,2)-J43</f>
        <v>20.54</v>
      </c>
      <c r="K53" s="22">
        <f>J53-I53</f>
        <v>-1.9999999999999574E-2</v>
      </c>
      <c r="L53" s="24">
        <f>K53/I53</f>
        <v>-9.7276264591437619E-4</v>
      </c>
      <c r="M53" s="22">
        <f t="shared" ref="M53" si="54">J53-H53</f>
        <v>6.0599999999999987</v>
      </c>
      <c r="N53" s="52">
        <f t="shared" ref="N53" si="55">M53/H53</f>
        <v>0.41850828729281758</v>
      </c>
      <c r="O53" s="52">
        <f t="shared" ref="O53:O55" si="56">J53/F53</f>
        <v>0.23978519729161801</v>
      </c>
    </row>
    <row r="54" spans="2:15">
      <c r="B54" s="20" t="s">
        <v>160</v>
      </c>
      <c r="C54" s="105">
        <v>140.87</v>
      </c>
      <c r="D54" s="66">
        <f t="shared" si="52"/>
        <v>1.5694720036365139E-2</v>
      </c>
      <c r="E54" s="391"/>
      <c r="F54" s="105">
        <f>ROUND('PU Wise OWE'!$AL$126/10000,2)</f>
        <v>60.32</v>
      </c>
      <c r="G54" s="24">
        <f t="shared" si="53"/>
        <v>1.1689605320785869E-2</v>
      </c>
      <c r="H54" s="70">
        <f>ROUND('PU Wise OWE'!$AL$128/10000,2)</f>
        <v>22</v>
      </c>
      <c r="I54" s="105">
        <f>ROUND('PU Wise OWE'!$AL$127/10000,2)</f>
        <v>14.48</v>
      </c>
      <c r="J54" s="20">
        <f>ROUND('PU Wise OWE'!$AL$129/10000,2)</f>
        <v>17.96</v>
      </c>
      <c r="K54" s="22">
        <f t="shared" ref="K54" si="57">J54-I54</f>
        <v>3.4800000000000004</v>
      </c>
      <c r="L54" s="24">
        <f t="shared" ref="L54" si="58">K54/I54</f>
        <v>0.24033149171270721</v>
      </c>
      <c r="M54" s="22">
        <f t="shared" ref="M54:M55" si="59">J54-H54</f>
        <v>-4.0399999999999991</v>
      </c>
      <c r="N54" s="52">
        <f t="shared" ref="N54:N55" si="60">M54/H54</f>
        <v>-0.1836363636363636</v>
      </c>
      <c r="O54" s="52">
        <f t="shared" si="56"/>
        <v>0.29774535809018571</v>
      </c>
    </row>
    <row r="55" spans="2:15" s="36" customFormat="1">
      <c r="B55" s="25" t="s">
        <v>128</v>
      </c>
      <c r="C55" s="26">
        <f>C53+C54</f>
        <v>330.22</v>
      </c>
      <c r="D55" s="67">
        <f t="shared" si="52"/>
        <v>3.6790732238294141E-2</v>
      </c>
      <c r="E55" s="392"/>
      <c r="F55" s="138">
        <f t="shared" ref="F55:J55" si="61">SUM(F53:F54)</f>
        <v>145.97999999999999</v>
      </c>
      <c r="G55" s="54">
        <f t="shared" si="53"/>
        <v>2.8289930118175086E-2</v>
      </c>
      <c r="H55" s="74">
        <f>SUM(H53:H54)</f>
        <v>36.480000000000004</v>
      </c>
      <c r="I55" s="138">
        <f t="shared" si="61"/>
        <v>35.04</v>
      </c>
      <c r="J55" s="138">
        <f t="shared" si="61"/>
        <v>38.5</v>
      </c>
      <c r="K55" s="26">
        <f t="shared" ref="K55" si="62">J55-I55</f>
        <v>3.4600000000000009</v>
      </c>
      <c r="L55" s="54">
        <f t="shared" ref="L55" si="63">K55/I55</f>
        <v>9.8744292237442952E-2</v>
      </c>
      <c r="M55" s="26">
        <f t="shared" si="59"/>
        <v>2.019999999999996</v>
      </c>
      <c r="N55" s="55">
        <f t="shared" si="60"/>
        <v>5.5372807017543747E-2</v>
      </c>
      <c r="O55" s="55">
        <f t="shared" si="56"/>
        <v>0.26373475818605291</v>
      </c>
    </row>
    <row r="57" spans="2:15" s="36" customFormat="1">
      <c r="B57" s="197" t="s">
        <v>161</v>
      </c>
      <c r="C57" s="110">
        <v>424.1</v>
      </c>
      <c r="D57" s="248">
        <f t="shared" si="52"/>
        <v>4.7250165169464432E-2</v>
      </c>
      <c r="E57" s="53"/>
      <c r="F57" s="110">
        <f>ROUND('PU Wise OWE'!$AO$126/10000,2)</f>
        <v>203.9</v>
      </c>
      <c r="G57" s="194">
        <f t="shared" ref="G57" si="64">F57/$F$7</f>
        <v>3.9514431778982742E-2</v>
      </c>
      <c r="H57" s="198">
        <f>ROUND('PU Wise OWE'!$AO$128/10000,2)</f>
        <v>44.6</v>
      </c>
      <c r="I57" s="110">
        <f>ROUND('PU Wise OWE'!$AO$127/10000,2)</f>
        <v>48.94</v>
      </c>
      <c r="J57" s="78">
        <f>ROUND('PU Wise OWE'!$AO$129/10000,2)</f>
        <v>68.28</v>
      </c>
      <c r="K57" s="193">
        <f t="shared" ref="K57" si="65">J57-I57</f>
        <v>19.340000000000003</v>
      </c>
      <c r="L57" s="194">
        <f t="shared" ref="L57" si="66">K57/I57</f>
        <v>0.39517776869636301</v>
      </c>
      <c r="M57" s="193">
        <f t="shared" ref="M57" si="67">J57-H57</f>
        <v>23.68</v>
      </c>
      <c r="N57" s="195">
        <f t="shared" ref="N57" si="68">M57/H57</f>
        <v>0.53094170403587437</v>
      </c>
      <c r="O57" s="195">
        <f t="shared" ref="O57" si="69">J57/F57</f>
        <v>0.33487003433055418</v>
      </c>
    </row>
    <row r="58" spans="2:15">
      <c r="C58" s="191"/>
      <c r="O58" s="100"/>
    </row>
    <row r="59" spans="2:15">
      <c r="B59" s="75" t="s">
        <v>184</v>
      </c>
      <c r="C59" s="196"/>
      <c r="O59" s="196"/>
    </row>
    <row r="60" spans="2:15">
      <c r="B60" s="23" t="s">
        <v>185</v>
      </c>
      <c r="C60" s="22">
        <v>73.72</v>
      </c>
      <c r="D60" s="66">
        <f t="shared" ref="D60:D64" si="70">C60/$C$7</f>
        <v>8.2133510405397736E-3</v>
      </c>
      <c r="E60" s="387"/>
      <c r="F60" s="105">
        <f>ROUND('PU Wise OWE'!$AM$60/10000,2)</f>
        <v>43.97</v>
      </c>
      <c r="G60" s="24">
        <f t="shared" ref="G60:G64" si="71">F60/$F$7</f>
        <v>8.5210866371842608E-3</v>
      </c>
      <c r="H60" s="70">
        <f>ROUND('PU Wise OWE'!$AM$62/10000,2)</f>
        <v>3.91</v>
      </c>
      <c r="I60" s="105">
        <f>ROUND('PU Wise OWE'!$AM$61/10000,2)</f>
        <v>10.55</v>
      </c>
      <c r="J60" s="20">
        <f>ROUND('PU Wise OWE'!$AM$63/10000,2)</f>
        <v>4.91</v>
      </c>
      <c r="K60" s="22">
        <f t="shared" ref="K60:K62" si="72">J60-I60</f>
        <v>-5.6400000000000006</v>
      </c>
      <c r="L60" s="24">
        <f t="shared" ref="L60:L62" si="73">K60/I60</f>
        <v>-0.53459715639810423</v>
      </c>
      <c r="M60" s="22">
        <f t="shared" ref="M60" si="74">J60-H60</f>
        <v>1</v>
      </c>
      <c r="N60" s="52">
        <f t="shared" ref="N60" si="75">M60/H60</f>
        <v>0.25575447570332482</v>
      </c>
      <c r="O60" s="52">
        <f t="shared" ref="O60:O64" si="76">J60/F60</f>
        <v>0.11166704571298613</v>
      </c>
    </row>
    <row r="61" spans="2:15">
      <c r="B61" s="23" t="s">
        <v>186</v>
      </c>
      <c r="C61" s="22">
        <v>19.77</v>
      </c>
      <c r="D61" s="66">
        <f t="shared" si="70"/>
        <v>2.2026309016748686E-3</v>
      </c>
      <c r="E61" s="388"/>
      <c r="F61" s="105">
        <f>ROUND('PU Wise OWE'!$AM$93/10000,2)</f>
        <v>4.05</v>
      </c>
      <c r="G61" s="24">
        <f t="shared" si="71"/>
        <v>7.8486242621324221E-4</v>
      </c>
      <c r="H61" s="70">
        <f>ROUND('PU Wise OWE'!$AM$95/10000,2)</f>
        <v>-0.87</v>
      </c>
      <c r="I61" s="105">
        <f>ROUND('PU Wise OWE'!$AM$94/10000,2)</f>
        <v>0.97</v>
      </c>
      <c r="J61" s="20">
        <f>ROUND('PU Wise OWE'!$AM$96/10000,2)</f>
        <v>-7.0000000000000007E-2</v>
      </c>
      <c r="K61" s="22">
        <f t="shared" si="72"/>
        <v>-1.04</v>
      </c>
      <c r="L61" s="24">
        <f t="shared" si="73"/>
        <v>-1.0721649484536082</v>
      </c>
      <c r="M61" s="22">
        <f t="shared" ref="M61:M63" si="77">J61-H61</f>
        <v>0.8</v>
      </c>
      <c r="N61" s="52">
        <f t="shared" ref="N61:N63" si="78">M61/H61</f>
        <v>-0.91954022988505757</v>
      </c>
      <c r="O61" s="52">
        <f t="shared" si="76"/>
        <v>-1.7283950617283952E-2</v>
      </c>
    </row>
    <row r="62" spans="2:15">
      <c r="B62" s="23" t="s">
        <v>187</v>
      </c>
      <c r="C62" s="22">
        <v>20.54</v>
      </c>
      <c r="D62" s="66">
        <f t="shared" si="70"/>
        <v>2.2884187516642287E-3</v>
      </c>
      <c r="E62" s="388"/>
      <c r="F62" s="105">
        <f>ROUND('PU Wise OWE'!$AN$16/10000,2)</f>
        <v>10.16</v>
      </c>
      <c r="G62" s="24">
        <f>F62/$F$7</f>
        <v>1.9689388272411215E-3</v>
      </c>
      <c r="H62" s="70">
        <f>ROUND('PU Wise OWE'!$AN$18/10000,2)</f>
        <v>1.44</v>
      </c>
      <c r="I62" s="105">
        <f>ROUND('PU Wise OWE'!$AN$17/10000,2)</f>
        <v>2.44</v>
      </c>
      <c r="J62" s="20">
        <f>ROUND('PU Wise OWE'!$AN$19/10000,2)</f>
        <v>1.79</v>
      </c>
      <c r="K62" s="22">
        <f t="shared" si="72"/>
        <v>-0.64999999999999991</v>
      </c>
      <c r="L62" s="24">
        <f t="shared" si="73"/>
        <v>-0.26639344262295078</v>
      </c>
      <c r="M62" s="22">
        <f t="shared" si="77"/>
        <v>0.35000000000000009</v>
      </c>
      <c r="N62" s="52">
        <f t="shared" si="78"/>
        <v>0.24305555555555564</v>
      </c>
      <c r="O62" s="52">
        <f t="shared" si="76"/>
        <v>0.17618110236220472</v>
      </c>
    </row>
    <row r="63" spans="2:15">
      <c r="B63" s="23" t="s">
        <v>188</v>
      </c>
      <c r="C63" s="22">
        <v>20.84</v>
      </c>
      <c r="D63" s="66">
        <f t="shared" si="70"/>
        <v>2.3218425893224209E-3</v>
      </c>
      <c r="E63" s="388"/>
      <c r="F63" s="105">
        <f>ROUND('PU Wise OWE'!$AN$60/10000,2)</f>
        <v>10.56</v>
      </c>
      <c r="G63" s="24">
        <f>F63/$F$7</f>
        <v>2.0464561039041577E-3</v>
      </c>
      <c r="H63" s="70">
        <f>ROUND('PU Wise OWE'!$AN$62/10000,2)</f>
        <v>1.24</v>
      </c>
      <c r="I63" s="105">
        <f>ROUND('PU Wise OWE'!$AN$61/10000,2)</f>
        <v>2.5299999999999998</v>
      </c>
      <c r="J63" s="20">
        <f>ROUND('PU Wise OWE'!$AN$63/10000,2)</f>
        <v>0.88</v>
      </c>
      <c r="K63" s="22">
        <f t="shared" ref="K63" si="79">J63-I63</f>
        <v>-1.65</v>
      </c>
      <c r="L63" s="24">
        <f t="shared" ref="L63" si="80">K63/I63</f>
        <v>-0.65217391304347827</v>
      </c>
      <c r="M63" s="22">
        <f t="shared" si="77"/>
        <v>-0.36</v>
      </c>
      <c r="N63" s="52">
        <f t="shared" si="78"/>
        <v>-0.29032258064516125</v>
      </c>
      <c r="O63" s="52">
        <f t="shared" si="76"/>
        <v>8.3333333333333329E-2</v>
      </c>
    </row>
    <row r="64" spans="2:15" s="36" customFormat="1">
      <c r="B64" s="25" t="s">
        <v>128</v>
      </c>
      <c r="C64" s="26">
        <f>C60+C61+C62+C63</f>
        <v>134.87</v>
      </c>
      <c r="D64" s="67">
        <f t="shared" si="70"/>
        <v>1.5026243283201292E-2</v>
      </c>
      <c r="E64" s="389"/>
      <c r="F64" s="104">
        <f>SUM(F60:F63)</f>
        <v>68.739999999999995</v>
      </c>
      <c r="G64" s="54">
        <f t="shared" si="71"/>
        <v>1.3321343994542783E-2</v>
      </c>
      <c r="H64" s="74">
        <f>SUM(H60:H63)</f>
        <v>5.7200000000000006</v>
      </c>
      <c r="I64" s="104">
        <f>SUM(I60:I63)</f>
        <v>16.490000000000002</v>
      </c>
      <c r="J64" s="104">
        <f>SUM(J60:J63)</f>
        <v>7.51</v>
      </c>
      <c r="K64" s="26">
        <f t="shared" ref="K64" si="81">J64-I64</f>
        <v>-8.9800000000000022</v>
      </c>
      <c r="L64" s="54">
        <f t="shared" ref="L64" si="82">K64/I64</f>
        <v>-0.5445724681625228</v>
      </c>
      <c r="M64" s="26">
        <f t="shared" ref="M64" si="83">J64-H64</f>
        <v>1.7899999999999991</v>
      </c>
      <c r="N64" s="55">
        <f t="shared" ref="N64" si="84">M64/H64</f>
        <v>0.31293706293706275</v>
      </c>
      <c r="O64" s="55">
        <f t="shared" si="76"/>
        <v>0.10925225487343614</v>
      </c>
    </row>
    <row r="65" spans="2:15">
      <c r="O65" s="92"/>
    </row>
    <row r="66" spans="2:15">
      <c r="B66" s="75" t="s">
        <v>420</v>
      </c>
      <c r="C66" s="75"/>
    </row>
    <row r="67" spans="2:15">
      <c r="B67" s="23" t="s">
        <v>190</v>
      </c>
      <c r="C67" s="22">
        <v>-493.97</v>
      </c>
      <c r="D67" s="66">
        <f t="shared" ref="D67:D69" si="85">C67/$C$7</f>
        <v>-5.503457696005741E-2</v>
      </c>
      <c r="E67" s="23"/>
      <c r="F67" s="105">
        <f>ROUND('PU Wise OWE'!$AP$71/10000,2)</f>
        <v>410.27</v>
      </c>
      <c r="G67" s="24">
        <f t="shared" ref="G67:G69" si="86">F67/$F$7</f>
        <v>7.9507532741359715E-2</v>
      </c>
      <c r="H67" s="70">
        <f>ROUND('PU Wise OWE'!$AP$73/10000,2)</f>
        <v>361.93</v>
      </c>
      <c r="I67" s="105">
        <f>ROUND('PU Wise OWE'!$AP$72/10000,2)</f>
        <v>249.81</v>
      </c>
      <c r="J67" s="20">
        <f>ROUND('PU Wise OWE'!$AP$74/10000,2)</f>
        <v>-511.82</v>
      </c>
      <c r="K67" s="22">
        <f t="shared" ref="K67" si="87">J67-I67</f>
        <v>-761.63</v>
      </c>
      <c r="L67" s="24">
        <f t="shared" ref="L67" si="88">K67/I67</f>
        <v>-3.0488371162083183</v>
      </c>
      <c r="M67" s="22">
        <f t="shared" ref="M67" si="89">J67-H67</f>
        <v>-873.75</v>
      </c>
      <c r="N67" s="52">
        <f t="shared" ref="N67" si="90">M67/H67</f>
        <v>-2.4141408559666235</v>
      </c>
      <c r="O67" s="52">
        <f t="shared" ref="O67:O69" si="91">J67/F67</f>
        <v>-1.2475199259024545</v>
      </c>
    </row>
    <row r="68" spans="2:15">
      <c r="B68" s="87" t="s">
        <v>191</v>
      </c>
      <c r="C68" s="111">
        <v>29.640000000000047</v>
      </c>
      <c r="D68" s="66">
        <f t="shared" si="85"/>
        <v>3.3022751606293986E-3</v>
      </c>
      <c r="E68" s="23"/>
      <c r="F68" s="105">
        <f>ROUND('PU Wise OWE'!$AP$126/10000,2)-F67-F44</f>
        <v>13.31000000000002</v>
      </c>
      <c r="G68" s="24">
        <f t="shared" si="86"/>
        <v>2.5793873809625356E-3</v>
      </c>
      <c r="H68" s="70">
        <f>ROUND('PU Wise OWE'!$AP$128/10000,2)-H67-H44</f>
        <v>5.9299999999999793</v>
      </c>
      <c r="I68" s="105">
        <f>ROUND('PU Wise OWE'!$AP$127/10000,2)-I67-I44</f>
        <v>3.1900000000000066</v>
      </c>
      <c r="J68" s="105">
        <f>ROUND('PU Wise OWE'!$AP$129/10000,2)-J67-J44</f>
        <v>-4.6800000000000246</v>
      </c>
      <c r="K68" s="22">
        <f>J68-I68</f>
        <v>-7.8700000000000312</v>
      </c>
      <c r="L68" s="24">
        <f t="shared" ref="L68:L84" si="92">K68/I68</f>
        <v>-2.4670846394984371</v>
      </c>
      <c r="M68" s="22">
        <f t="shared" ref="M68" si="93">J68-H68</f>
        <v>-10.610000000000003</v>
      </c>
      <c r="N68" s="52">
        <f t="shared" ref="N68" si="94">M68/H68</f>
        <v>-1.7892074198988264</v>
      </c>
      <c r="O68" s="52">
        <f t="shared" si="91"/>
        <v>-0.35161532682193969</v>
      </c>
    </row>
    <row r="69" spans="2:15" s="36" customFormat="1">
      <c r="B69" s="25" t="s">
        <v>128</v>
      </c>
      <c r="C69" s="26">
        <f>C67+C68</f>
        <v>-464.33</v>
      </c>
      <c r="D69" s="67">
        <f t="shared" si="85"/>
        <v>-5.1732301799428011E-2</v>
      </c>
      <c r="E69" s="88"/>
      <c r="F69" s="138">
        <f>SUM(F67:F68)</f>
        <v>423.58</v>
      </c>
      <c r="G69" s="54">
        <f t="shared" si="86"/>
        <v>8.2086920122322257E-2</v>
      </c>
      <c r="H69" s="74">
        <f>SUM(H67:H68)</f>
        <v>367.86</v>
      </c>
      <c r="I69" s="138">
        <f>SUM(I67:I68)</f>
        <v>253</v>
      </c>
      <c r="J69" s="138">
        <f>SUM(J67:J68)</f>
        <v>-516.5</v>
      </c>
      <c r="K69" s="26">
        <f t="shared" ref="K69:K84" si="95">J69-I69</f>
        <v>-769.5</v>
      </c>
      <c r="L69" s="54">
        <f t="shared" si="92"/>
        <v>-3.041501976284585</v>
      </c>
      <c r="M69" s="26">
        <f t="shared" ref="M69" si="96">J69-H69</f>
        <v>-884.36</v>
      </c>
      <c r="N69" s="55">
        <f t="shared" ref="N69" si="97">M69/H69</f>
        <v>-2.404066764529984</v>
      </c>
      <c r="O69" s="55">
        <f t="shared" si="91"/>
        <v>-1.219368242126635</v>
      </c>
    </row>
    <row r="70" spans="2:15">
      <c r="E70" s="31"/>
      <c r="F70" s="279"/>
      <c r="G70" s="34"/>
      <c r="I70" s="279"/>
      <c r="J70" s="32"/>
      <c r="K70" s="34"/>
      <c r="L70" s="35"/>
      <c r="M70" s="34"/>
      <c r="N70" s="92"/>
      <c r="O70" s="36"/>
    </row>
    <row r="71" spans="2:15">
      <c r="B71" s="75" t="s">
        <v>193</v>
      </c>
      <c r="C71" s="75"/>
      <c r="E71" s="31"/>
      <c r="F71" s="279"/>
      <c r="G71" s="34"/>
      <c r="I71" s="279"/>
      <c r="J71" s="32"/>
      <c r="K71" s="34"/>
      <c r="L71" s="35"/>
      <c r="M71" s="34"/>
      <c r="N71" s="92"/>
    </row>
    <row r="72" spans="2:15">
      <c r="B72" s="23" t="s">
        <v>192</v>
      </c>
      <c r="C72" s="22">
        <v>6.49</v>
      </c>
      <c r="D72" s="66">
        <f t="shared" ref="D72:D74" si="98">C72/$C$7</f>
        <v>7.2306902133889215E-4</v>
      </c>
      <c r="E72" s="23"/>
      <c r="F72" s="70">
        <f>ROUND('PU Wise OWE'!$AQ$27/10000,2)+ROUND('PU Wise OWE'!$BB$27/10000,2)</f>
        <v>6.7</v>
      </c>
      <c r="G72" s="24">
        <f t="shared" ref="G72:G74" si="99">F72/$F$7</f>
        <v>1.2984143841058575E-3</v>
      </c>
      <c r="H72" s="70">
        <f>ROUND('PU Wise OWE'!$AQ$29/10000,2)+ROUND('PU Wise OWE'!$BB$29/10000,2)</f>
        <v>1.1000000000000001</v>
      </c>
      <c r="I72" s="70">
        <f>ROUND('PU Wise OWE'!$AQ$28/10000,2)+ROUND('PU Wise OWE'!$BB$28/10000,2)</f>
        <v>1.61</v>
      </c>
      <c r="J72" s="70">
        <f>ROUND('PU Wise OWE'!$AQ$30/10000,2)+ROUND('PU Wise OWE'!$BB$30/10000,2)</f>
        <v>2.02</v>
      </c>
      <c r="K72" s="22">
        <f t="shared" si="95"/>
        <v>0.40999999999999992</v>
      </c>
      <c r="L72" s="24">
        <f t="shared" si="92"/>
        <v>0.25465838509316763</v>
      </c>
      <c r="M72" s="22">
        <f t="shared" ref="M72:M73" si="100">J72-H72</f>
        <v>0.91999999999999993</v>
      </c>
      <c r="N72" s="52">
        <f t="shared" ref="N72:N73" si="101">M72/H72</f>
        <v>0.8363636363636362</v>
      </c>
      <c r="O72" s="52">
        <f t="shared" ref="O72:O74" si="102">J72/F72</f>
        <v>0.30149253731343284</v>
      </c>
    </row>
    <row r="73" spans="2:15">
      <c r="B73" s="23" t="s">
        <v>194</v>
      </c>
      <c r="C73" s="22">
        <v>228.21</v>
      </c>
      <c r="D73" s="66">
        <f t="shared" si="98"/>
        <v>2.542551330658684E-2</v>
      </c>
      <c r="E73" s="23"/>
      <c r="F73" s="70">
        <f>ROUND('PU Wise OWE'!$AQ$38/10000,2)+ROUND('PU Wise OWE'!$BB$38/10000,2)</f>
        <v>115.63</v>
      </c>
      <c r="G73" s="24">
        <f t="shared" si="99"/>
        <v>2.2408306751367207E-2</v>
      </c>
      <c r="H73" s="70">
        <f>ROUND('PU Wise OWE'!$AQ$40/10000,2)+ROUND('PU Wise OWE'!$BB$40/10000,2)</f>
        <v>17.66</v>
      </c>
      <c r="I73" s="70">
        <f>ROUND('PU Wise OWE'!$AQ$39/10000,2)+ROUND('PU Wise OWE'!$BB$39/10000,2)</f>
        <v>27.75</v>
      </c>
      <c r="J73" s="70">
        <f>ROUND('PU Wise OWE'!$AQ$41/10000,2)+ROUND('PU Wise OWE'!$BB$41/10000,2)</f>
        <v>18.649999999999999</v>
      </c>
      <c r="K73" s="22">
        <f t="shared" si="95"/>
        <v>-9.1000000000000014</v>
      </c>
      <c r="L73" s="24">
        <f t="shared" si="92"/>
        <v>-0.32792792792792796</v>
      </c>
      <c r="M73" s="22">
        <f t="shared" si="100"/>
        <v>0.98999999999999844</v>
      </c>
      <c r="N73" s="52">
        <f t="shared" si="101"/>
        <v>5.6058890147225281E-2</v>
      </c>
      <c r="O73" s="52">
        <f t="shared" si="102"/>
        <v>0.16129032258064516</v>
      </c>
    </row>
    <row r="74" spans="2:15" s="36" customFormat="1">
      <c r="B74" s="25" t="s">
        <v>128</v>
      </c>
      <c r="C74" s="26">
        <f>C72+C73</f>
        <v>234.70000000000002</v>
      </c>
      <c r="D74" s="67">
        <f t="shared" si="98"/>
        <v>2.6148582327925732E-2</v>
      </c>
      <c r="E74" s="25"/>
      <c r="F74" s="138">
        <f>SUM(F72:F73)</f>
        <v>122.33</v>
      </c>
      <c r="G74" s="54">
        <f t="shared" si="99"/>
        <v>2.3706721135473067E-2</v>
      </c>
      <c r="H74" s="74">
        <f>SUM(H72:H73)</f>
        <v>18.760000000000002</v>
      </c>
      <c r="I74" s="138">
        <f t="shared" ref="I74:J74" si="103">SUM(I72:I73)</f>
        <v>29.36</v>
      </c>
      <c r="J74" s="138">
        <f t="shared" si="103"/>
        <v>20.669999999999998</v>
      </c>
      <c r="K74" s="26">
        <f t="shared" si="95"/>
        <v>-8.6900000000000013</v>
      </c>
      <c r="L74" s="54">
        <f t="shared" si="92"/>
        <v>-0.29598092643051777</v>
      </c>
      <c r="M74" s="26">
        <f t="shared" ref="M74" si="104">J74-H74</f>
        <v>1.9099999999999966</v>
      </c>
      <c r="N74" s="55">
        <f t="shared" ref="N74" si="105">M74/H74</f>
        <v>0.10181236673773968</v>
      </c>
      <c r="O74" s="55">
        <f t="shared" si="102"/>
        <v>0.16896918172157277</v>
      </c>
    </row>
    <row r="75" spans="2:15" s="36" customFormat="1">
      <c r="B75" s="204"/>
      <c r="C75" s="205"/>
      <c r="D75" s="207"/>
      <c r="E75" s="204"/>
      <c r="F75" s="282"/>
      <c r="G75" s="208"/>
      <c r="H75" s="206"/>
      <c r="I75" s="282"/>
      <c r="J75" s="282"/>
      <c r="K75" s="205"/>
      <c r="L75" s="208"/>
      <c r="M75" s="205"/>
      <c r="N75" s="209"/>
      <c r="O75" s="209"/>
    </row>
    <row r="76" spans="2:15" s="36" customFormat="1">
      <c r="B76" s="204"/>
      <c r="C76" s="205"/>
      <c r="D76" s="207"/>
      <c r="E76" s="204"/>
      <c r="F76" s="282"/>
      <c r="G76" s="208"/>
      <c r="H76" s="206"/>
      <c r="I76" s="282"/>
      <c r="J76" s="282"/>
      <c r="K76" s="205"/>
      <c r="L76" s="208"/>
      <c r="M76" s="36" t="s">
        <v>148</v>
      </c>
      <c r="N76" s="209"/>
      <c r="O76" s="209"/>
    </row>
    <row r="77" spans="2:15" ht="15" customHeight="1">
      <c r="B77" s="381" t="s">
        <v>308</v>
      </c>
      <c r="C77" s="371" t="s">
        <v>421</v>
      </c>
      <c r="D77" s="371" t="s">
        <v>171</v>
      </c>
      <c r="E77" s="371"/>
      <c r="F77" s="372" t="str">
        <f>'PU Wise OWE'!$B$5</f>
        <v>Vote On Acc 2024-25</v>
      </c>
      <c r="G77" s="374" t="str">
        <f>G11</f>
        <v>% of Total Vote On Acc 2024-25</v>
      </c>
      <c r="H77" s="378" t="str">
        <f>'PU Wise OWE'!$B$7</f>
        <v>Actual up to April-23</v>
      </c>
      <c r="I77" s="376" t="str">
        <f>'PU Wise OWE'!$B$6</f>
        <v>BP to end April-24</v>
      </c>
      <c r="J77" s="376" t="str">
        <f>'PU Wise OWE'!$B$8</f>
        <v>Actual up to April-24</v>
      </c>
      <c r="K77" s="369" t="s">
        <v>204</v>
      </c>
      <c r="L77" s="369"/>
      <c r="M77" s="369" t="s">
        <v>145</v>
      </c>
      <c r="N77" s="369"/>
      <c r="O77" s="370" t="s">
        <v>419</v>
      </c>
    </row>
    <row r="78" spans="2:15" ht="30">
      <c r="B78" s="381"/>
      <c r="C78" s="371"/>
      <c r="D78" s="371"/>
      <c r="E78" s="371"/>
      <c r="F78" s="373"/>
      <c r="G78" s="375"/>
      <c r="H78" s="371"/>
      <c r="I78" s="377"/>
      <c r="J78" s="377"/>
      <c r="K78" s="79" t="s">
        <v>143</v>
      </c>
      <c r="L78" s="80" t="s">
        <v>144</v>
      </c>
      <c r="M78" s="79" t="s">
        <v>143</v>
      </c>
      <c r="N78" s="80" t="s">
        <v>144</v>
      </c>
      <c r="O78" s="370"/>
    </row>
    <row r="79" spans="2:15">
      <c r="B79" s="23" t="s">
        <v>197</v>
      </c>
      <c r="C79" s="22">
        <v>0</v>
      </c>
      <c r="D79" s="66">
        <f t="shared" ref="D79:D87" si="106">C79/$C$7</f>
        <v>0</v>
      </c>
      <c r="E79" s="23"/>
      <c r="F79" s="105">
        <f>ROUND('PU Wise OWE'!$AW$126/10000,2)</f>
        <v>0.94</v>
      </c>
      <c r="G79" s="24">
        <f t="shared" ref="G79:G85" si="107">F79/$F$7</f>
        <v>1.8216560015813521E-4</v>
      </c>
      <c r="H79" s="70">
        <f>ROUND('PU Wise OWE'!$AW$128/10000,2)</f>
        <v>0.3</v>
      </c>
      <c r="I79" s="105">
        <f>ROUND('PU Wise OWE'!$AW$127/10000,2)</f>
        <v>0</v>
      </c>
      <c r="J79" s="20">
        <f>ROUND('PU Wise OWE'!$AW$129/10000,2)</f>
        <v>0</v>
      </c>
      <c r="K79" s="22">
        <f t="shared" si="95"/>
        <v>0</v>
      </c>
      <c r="L79" s="24" t="e">
        <f t="shared" si="92"/>
        <v>#DIV/0!</v>
      </c>
      <c r="M79" s="22">
        <f t="shared" ref="M79:M80" si="108">J79-H79</f>
        <v>-0.3</v>
      </c>
      <c r="N79" s="52">
        <f t="shared" ref="N79:N80" si="109">M79/H79</f>
        <v>-1</v>
      </c>
      <c r="O79" s="52">
        <f t="shared" ref="O79:O87" si="110">J79/F79</f>
        <v>0</v>
      </c>
    </row>
    <row r="80" spans="2:15">
      <c r="B80" s="23" t="s">
        <v>196</v>
      </c>
      <c r="C80" s="22">
        <v>2.23</v>
      </c>
      <c r="D80" s="66">
        <f t="shared" si="106"/>
        <v>2.484505265925623E-4</v>
      </c>
      <c r="E80" s="23"/>
      <c r="F80" s="105">
        <f>ROUND('PU Wise OWE'!$AX$126/10000,2)</f>
        <v>1.51</v>
      </c>
      <c r="G80" s="24">
        <f t="shared" si="107"/>
        <v>2.926277194029619E-4</v>
      </c>
      <c r="H80" s="70">
        <f>ROUND('PU Wise OWE'!$AX$128/10000,2)</f>
        <v>0.24</v>
      </c>
      <c r="I80" s="105">
        <f>ROUND('PU Wise OWE'!$AX$127/10000,2)</f>
        <v>0.36</v>
      </c>
      <c r="J80" s="20">
        <f>ROUND('PU Wise OWE'!$AX$129/10000,2)</f>
        <v>0.2</v>
      </c>
      <c r="K80" s="22">
        <f t="shared" si="95"/>
        <v>-0.15999999999999998</v>
      </c>
      <c r="L80" s="24">
        <f t="shared" si="92"/>
        <v>-0.44444444444444442</v>
      </c>
      <c r="M80" s="22">
        <f t="shared" si="108"/>
        <v>-3.999999999999998E-2</v>
      </c>
      <c r="N80" s="52">
        <f t="shared" si="109"/>
        <v>-0.1666666666666666</v>
      </c>
      <c r="O80" s="52">
        <f t="shared" si="110"/>
        <v>0.13245033112582782</v>
      </c>
    </row>
    <row r="81" spans="2:15">
      <c r="B81" s="23" t="s">
        <v>198</v>
      </c>
      <c r="C81" s="22">
        <v>21.78</v>
      </c>
      <c r="D81" s="66">
        <f t="shared" si="106"/>
        <v>2.426570613984757E-3</v>
      </c>
      <c r="E81" s="23"/>
      <c r="F81" s="105">
        <f>ROUND('PU Wise OWE'!$BC$126/10000,2)</f>
        <v>10.27</v>
      </c>
      <c r="G81" s="24">
        <f t="shared" si="107"/>
        <v>1.9902560783234559E-3</v>
      </c>
      <c r="H81" s="70">
        <f>ROUND('PU Wise OWE'!$BC$128/10000,2)</f>
        <v>2.79</v>
      </c>
      <c r="I81" s="105">
        <f>ROUND('PU Wise OWE'!$BC$127/10000,2)</f>
        <v>2.4700000000000002</v>
      </c>
      <c r="J81" s="20">
        <f>ROUND('PU Wise OWE'!$BC$129/10000,2)</f>
        <v>3.42</v>
      </c>
      <c r="K81" s="22">
        <f t="shared" si="95"/>
        <v>0.94999999999999973</v>
      </c>
      <c r="L81" s="24">
        <f t="shared" si="92"/>
        <v>0.38461538461538447</v>
      </c>
      <c r="M81" s="22">
        <f t="shared" ref="M81:M84" si="111">J81-H81</f>
        <v>0.62999999999999989</v>
      </c>
      <c r="N81" s="52">
        <f t="shared" ref="N81:N84" si="112">M81/H81</f>
        <v>0.22580645161290319</v>
      </c>
      <c r="O81" s="52">
        <f t="shared" si="110"/>
        <v>0.33300876338851021</v>
      </c>
    </row>
    <row r="82" spans="2:15">
      <c r="B82" s="23" t="s">
        <v>199</v>
      </c>
      <c r="C82" s="22">
        <v>21.78</v>
      </c>
      <c r="D82" s="66">
        <f t="shared" si="106"/>
        <v>2.426570613984757E-3</v>
      </c>
      <c r="E82" s="23"/>
      <c r="F82" s="105">
        <f>ROUND('PU Wise OWE'!$BD$126/10000,2)</f>
        <v>10.41</v>
      </c>
      <c r="G82" s="24">
        <f t="shared" si="107"/>
        <v>2.017387125155519E-3</v>
      </c>
      <c r="H82" s="70">
        <f>ROUND('PU Wise OWE'!$BD$128/10000,2)</f>
        <v>2.79</v>
      </c>
      <c r="I82" s="105">
        <f>ROUND('PU Wise OWE'!$BD$127/10000,2)</f>
        <v>2.5</v>
      </c>
      <c r="J82" s="20">
        <f>ROUND('PU Wise OWE'!$BD$129/10000,2)</f>
        <v>3.42</v>
      </c>
      <c r="K82" s="22">
        <f t="shared" si="95"/>
        <v>0.91999999999999993</v>
      </c>
      <c r="L82" s="24">
        <f t="shared" si="92"/>
        <v>0.36799999999999999</v>
      </c>
      <c r="M82" s="22">
        <f t="shared" si="111"/>
        <v>0.62999999999999989</v>
      </c>
      <c r="N82" s="52">
        <f t="shared" si="112"/>
        <v>0.22580645161290319</v>
      </c>
      <c r="O82" s="52">
        <f t="shared" si="110"/>
        <v>0.32853025936599423</v>
      </c>
    </row>
    <row r="83" spans="2:15">
      <c r="B83" s="23" t="s">
        <v>200</v>
      </c>
      <c r="C83" s="22">
        <v>20.89</v>
      </c>
      <c r="D83" s="66">
        <f t="shared" si="106"/>
        <v>2.3274132289321198E-3</v>
      </c>
      <c r="E83" s="23"/>
      <c r="F83" s="105">
        <f>ROUND('PU Wise OWE'!$BF$126/10000,2)</f>
        <v>13.6</v>
      </c>
      <c r="G83" s="24">
        <f t="shared" si="107"/>
        <v>2.6355874065432331E-3</v>
      </c>
      <c r="H83" s="70">
        <f>ROUND('PU Wise OWE'!$BF$128/10000,2)</f>
        <v>2.4500000000000002</v>
      </c>
      <c r="I83" s="105">
        <f>ROUND('PU Wise OWE'!$BF$127/10000,2)</f>
        <v>3.26</v>
      </c>
      <c r="J83" s="20">
        <f>ROUND('PU Wise OWE'!$BF$129/10000,2)</f>
        <v>4.6100000000000003</v>
      </c>
      <c r="K83" s="22">
        <f t="shared" si="95"/>
        <v>1.3500000000000005</v>
      </c>
      <c r="L83" s="24">
        <f t="shared" si="92"/>
        <v>0.41411042944785292</v>
      </c>
      <c r="M83" s="22">
        <f t="shared" si="111"/>
        <v>2.16</v>
      </c>
      <c r="N83" s="52">
        <f t="shared" si="112"/>
        <v>0.88163265306122451</v>
      </c>
      <c r="O83" s="52">
        <f t="shared" si="110"/>
        <v>0.33897058823529413</v>
      </c>
    </row>
    <row r="84" spans="2:15">
      <c r="B84" s="23" t="s">
        <v>201</v>
      </c>
      <c r="C84" s="22">
        <v>234.57999999999902</v>
      </c>
      <c r="D84" s="66">
        <f t="shared" si="106"/>
        <v>2.6135212792862343E-2</v>
      </c>
      <c r="E84" s="23"/>
      <c r="F84" s="105">
        <f>ROUND('PU Wise OWE'!$BG$126/10000,2)-ROUND('PU Wise OWE'!$BG$115/10000,2)</f>
        <v>132.51999999999998</v>
      </c>
      <c r="G84" s="24">
        <f t="shared" si="107"/>
        <v>2.5681473758463913E-2</v>
      </c>
      <c r="H84" s="70">
        <f>ROUND('PU Wise OWE'!$BG$128/10000,2)-ROUND('PU Wise OWE'!$BG$117/10000,2)</f>
        <v>34.32000000000005</v>
      </c>
      <c r="I84" s="105">
        <f>ROUND('PU Wise OWE'!$BG$127/10000,2)-ROUND('PU Wise OWE'!$BG$116/10000,2)</f>
        <v>31.810000000000002</v>
      </c>
      <c r="J84" s="20">
        <f>ROUND('PU Wise OWE'!$BG$129/10000,2)-ROUND('PU Wise OWE'!$BG$118/10000,2)</f>
        <v>28.829999999999927</v>
      </c>
      <c r="K84" s="22">
        <f t="shared" si="95"/>
        <v>-2.980000000000075</v>
      </c>
      <c r="L84" s="24">
        <f t="shared" si="92"/>
        <v>-9.3681232316883842E-2</v>
      </c>
      <c r="M84" s="22">
        <f t="shared" si="111"/>
        <v>-5.4900000000001228</v>
      </c>
      <c r="N84" s="52">
        <f t="shared" si="112"/>
        <v>-0.15996503496503831</v>
      </c>
      <c r="O84" s="52">
        <f t="shared" si="110"/>
        <v>0.21755206761243534</v>
      </c>
    </row>
    <row r="85" spans="2:15" s="36" customFormat="1">
      <c r="B85" s="25" t="s">
        <v>128</v>
      </c>
      <c r="C85" s="26">
        <f>C79+C80+C81+C82+C83+C84</f>
        <v>301.25999999999902</v>
      </c>
      <c r="D85" s="67">
        <f t="shared" si="106"/>
        <v>3.3564217776356542E-2</v>
      </c>
      <c r="E85" s="25"/>
      <c r="F85" s="138">
        <f>SUM(F79:F84)</f>
        <v>169.24999999999997</v>
      </c>
      <c r="G85" s="54">
        <f t="shared" si="107"/>
        <v>3.2799497688047213E-2</v>
      </c>
      <c r="H85" s="74">
        <f>SUM(H79:H84)</f>
        <v>42.89000000000005</v>
      </c>
      <c r="I85" s="138">
        <f>SUM(I79:I84)</f>
        <v>40.400000000000006</v>
      </c>
      <c r="J85" s="138">
        <f>SUM(J79:J84)</f>
        <v>40.479999999999926</v>
      </c>
      <c r="K85" s="26">
        <f t="shared" ref="K85" si="113">J85-I85</f>
        <v>7.9999999999920135E-2</v>
      </c>
      <c r="L85" s="54">
        <f t="shared" ref="L85" si="114">K85/I85</f>
        <v>1.9801980198000031E-3</v>
      </c>
      <c r="M85" s="26">
        <f t="shared" ref="M85" si="115">J85-H85</f>
        <v>-2.4100000000001245</v>
      </c>
      <c r="N85" s="55">
        <f t="shared" ref="N85" si="116">M85/H85</f>
        <v>-5.6190254138496661E-2</v>
      </c>
      <c r="O85" s="55">
        <f t="shared" si="110"/>
        <v>0.23917282127030978</v>
      </c>
    </row>
    <row r="86" spans="2:15">
      <c r="O86" s="25"/>
    </row>
    <row r="87" spans="2:15" s="36" customFormat="1" ht="30" customHeight="1">
      <c r="B87" s="93" t="s">
        <v>202</v>
      </c>
      <c r="C87" s="112">
        <v>2787.18</v>
      </c>
      <c r="D87" s="248">
        <f t="shared" si="106"/>
        <v>0.31052750614720082</v>
      </c>
      <c r="E87" s="25"/>
      <c r="F87" s="283">
        <f>F37+F50+F55+F57+F64+F69+F74+F85</f>
        <v>2022.32</v>
      </c>
      <c r="G87" s="194">
        <f t="shared" ref="G87" si="117">F87/$F$7</f>
        <v>0.39191184735297874</v>
      </c>
      <c r="H87" s="112">
        <f>H37+H50+H55+H57+H64+H69+H74+H85</f>
        <v>632.40000000000009</v>
      </c>
      <c r="I87" s="283">
        <f>I37+I50+I55+I57+I64+I69+I74+I85</f>
        <v>636.48</v>
      </c>
      <c r="J87" s="283">
        <f>J37+J50+J55+J57+J64+J69+J74+J85</f>
        <v>-182.22000000000008</v>
      </c>
      <c r="K87" s="193">
        <f t="shared" ref="K87" si="118">J87-I87</f>
        <v>-818.7</v>
      </c>
      <c r="L87" s="194">
        <f t="shared" ref="L87" si="119">K87/I87</f>
        <v>-1.2862933634992459</v>
      </c>
      <c r="M87" s="193">
        <f t="shared" ref="M87" si="120">J87-H87</f>
        <v>-814.62000000000012</v>
      </c>
      <c r="N87" s="195">
        <f t="shared" ref="N87" si="121">M87/H87</f>
        <v>-1.2881404174573055</v>
      </c>
      <c r="O87" s="195">
        <f t="shared" si="110"/>
        <v>-9.0104434510858866E-2</v>
      </c>
    </row>
    <row r="88" spans="2:15">
      <c r="O88" s="92"/>
    </row>
    <row r="89" spans="2:15">
      <c r="C89" s="176"/>
      <c r="O89" s="176"/>
    </row>
    <row r="90" spans="2:15" ht="15" customHeight="1">
      <c r="B90" s="379" t="s">
        <v>251</v>
      </c>
      <c r="C90" s="382" t="s">
        <v>421</v>
      </c>
      <c r="D90" s="382" t="s">
        <v>171</v>
      </c>
      <c r="E90" s="382"/>
      <c r="F90" s="372" t="str">
        <f>'PU Wise OWE'!$B$5</f>
        <v>Vote On Acc 2024-25</v>
      </c>
      <c r="G90" s="374" t="str">
        <f>G77</f>
        <v>% of Total Vote On Acc 2024-25</v>
      </c>
      <c r="H90" s="372" t="str">
        <f>H77</f>
        <v>Actual up to April-23</v>
      </c>
      <c r="I90" s="372" t="str">
        <f>J77</f>
        <v>Actual up to April-24</v>
      </c>
      <c r="J90" s="382" t="s">
        <v>203</v>
      </c>
      <c r="K90" s="383" t="s">
        <v>145</v>
      </c>
      <c r="L90" s="383"/>
      <c r="M90" s="370" t="s">
        <v>419</v>
      </c>
      <c r="N90" s="187"/>
      <c r="O90" s="192"/>
    </row>
    <row r="91" spans="2:15" ht="30" customHeight="1">
      <c r="B91" s="380"/>
      <c r="C91" s="373"/>
      <c r="D91" s="373"/>
      <c r="E91" s="373"/>
      <c r="F91" s="373"/>
      <c r="G91" s="375"/>
      <c r="H91" s="373"/>
      <c r="I91" s="384"/>
      <c r="J91" s="373"/>
      <c r="K91" s="79" t="s">
        <v>143</v>
      </c>
      <c r="L91" s="79" t="s">
        <v>144</v>
      </c>
      <c r="M91" s="370"/>
      <c r="N91" s="187"/>
      <c r="O91" s="192"/>
    </row>
    <row r="92" spans="2:15">
      <c r="B92" s="20" t="s">
        <v>252</v>
      </c>
      <c r="C92" s="20">
        <v>0</v>
      </c>
      <c r="D92" s="66">
        <f t="shared" ref="D92:D105" si="122">C92/$C$7</f>
        <v>0</v>
      </c>
      <c r="E92" s="20"/>
      <c r="F92" s="105">
        <f>'PU Wise OWE'!V27/10000</f>
        <v>8.4199999999999997E-2</v>
      </c>
      <c r="G92" s="182">
        <f t="shared" ref="G92:G105" si="123">F92/$F$7</f>
        <v>1.6317386737569134E-5</v>
      </c>
      <c r="H92" s="212">
        <f>'PU Wise OWE'!V29</f>
        <v>0</v>
      </c>
      <c r="I92" s="212">
        <f>'PU Wise OWE'!W30</f>
        <v>0</v>
      </c>
      <c r="J92" s="182">
        <f t="shared" ref="J92:J105" si="124">I92/$I$7</f>
        <v>0</v>
      </c>
      <c r="K92" s="22">
        <f>I92-H92</f>
        <v>0</v>
      </c>
      <c r="L92" s="52">
        <v>0</v>
      </c>
      <c r="M92" s="183">
        <v>0</v>
      </c>
      <c r="N92" s="187"/>
      <c r="O92" s="189"/>
    </row>
    <row r="93" spans="2:15">
      <c r="B93" s="20" t="s">
        <v>253</v>
      </c>
      <c r="C93" s="105">
        <v>68.950900000000004</v>
      </c>
      <c r="D93" s="66">
        <f t="shared" si="122"/>
        <v>7.6820122932874917E-3</v>
      </c>
      <c r="E93" s="20"/>
      <c r="F93" s="105">
        <f>'PU Wise OWE'!V38/10000</f>
        <v>36.0184</v>
      </c>
      <c r="G93" s="182">
        <f t="shared" si="123"/>
        <v>6.9801206943997636E-3</v>
      </c>
      <c r="H93" s="109">
        <f>'PU Wise OWE'!V40/10000</f>
        <v>1.0499000000000001</v>
      </c>
      <c r="I93" s="109">
        <f>'PU Wise OWE'!V41/10000</f>
        <v>2.1972999999999998</v>
      </c>
      <c r="J93" s="182">
        <f t="shared" si="124"/>
        <v>1.7403805027959508E-3</v>
      </c>
      <c r="K93" s="22">
        <f t="shared" ref="K93:K94" si="125">I93-H93</f>
        <v>1.1473999999999998</v>
      </c>
      <c r="L93" s="52">
        <f t="shared" ref="L93:L94" si="126">K93/H93</f>
        <v>1.0928659872368793</v>
      </c>
      <c r="M93" s="183">
        <f t="shared" ref="M93:M105" si="127">I93/F93</f>
        <v>6.1004930813139943E-2</v>
      </c>
      <c r="N93" s="187"/>
      <c r="O93" s="189"/>
    </row>
    <row r="94" spans="2:15">
      <c r="B94" s="20" t="s">
        <v>263</v>
      </c>
      <c r="C94" s="105">
        <v>0.86050000000000004</v>
      </c>
      <c r="D94" s="66">
        <f t="shared" si="122"/>
        <v>9.5870707682914753E-5</v>
      </c>
      <c r="E94" s="20"/>
      <c r="F94" s="105">
        <f>'PU Wise OWE'!V49/10000</f>
        <v>0.46050000000000002</v>
      </c>
      <c r="G94" s="182">
        <f t="shared" si="123"/>
        <v>8.9241764758320508E-5</v>
      </c>
      <c r="H94" s="109">
        <f>'PU Wise OWE'!V51/10000</f>
        <v>0</v>
      </c>
      <c r="I94" s="105">
        <f>'PU Wise OWE'!V52/10000</f>
        <v>0</v>
      </c>
      <c r="J94" s="182">
        <f t="shared" si="124"/>
        <v>0</v>
      </c>
      <c r="K94" s="22">
        <f t="shared" si="125"/>
        <v>0</v>
      </c>
      <c r="L94" s="52" t="e">
        <f t="shared" si="126"/>
        <v>#DIV/0!</v>
      </c>
      <c r="M94" s="183">
        <f t="shared" si="127"/>
        <v>0</v>
      </c>
      <c r="N94" s="187"/>
      <c r="O94" s="189"/>
    </row>
    <row r="95" spans="2:15">
      <c r="B95" s="59" t="s">
        <v>254</v>
      </c>
      <c r="C95" s="104">
        <f>SUM(C92:C94)</f>
        <v>69.811400000000006</v>
      </c>
      <c r="D95" s="67">
        <f t="shared" si="122"/>
        <v>7.7778830009704071E-3</v>
      </c>
      <c r="E95" s="27">
        <f t="shared" ref="E95" si="128">SUM(E92:E93)</f>
        <v>0</v>
      </c>
      <c r="F95" s="104">
        <f>F92+F93+F94</f>
        <v>36.563100000000006</v>
      </c>
      <c r="G95" s="184">
        <f t="shared" si="123"/>
        <v>7.0856798458956548E-3</v>
      </c>
      <c r="H95" s="104">
        <f>SUM(H92:H94)</f>
        <v>1.0499000000000001</v>
      </c>
      <c r="I95" s="104">
        <f>SUM(I92:I94)</f>
        <v>2.1972999999999998</v>
      </c>
      <c r="J95" s="184">
        <f t="shared" si="124"/>
        <v>1.7403805027959508E-3</v>
      </c>
      <c r="K95" s="26">
        <f t="shared" ref="K95" si="129">I95-H95</f>
        <v>1.1473999999999998</v>
      </c>
      <c r="L95" s="55">
        <f t="shared" ref="L95" si="130">K95/H95</f>
        <v>1.0928659872368793</v>
      </c>
      <c r="M95" s="185">
        <f t="shared" si="127"/>
        <v>6.0096107824555343E-2</v>
      </c>
      <c r="N95" s="187"/>
      <c r="O95" s="190"/>
    </row>
    <row r="96" spans="2:15">
      <c r="B96" s="20" t="s">
        <v>255</v>
      </c>
      <c r="C96" s="20">
        <v>0</v>
      </c>
      <c r="D96" s="66">
        <f t="shared" si="122"/>
        <v>0</v>
      </c>
      <c r="E96" s="20"/>
      <c r="F96" s="105">
        <f>'PU Wise OWE'!AQ27</f>
        <v>0</v>
      </c>
      <c r="G96" s="182">
        <f t="shared" si="123"/>
        <v>0</v>
      </c>
      <c r="H96" s="212">
        <f>'PU Wise OWE'!AQ29/10000</f>
        <v>0</v>
      </c>
      <c r="I96" s="105">
        <f>'PU Wise OWE'!AQ30</f>
        <v>0</v>
      </c>
      <c r="J96" s="182">
        <f t="shared" si="124"/>
        <v>0</v>
      </c>
      <c r="K96" s="22">
        <f>I96-H96</f>
        <v>0</v>
      </c>
      <c r="L96" s="52">
        <v>0</v>
      </c>
      <c r="M96" s="183">
        <v>0</v>
      </c>
      <c r="N96" s="187"/>
      <c r="O96" s="189"/>
    </row>
    <row r="97" spans="2:15">
      <c r="B97" s="20" t="s">
        <v>256</v>
      </c>
      <c r="C97" s="105">
        <v>76.882000000000005</v>
      </c>
      <c r="D97" s="66">
        <f t="shared" si="122"/>
        <v>8.5656382894571201E-3</v>
      </c>
      <c r="E97" s="20"/>
      <c r="F97" s="105">
        <f>'PU Wise OWE'!AQ38/10000</f>
        <v>37.781500000000001</v>
      </c>
      <c r="G97" s="182">
        <f t="shared" si="123"/>
        <v>7.3217974706112623E-3</v>
      </c>
      <c r="H97" s="109">
        <f>'PU Wise OWE'!AQ40/10000</f>
        <v>3.9575</v>
      </c>
      <c r="I97" s="105">
        <f>'PU Wise OWE'!AQ41/10000</f>
        <v>3.6572</v>
      </c>
      <c r="J97" s="182">
        <f t="shared" si="124"/>
        <v>2.8967003025646711E-3</v>
      </c>
      <c r="K97" s="22">
        <f t="shared" ref="K97:K99" si="131">I97-H97</f>
        <v>-0.30030000000000001</v>
      </c>
      <c r="L97" s="52">
        <f t="shared" ref="L97:L99" si="132">K97/H97</f>
        <v>-7.588123815540114E-2</v>
      </c>
      <c r="M97" s="183">
        <f t="shared" si="127"/>
        <v>9.6798697775366246E-2</v>
      </c>
      <c r="N97" s="187"/>
      <c r="O97" s="189"/>
    </row>
    <row r="98" spans="2:15">
      <c r="B98" s="20" t="s">
        <v>264</v>
      </c>
      <c r="C98" s="105">
        <v>1.54E-2</v>
      </c>
      <c r="D98" s="66">
        <f t="shared" si="122"/>
        <v>1.7157569997872018E-6</v>
      </c>
      <c r="E98" s="20"/>
      <c r="F98" s="105">
        <f>'PU Wise OWE'!AQ49/10000</f>
        <v>2.8999999999999998E-3</v>
      </c>
      <c r="G98" s="182">
        <f t="shared" si="123"/>
        <v>5.6200025580701292E-7</v>
      </c>
      <c r="H98" s="109">
        <f>'PU Wise OWE'!AQ51/10000</f>
        <v>0</v>
      </c>
      <c r="I98" s="109">
        <f>'PU Wise OWE'!AQ52/10000</f>
        <v>2.0000000000000001E-4</v>
      </c>
      <c r="J98" s="182">
        <f t="shared" si="124"/>
        <v>1.5841082262740193E-7</v>
      </c>
      <c r="K98" s="22">
        <f t="shared" si="131"/>
        <v>2.0000000000000001E-4</v>
      </c>
      <c r="L98" s="52" t="e">
        <f t="shared" si="132"/>
        <v>#DIV/0!</v>
      </c>
      <c r="M98" s="183">
        <v>0</v>
      </c>
      <c r="N98" s="187"/>
      <c r="O98" s="189"/>
    </row>
    <row r="99" spans="2:15">
      <c r="B99" s="59" t="s">
        <v>257</v>
      </c>
      <c r="C99" s="104">
        <f>SUM(C96:C98)</f>
        <v>76.897400000000005</v>
      </c>
      <c r="D99" s="67">
        <f t="shared" si="122"/>
        <v>8.567354046456907E-3</v>
      </c>
      <c r="E99" s="27">
        <f t="shared" ref="E99" si="133">SUM(E96:E97)</f>
        <v>0</v>
      </c>
      <c r="F99" s="104">
        <f>SUM(F96:F98)</f>
        <v>37.784399999999998</v>
      </c>
      <c r="G99" s="184">
        <f t="shared" si="123"/>
        <v>7.3223594708670689E-3</v>
      </c>
      <c r="H99" s="104">
        <f>H97+H98</f>
        <v>3.9575</v>
      </c>
      <c r="I99" s="104">
        <f>I97+I98</f>
        <v>3.6574</v>
      </c>
      <c r="J99" s="184">
        <f t="shared" si="124"/>
        <v>2.8968587133872989E-3</v>
      </c>
      <c r="K99" s="26">
        <f t="shared" si="131"/>
        <v>-0.30010000000000003</v>
      </c>
      <c r="L99" s="55">
        <f t="shared" si="132"/>
        <v>-7.583070120025269E-2</v>
      </c>
      <c r="M99" s="185">
        <f t="shared" si="127"/>
        <v>9.6796561543917595E-2</v>
      </c>
      <c r="N99" s="187"/>
      <c r="O99" s="190"/>
    </row>
    <row r="100" spans="2:15">
      <c r="B100" s="20" t="s">
        <v>258</v>
      </c>
      <c r="C100" s="105">
        <v>6.4005999999999998</v>
      </c>
      <c r="D100" s="66">
        <f t="shared" si="122"/>
        <v>7.1310871771675089E-4</v>
      </c>
      <c r="E100" s="20"/>
      <c r="F100" s="105">
        <f>'PU Wise OWE'!AC27/10000</f>
        <v>7.4345999999999997</v>
      </c>
      <c r="G100" s="182">
        <f t="shared" si="123"/>
        <v>1.4407748626975236E-3</v>
      </c>
      <c r="H100" s="109">
        <f>'PU Wise OWE'!AC29/10000</f>
        <v>0.1111</v>
      </c>
      <c r="I100" s="105">
        <f>'PU Wise OWE'!AC30/10000</f>
        <v>1.6436999999999999</v>
      </c>
      <c r="J100" s="182">
        <f t="shared" si="124"/>
        <v>1.3018993457633026E-3</v>
      </c>
      <c r="K100" s="22">
        <f>I100-H100</f>
        <v>1.5326</v>
      </c>
      <c r="L100" s="52">
        <f>K100/H100</f>
        <v>13.794779477947793</v>
      </c>
      <c r="M100" s="183">
        <f t="shared" si="127"/>
        <v>0.2210878863691389</v>
      </c>
      <c r="N100" s="187"/>
      <c r="O100" s="189"/>
    </row>
    <row r="101" spans="2:15">
      <c r="B101" s="20" t="s">
        <v>259</v>
      </c>
      <c r="C101" s="105">
        <v>132.7783</v>
      </c>
      <c r="D101" s="66">
        <f t="shared" si="122"/>
        <v>1.4793201145769156E-2</v>
      </c>
      <c r="E101" s="20"/>
      <c r="F101" s="105">
        <f>'PU Wise OWE'!AC38/10000</f>
        <v>83.649600000000007</v>
      </c>
      <c r="G101" s="182">
        <f t="shared" si="123"/>
        <v>1.6210722964880797E-2</v>
      </c>
      <c r="H101" s="109">
        <f>'PU Wise OWE'!AC40/10000</f>
        <v>12.6252</v>
      </c>
      <c r="I101" s="105">
        <f>'PU Wise OWE'!AC41/10000</f>
        <v>13.1661</v>
      </c>
      <c r="J101" s="182">
        <f t="shared" si="124"/>
        <v>1.0428263658973182E-2</v>
      </c>
      <c r="K101" s="22">
        <f t="shared" ref="K101:K102" si="134">I101-H101</f>
        <v>0.5409000000000006</v>
      </c>
      <c r="L101" s="52">
        <f t="shared" ref="L101:L102" si="135">K101/H101</f>
        <v>4.2842885657256961E-2</v>
      </c>
      <c r="M101" s="183">
        <f t="shared" si="127"/>
        <v>0.157395851265278</v>
      </c>
      <c r="N101" s="187"/>
      <c r="O101" s="189"/>
    </row>
    <row r="102" spans="2:15">
      <c r="B102" s="59" t="s">
        <v>260</v>
      </c>
      <c r="C102" s="104">
        <f t="shared" ref="C102:I102" si="136">SUM(C100:C101)</f>
        <v>139.1789</v>
      </c>
      <c r="D102" s="67">
        <f t="shared" si="122"/>
        <v>1.5506309863485907E-2</v>
      </c>
      <c r="E102" s="27">
        <f t="shared" si="136"/>
        <v>0</v>
      </c>
      <c r="F102" s="104">
        <f>F100+F101</f>
        <v>91.08420000000001</v>
      </c>
      <c r="G102" s="184">
        <f t="shared" si="123"/>
        <v>1.7651497827578324E-2</v>
      </c>
      <c r="H102" s="104">
        <f t="shared" ref="H102" si="137">SUM(H100:H101)</f>
        <v>12.7363</v>
      </c>
      <c r="I102" s="104">
        <f t="shared" si="136"/>
        <v>14.809799999999999</v>
      </c>
      <c r="J102" s="184">
        <f t="shared" si="124"/>
        <v>1.1730163004736484E-2</v>
      </c>
      <c r="K102" s="22">
        <f t="shared" si="134"/>
        <v>2.0734999999999992</v>
      </c>
      <c r="L102" s="52">
        <f t="shared" si="135"/>
        <v>0.16280238373782019</v>
      </c>
      <c r="M102" s="185">
        <f t="shared" si="127"/>
        <v>0.16259461026171387</v>
      </c>
      <c r="N102" s="187"/>
      <c r="O102" s="190"/>
    </row>
    <row r="103" spans="2:15">
      <c r="B103" s="20" t="s">
        <v>261</v>
      </c>
      <c r="C103" s="105">
        <v>6.4931999999999999</v>
      </c>
      <c r="D103" s="66">
        <f t="shared" si="122"/>
        <v>7.2342554227391282E-4</v>
      </c>
      <c r="E103" s="20"/>
      <c r="F103" s="105">
        <f>'PU Wise OWE'!BB27/10000</f>
        <v>6.7012</v>
      </c>
      <c r="G103" s="182">
        <f t="shared" si="123"/>
        <v>1.2986469359358467E-3</v>
      </c>
      <c r="H103" s="109">
        <f>'PU Wise OWE'!BB29/10000</f>
        <v>1.0988</v>
      </c>
      <c r="I103" s="105">
        <f>'PU Wise OWE'!BB30/10000</f>
        <v>2.0234000000000001</v>
      </c>
      <c r="J103" s="182">
        <f t="shared" si="124"/>
        <v>1.6026422925214251E-3</v>
      </c>
      <c r="K103" s="22">
        <f>I103-H103</f>
        <v>0.92460000000000009</v>
      </c>
      <c r="L103" s="52">
        <f>K103/H103</f>
        <v>0.84146341463414642</v>
      </c>
      <c r="M103" s="183">
        <f t="shared" si="127"/>
        <v>0.30194592013370741</v>
      </c>
      <c r="N103" s="187"/>
      <c r="O103" s="189"/>
    </row>
    <row r="104" spans="2:15">
      <c r="B104" s="20" t="s">
        <v>262</v>
      </c>
      <c r="C104" s="105">
        <v>151.33459999999999</v>
      </c>
      <c r="D104" s="66">
        <f t="shared" si="122"/>
        <v>1.6860610341558196E-2</v>
      </c>
      <c r="E104" s="20"/>
      <c r="F104" s="105">
        <f>'PU Wise OWE'!BB38/10000</f>
        <v>77.851399999999998</v>
      </c>
      <c r="G104" s="182">
        <f t="shared" si="123"/>
        <v>1.5087071281011754E-2</v>
      </c>
      <c r="H104" s="109">
        <f>'PU Wise OWE'!BB40/10000</f>
        <v>13.6958</v>
      </c>
      <c r="I104" s="105">
        <f>'PU Wise OWE'!BB41/10000</f>
        <v>14.986499999999999</v>
      </c>
      <c r="J104" s="182">
        <f t="shared" si="124"/>
        <v>1.1870118966527793E-2</v>
      </c>
      <c r="K104" s="22">
        <f t="shared" ref="K104:K105" si="138">I104-H104</f>
        <v>1.2906999999999993</v>
      </c>
      <c r="L104" s="52">
        <f t="shared" ref="L104:L105" si="139">K104/H104</f>
        <v>9.4240570101782981E-2</v>
      </c>
      <c r="M104" s="183">
        <f t="shared" si="127"/>
        <v>0.19250135514582911</v>
      </c>
      <c r="N104" s="187"/>
      <c r="O104" s="189"/>
    </row>
    <row r="105" spans="2:15">
      <c r="B105" s="59" t="s">
        <v>292</v>
      </c>
      <c r="C105" s="104">
        <f>SUM(C103:C104)</f>
        <v>157.8278</v>
      </c>
      <c r="D105" s="67">
        <f t="shared" si="122"/>
        <v>1.758403588383211E-2</v>
      </c>
      <c r="E105" s="27">
        <f t="shared" ref="E105:F105" si="140">SUM(E103:E104)</f>
        <v>0</v>
      </c>
      <c r="F105" s="104">
        <f t="shared" si="140"/>
        <v>84.552599999999998</v>
      </c>
      <c r="G105" s="184">
        <f t="shared" si="123"/>
        <v>1.6385718216947599E-2</v>
      </c>
      <c r="H105" s="104">
        <f>SUM(H103:H104)</f>
        <v>14.794600000000001</v>
      </c>
      <c r="I105" s="104">
        <f>SUM(I103:I104)</f>
        <v>17.009899999999998</v>
      </c>
      <c r="J105" s="184">
        <f t="shared" si="124"/>
        <v>1.3472761259049218E-2</v>
      </c>
      <c r="K105" s="26">
        <f t="shared" si="138"/>
        <v>2.2152999999999974</v>
      </c>
      <c r="L105" s="55">
        <f t="shared" si="139"/>
        <v>0.14973706622686636</v>
      </c>
      <c r="M105" s="185">
        <f t="shared" si="127"/>
        <v>0.20117536302845801</v>
      </c>
      <c r="N105" s="187"/>
      <c r="O105" s="190"/>
    </row>
    <row r="106" spans="2:15">
      <c r="B106" s="176"/>
      <c r="C106" s="176"/>
      <c r="D106" s="176"/>
      <c r="E106" s="176"/>
      <c r="G106" s="176"/>
      <c r="H106" s="136"/>
      <c r="K106" s="176"/>
      <c r="L106" s="176"/>
      <c r="M106" s="176"/>
      <c r="N106" s="187"/>
      <c r="O106" s="188"/>
    </row>
    <row r="107" spans="2:15" ht="15" customHeight="1">
      <c r="B107" s="244"/>
      <c r="C107" s="382" t="s">
        <v>421</v>
      </c>
      <c r="D107" s="382" t="s">
        <v>171</v>
      </c>
      <c r="E107" s="382"/>
      <c r="F107" s="372" t="str">
        <f>'PU Wise OWE'!$B$5</f>
        <v>Vote On Acc 2024-25</v>
      </c>
      <c r="G107" s="374" t="str">
        <f>G90</f>
        <v>% of Total Vote On Acc 2024-25</v>
      </c>
      <c r="H107" s="372" t="str">
        <f>'PU Wise OWE'!$B$7</f>
        <v>Actual up to April-23</v>
      </c>
      <c r="I107" s="372" t="str">
        <f>I90</f>
        <v>Actual up to April-24</v>
      </c>
      <c r="J107" s="382" t="s">
        <v>203</v>
      </c>
      <c r="K107" s="383" t="s">
        <v>145</v>
      </c>
      <c r="L107" s="383"/>
      <c r="M107" s="370" t="s">
        <v>419</v>
      </c>
      <c r="N107" s="187"/>
      <c r="O107" s="192"/>
    </row>
    <row r="108" spans="2:15" ht="30">
      <c r="B108" s="78" t="s">
        <v>420</v>
      </c>
      <c r="C108" s="373"/>
      <c r="D108" s="373"/>
      <c r="E108" s="373"/>
      <c r="F108" s="373"/>
      <c r="G108" s="375"/>
      <c r="H108" s="373"/>
      <c r="I108" s="384"/>
      <c r="J108" s="373"/>
      <c r="K108" s="79" t="s">
        <v>143</v>
      </c>
      <c r="L108" s="79" t="s">
        <v>144</v>
      </c>
      <c r="M108" s="370"/>
      <c r="N108" s="187"/>
      <c r="O108" s="192"/>
    </row>
    <row r="109" spans="2:15">
      <c r="B109" s="20" t="s">
        <v>215</v>
      </c>
      <c r="C109" s="105">
        <v>-2052.5839999999998</v>
      </c>
      <c r="D109" s="66">
        <f t="shared" ref="D109:D112" si="141">C109/$C$7</f>
        <v>-0.22868411465267618</v>
      </c>
      <c r="E109" s="20"/>
      <c r="F109" s="56">
        <v>12.77</v>
      </c>
      <c r="G109" s="182">
        <f t="shared" ref="G109:G112" si="142">F109/$F$7</f>
        <v>2.4747390574674328E-3</v>
      </c>
      <c r="H109" s="358">
        <v>41.64</v>
      </c>
      <c r="I109" s="358">
        <v>-751.89</v>
      </c>
      <c r="J109" s="182">
        <f t="shared" ref="J109:J112" si="143">I109/$I$7</f>
        <v>-0.59553756712658612</v>
      </c>
      <c r="K109" s="105">
        <f t="shared" ref="K109" si="144">I109-H109</f>
        <v>-793.53</v>
      </c>
      <c r="L109" s="183">
        <f t="shared" ref="L109" si="145">K109/H109</f>
        <v>-19.056916426512966</v>
      </c>
      <c r="M109" s="183">
        <f t="shared" ref="M109:M112" si="146">I109/F109</f>
        <v>-58.879404855129209</v>
      </c>
      <c r="N109" s="187"/>
      <c r="O109" s="189"/>
    </row>
    <row r="110" spans="2:15">
      <c r="B110" s="20" t="s">
        <v>214</v>
      </c>
      <c r="C110" s="105">
        <v>871.17</v>
      </c>
      <c r="D110" s="66">
        <f t="shared" si="141"/>
        <v>9.7059482175624448E-2</v>
      </c>
      <c r="E110" s="20"/>
      <c r="F110" s="106">
        <v>187.83</v>
      </c>
      <c r="G110" s="182">
        <f t="shared" si="142"/>
        <v>3.6400175189045259E-2</v>
      </c>
      <c r="H110" s="358">
        <v>69.89</v>
      </c>
      <c r="I110" s="358">
        <v>67.650000000000006</v>
      </c>
      <c r="J110" s="182">
        <f t="shared" si="143"/>
        <v>5.3582460753718697E-2</v>
      </c>
      <c r="K110" s="105">
        <f>I110-H110</f>
        <v>-2.2399999999999949</v>
      </c>
      <c r="L110" s="183">
        <f>K110/H110</f>
        <v>-3.2050364859064172E-2</v>
      </c>
      <c r="M110" s="183">
        <f t="shared" si="146"/>
        <v>0.36016610765053508</v>
      </c>
      <c r="N110" s="187"/>
      <c r="O110" s="189"/>
    </row>
    <row r="111" spans="2:15">
      <c r="B111" s="245" t="s">
        <v>213</v>
      </c>
      <c r="C111" s="105">
        <v>687.38369999999998</v>
      </c>
      <c r="D111" s="66">
        <f t="shared" si="141"/>
        <v>7.6583337325625056E-2</v>
      </c>
      <c r="E111" s="20"/>
      <c r="F111" s="106">
        <v>209.69</v>
      </c>
      <c r="G111" s="182">
        <f t="shared" si="142"/>
        <v>4.0636494358680185E-2</v>
      </c>
      <c r="H111" s="358">
        <v>250.4</v>
      </c>
      <c r="I111" s="358">
        <v>172.42</v>
      </c>
      <c r="J111" s="182">
        <f t="shared" si="143"/>
        <v>0.13656597018708316</v>
      </c>
      <c r="K111" s="105">
        <f t="shared" ref="K111" si="147">I111-H111</f>
        <v>-77.980000000000018</v>
      </c>
      <c r="L111" s="183">
        <f t="shared" ref="L111" si="148">K111/H111</f>
        <v>-0.3114217252396167</v>
      </c>
      <c r="M111" s="183">
        <f t="shared" si="146"/>
        <v>0.82226143354475645</v>
      </c>
      <c r="N111" s="187"/>
      <c r="O111" s="189"/>
    </row>
    <row r="112" spans="2:15">
      <c r="B112" s="27" t="s">
        <v>128</v>
      </c>
      <c r="C112" s="104">
        <f>SUM(C109:C111)</f>
        <v>-494.03029999999978</v>
      </c>
      <c r="D112" s="67">
        <f t="shared" si="141"/>
        <v>-5.5041295151426681E-2</v>
      </c>
      <c r="E112" s="27"/>
      <c r="F112" s="74">
        <f>+F109+F110+F111</f>
        <v>410.29</v>
      </c>
      <c r="G112" s="184">
        <f t="shared" si="142"/>
        <v>7.9511408605192888E-2</v>
      </c>
      <c r="H112" s="74">
        <f>+H109+H110+H111</f>
        <v>361.93</v>
      </c>
      <c r="I112" s="26">
        <f>SUM(I109:I111)</f>
        <v>-511.82000000000005</v>
      </c>
      <c r="J112" s="184">
        <f t="shared" si="143"/>
        <v>-0.40538913618578426</v>
      </c>
      <c r="K112" s="104">
        <f t="shared" ref="K112" si="149">I112-H112</f>
        <v>-873.75</v>
      </c>
      <c r="L112" s="185">
        <f t="shared" ref="L112" si="150">K112/H112</f>
        <v>-2.4141408559666235</v>
      </c>
      <c r="M112" s="185">
        <f t="shared" si="146"/>
        <v>-1.247459114285018</v>
      </c>
      <c r="N112" s="187"/>
      <c r="O112" s="190"/>
    </row>
    <row r="113" spans="2:15">
      <c r="B113" s="176"/>
      <c r="C113" s="176"/>
      <c r="D113" s="176"/>
      <c r="E113" s="176"/>
      <c r="G113" s="176"/>
      <c r="H113" s="242"/>
      <c r="I113" s="41"/>
      <c r="K113" s="176"/>
      <c r="L113" s="176"/>
      <c r="M113" s="176"/>
      <c r="N113" s="187"/>
      <c r="O113" s="188"/>
    </row>
    <row r="114" spans="2:15">
      <c r="B114" s="197" t="s">
        <v>216</v>
      </c>
      <c r="C114" s="32"/>
      <c r="D114" s="32"/>
      <c r="E114" s="32"/>
      <c r="F114" s="32"/>
      <c r="G114" s="32"/>
      <c r="H114" s="286"/>
      <c r="I114" s="285"/>
      <c r="J114" s="32"/>
      <c r="K114" s="32"/>
      <c r="L114" s="32"/>
      <c r="M114" s="32"/>
      <c r="N114" s="187"/>
      <c r="O114" s="188"/>
    </row>
    <row r="115" spans="2:15">
      <c r="B115" s="20" t="s">
        <v>217</v>
      </c>
      <c r="C115" s="105">
        <v>53.85</v>
      </c>
      <c r="D115" s="66">
        <f t="shared" ref="D115:D118" si="151">C115/$C$7</f>
        <v>5.9995788596455078E-3</v>
      </c>
      <c r="E115" s="20"/>
      <c r="F115" s="106">
        <v>24.08</v>
      </c>
      <c r="G115" s="182">
        <f t="shared" ref="G115:G118" si="152">F115/$F$7</f>
        <v>4.6665400551147828E-3</v>
      </c>
      <c r="H115" s="358">
        <v>4.83</v>
      </c>
      <c r="I115" s="358">
        <v>12.66</v>
      </c>
      <c r="J115" s="182">
        <f t="shared" ref="J115:J118" si="153">I115/$I$7</f>
        <v>1.0027405072314541E-2</v>
      </c>
      <c r="K115" s="105">
        <f t="shared" ref="K115" si="154">I115-H115</f>
        <v>7.83</v>
      </c>
      <c r="L115" s="183">
        <f t="shared" ref="L115" si="155">K115/H115</f>
        <v>1.6211180124223603</v>
      </c>
      <c r="M115" s="183">
        <f t="shared" ref="M115:M118" si="156">I115/F115</f>
        <v>0.52574750830564787</v>
      </c>
      <c r="N115" s="187"/>
      <c r="O115" s="189"/>
    </row>
    <row r="116" spans="2:15">
      <c r="B116" s="20" t="s">
        <v>218</v>
      </c>
      <c r="C116" s="105">
        <v>44.64</v>
      </c>
      <c r="D116" s="66">
        <f t="shared" si="151"/>
        <v>4.9734670435390054E-3</v>
      </c>
      <c r="E116" s="20"/>
      <c r="F116" s="106">
        <v>22.06</v>
      </c>
      <c r="G116" s="182">
        <f t="shared" si="152"/>
        <v>4.2750778079664502E-3</v>
      </c>
      <c r="H116" s="358">
        <v>3.99</v>
      </c>
      <c r="I116" s="358">
        <v>8.08</v>
      </c>
      <c r="J116" s="182">
        <f t="shared" si="153"/>
        <v>6.3997972341470373E-3</v>
      </c>
      <c r="K116" s="105">
        <f>I116-H116</f>
        <v>4.09</v>
      </c>
      <c r="L116" s="183">
        <f>K116/H116</f>
        <v>1.0250626566416039</v>
      </c>
      <c r="M116" s="183">
        <f t="shared" si="156"/>
        <v>0.3662737987307344</v>
      </c>
      <c r="N116" s="187"/>
      <c r="O116" s="189"/>
    </row>
    <row r="117" spans="2:15">
      <c r="B117" s="245" t="s">
        <v>219</v>
      </c>
      <c r="C117" s="20">
        <v>36.159999999999997</v>
      </c>
      <c r="D117" s="66">
        <f t="shared" si="151"/>
        <v>4.0286865657341046E-3</v>
      </c>
      <c r="E117" s="20"/>
      <c r="F117" s="56">
        <v>21.24</v>
      </c>
      <c r="G117" s="182">
        <f t="shared" si="152"/>
        <v>4.1161673908072256E-3</v>
      </c>
      <c r="H117" s="358">
        <v>3.71</v>
      </c>
      <c r="I117" s="358">
        <v>3.84</v>
      </c>
      <c r="J117" s="182">
        <f t="shared" si="153"/>
        <v>3.0414877944461164E-3</v>
      </c>
      <c r="K117" s="105">
        <f t="shared" ref="K117" si="157">I117-H117</f>
        <v>0.12999999999999989</v>
      </c>
      <c r="L117" s="183">
        <f t="shared" ref="L117" si="158">K117/H117</f>
        <v>3.5040431266846334E-2</v>
      </c>
      <c r="M117" s="183">
        <f t="shared" si="156"/>
        <v>0.1807909604519774</v>
      </c>
      <c r="N117" s="187"/>
      <c r="O117" s="189"/>
    </row>
    <row r="118" spans="2:15">
      <c r="B118" s="27" t="s">
        <v>128</v>
      </c>
      <c r="C118" s="104">
        <f>SUM(C115:C117)</f>
        <v>134.65</v>
      </c>
      <c r="D118" s="67">
        <f t="shared" si="151"/>
        <v>1.5001732468918618E-2</v>
      </c>
      <c r="E118" s="27"/>
      <c r="F118" s="25">
        <f>SUM(F115:F117)</f>
        <v>67.38</v>
      </c>
      <c r="G118" s="184">
        <f t="shared" si="152"/>
        <v>1.3057785253888459E-2</v>
      </c>
      <c r="H118" s="287">
        <f>SUM(H115:H117)</f>
        <v>12.530000000000001</v>
      </c>
      <c r="I118" s="26">
        <f>SUM(I115:I117)</f>
        <v>24.580000000000002</v>
      </c>
      <c r="J118" s="184">
        <f t="shared" si="153"/>
        <v>1.9468690100907696E-2</v>
      </c>
      <c r="K118" s="104">
        <f t="shared" ref="K118" si="159">I118-H118</f>
        <v>12.05</v>
      </c>
      <c r="L118" s="185">
        <f t="shared" ref="L118" si="160">K118/H118</f>
        <v>0.96169193934557062</v>
      </c>
      <c r="M118" s="185">
        <f t="shared" si="156"/>
        <v>0.36479667557138623</v>
      </c>
      <c r="N118" s="187"/>
      <c r="O118" s="190"/>
    </row>
    <row r="119" spans="2:15">
      <c r="H119" s="136"/>
    </row>
    <row r="121" spans="2:15">
      <c r="C121" s="34"/>
    </row>
    <row r="122" spans="2:15">
      <c r="C122" s="31"/>
    </row>
    <row r="123" spans="2:15">
      <c r="C123" s="31"/>
    </row>
    <row r="124" spans="2:1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04" right="0.31496062992126" top="0.893700787" bottom="0.15748031496063" header="0" footer="0"/>
  <pageSetup scale="75"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E26" sqref="E26"/>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277</v>
      </c>
      <c r="C1" s="36"/>
    </row>
    <row r="2" spans="1:14">
      <c r="K2" s="36" t="s">
        <v>148</v>
      </c>
    </row>
    <row r="3" spans="1:14" s="36" customFormat="1" ht="15" customHeight="1">
      <c r="B3" s="408" t="s">
        <v>149</v>
      </c>
      <c r="C3" s="414" t="s">
        <v>293</v>
      </c>
      <c r="D3" s="416" t="str">
        <f>'PU Wise OWE'!$B$7</f>
        <v>Actual up to April-23</v>
      </c>
      <c r="E3" s="414" t="s">
        <v>171</v>
      </c>
      <c r="F3" s="414"/>
      <c r="G3" s="434" t="str">
        <f>'PU Wise OWE'!$B$5</f>
        <v>Vote On Acc 2024-25</v>
      </c>
      <c r="H3" s="414" t="s">
        <v>310</v>
      </c>
      <c r="I3" s="416" t="str">
        <f>'PU Wise OWE'!B8</f>
        <v>Actual up to April-24</v>
      </c>
      <c r="J3" s="414" t="s">
        <v>203</v>
      </c>
      <c r="K3" s="418" t="s">
        <v>145</v>
      </c>
      <c r="L3" s="418"/>
      <c r="M3" s="385" t="s">
        <v>305</v>
      </c>
      <c r="N3" s="430"/>
    </row>
    <row r="4" spans="1:14" ht="15.6" customHeight="1">
      <c r="A4" s="31"/>
      <c r="B4" s="409"/>
      <c r="C4" s="415"/>
      <c r="D4" s="415"/>
      <c r="E4" s="415"/>
      <c r="F4" s="415"/>
      <c r="G4" s="409"/>
      <c r="H4" s="415"/>
      <c r="I4" s="415"/>
      <c r="J4" s="415"/>
      <c r="K4" s="19" t="s">
        <v>143</v>
      </c>
      <c r="L4" s="18" t="s">
        <v>144</v>
      </c>
      <c r="M4" s="385"/>
      <c r="N4" s="430"/>
    </row>
    <row r="5" spans="1:14">
      <c r="A5" s="31"/>
      <c r="B5" s="61" t="s">
        <v>146</v>
      </c>
      <c r="C5" s="22">
        <v>4575.6000000000004</v>
      </c>
      <c r="D5" s="70">
        <f>ROUND('PU Wise OWE'!$AD$128/10000,2)</f>
        <v>604.54</v>
      </c>
      <c r="E5" s="66">
        <f>D5/D7</f>
        <v>0.48921690013190577</v>
      </c>
      <c r="F5" s="66"/>
      <c r="G5" s="22">
        <f>ROUND('PU Wise OWE'!$AD$126/10000,2)</f>
        <v>3258.73</v>
      </c>
      <c r="H5" s="66">
        <f>G5/G7</f>
        <v>0.63151968745034048</v>
      </c>
      <c r="I5" s="23">
        <f>ROUND('PU Wise OWE'!$AD$129/10000,2)</f>
        <v>635.62</v>
      </c>
      <c r="J5" s="24">
        <f>I5/$I$7</f>
        <v>1.4233697599426729</v>
      </c>
      <c r="K5" s="22">
        <f>I5-D5</f>
        <v>31.080000000000041</v>
      </c>
      <c r="L5" s="52">
        <f>K5/D5</f>
        <v>5.1410990174347505E-2</v>
      </c>
      <c r="M5" s="52">
        <f>I5/G5</f>
        <v>0.19505144642237926</v>
      </c>
    </row>
    <row r="6" spans="1:14">
      <c r="A6" s="31"/>
      <c r="B6" s="78" t="s">
        <v>142</v>
      </c>
      <c r="C6" s="21">
        <v>3242.41</v>
      </c>
      <c r="D6" s="70">
        <f>D7-D5</f>
        <v>631.19000000000005</v>
      </c>
      <c r="E6" s="66">
        <f>D6/D7</f>
        <v>0.51078309986809423</v>
      </c>
      <c r="F6" s="66"/>
      <c r="G6" s="21">
        <f t="shared" ref="G6:I6" si="0">G7-G5</f>
        <v>1901.4100000000003</v>
      </c>
      <c r="H6" s="66">
        <f>G6/G7</f>
        <v>0.36848031254965952</v>
      </c>
      <c r="I6" s="21">
        <f t="shared" si="0"/>
        <v>-189.06</v>
      </c>
      <c r="J6" s="24">
        <f t="shared" ref="J6:J7" si="1">I6/$I$7</f>
        <v>-0.4233697599426729</v>
      </c>
      <c r="K6" s="22">
        <f>I6-D6</f>
        <v>-820.25</v>
      </c>
      <c r="L6" s="52">
        <f>K6/D6</f>
        <v>-1.2995294602259224</v>
      </c>
      <c r="M6" s="52">
        <f>I6/G6</f>
        <v>-9.943147453731703E-2</v>
      </c>
    </row>
    <row r="7" spans="1:14">
      <c r="A7" s="31"/>
      <c r="B7" s="27" t="s">
        <v>169</v>
      </c>
      <c r="C7" s="104">
        <f>SUM(C5:C6)</f>
        <v>7818.01</v>
      </c>
      <c r="D7" s="71">
        <f>ROUND('PU Wise OWE'!BK128/10000,2)</f>
        <v>1235.73</v>
      </c>
      <c r="E7" s="67">
        <f>SUM(E5:E6)</f>
        <v>1</v>
      </c>
      <c r="F7" s="67"/>
      <c r="G7" s="26">
        <f>ROUND('PU Wise OWE'!BK126/10000,2)</f>
        <v>5160.1400000000003</v>
      </c>
      <c r="H7" s="67">
        <f>SUM(H5:H6)</f>
        <v>1</v>
      </c>
      <c r="I7" s="25">
        <f>ROUND('PU Wise OWE'!BK129/10000,2)</f>
        <v>446.56</v>
      </c>
      <c r="J7" s="54">
        <f t="shared" si="1"/>
        <v>1</v>
      </c>
      <c r="K7" s="26">
        <f>I7-D7</f>
        <v>-789.17000000000007</v>
      </c>
      <c r="L7" s="55">
        <f>K7/D7</f>
        <v>-0.63862656081830182</v>
      </c>
      <c r="M7" s="52">
        <f>I7/G7</f>
        <v>8.6540287666613688E-2</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170</v>
      </c>
      <c r="C10" s="62"/>
      <c r="D10" s="73"/>
      <c r="E10" s="63"/>
      <c r="F10" s="63"/>
      <c r="G10" s="63"/>
      <c r="H10" s="63"/>
      <c r="I10" s="63"/>
      <c r="J10" s="63"/>
      <c r="K10" s="36" t="s">
        <v>148</v>
      </c>
    </row>
    <row r="11" spans="1:14" ht="15" customHeight="1">
      <c r="A11" s="31"/>
      <c r="B11" s="406"/>
      <c r="C11" s="406" t="s">
        <v>293</v>
      </c>
      <c r="D11" s="417" t="str">
        <f>'PU Wise OWE'!$B$7</f>
        <v>Actual up to April-23</v>
      </c>
      <c r="E11" s="406" t="s">
        <v>171</v>
      </c>
      <c r="F11" s="406"/>
      <c r="G11" s="435" t="str">
        <f>'PU Wise OWE'!$B$5</f>
        <v>Vote On Acc 2024-25</v>
      </c>
      <c r="H11" s="406" t="s">
        <v>310</v>
      </c>
      <c r="I11" s="417" t="str">
        <f>'PU Wise OWE'!B8</f>
        <v>Actual up to April-24</v>
      </c>
      <c r="J11" s="406" t="s">
        <v>203</v>
      </c>
      <c r="K11" s="403" t="s">
        <v>145</v>
      </c>
      <c r="L11" s="403"/>
      <c r="M11" s="386" t="s">
        <v>305</v>
      </c>
      <c r="N11" s="430" t="s">
        <v>206</v>
      </c>
    </row>
    <row r="12" spans="1:14" ht="17.25" customHeight="1">
      <c r="A12" s="31"/>
      <c r="B12" s="407"/>
      <c r="C12" s="407"/>
      <c r="D12" s="407"/>
      <c r="E12" s="407"/>
      <c r="F12" s="407"/>
      <c r="G12" s="436"/>
      <c r="H12" s="407"/>
      <c r="I12" s="407"/>
      <c r="J12" s="407"/>
      <c r="K12" s="64" t="s">
        <v>143</v>
      </c>
      <c r="L12" s="65" t="s">
        <v>144</v>
      </c>
      <c r="M12" s="386"/>
      <c r="N12" s="430"/>
    </row>
    <row r="13" spans="1:14">
      <c r="A13" s="31"/>
      <c r="B13" s="20" t="s">
        <v>150</v>
      </c>
      <c r="C13" s="105">
        <v>2522.8000000000002</v>
      </c>
      <c r="D13" s="70">
        <f>ROUND('PU Wise OWE'!$C$128/10000,2)</f>
        <v>234</v>
      </c>
      <c r="E13" s="66">
        <f>D13/$D$7</f>
        <v>0.18936175378116579</v>
      </c>
      <c r="F13" s="21"/>
      <c r="G13" s="22">
        <f>ROUND('PU Wise OWE'!$C$126/10000,2)</f>
        <v>1262.4100000000001</v>
      </c>
      <c r="H13" s="24">
        <f>G13/$G$7</f>
        <v>0.24464646308045906</v>
      </c>
      <c r="I13" s="23">
        <f>ROUND('PU Wise OWE'!$C$129/10000,2)</f>
        <v>249.65</v>
      </c>
      <c r="J13" s="24">
        <f>I13/$I$7</f>
        <v>0.55905141526334645</v>
      </c>
      <c r="K13" s="22">
        <f t="shared" ref="K13:K28" si="2">I13-D13</f>
        <v>15.650000000000006</v>
      </c>
      <c r="L13" s="52">
        <f t="shared" ref="L13:L28" si="3">K13/D13</f>
        <v>6.6880341880341906E-2</v>
      </c>
      <c r="M13" s="52">
        <f>I13/G13</f>
        <v>0.19775667176273951</v>
      </c>
    </row>
    <row r="14" spans="1:14">
      <c r="A14" s="31"/>
      <c r="B14" s="20" t="s">
        <v>151</v>
      </c>
      <c r="C14" s="105">
        <v>441.91</v>
      </c>
      <c r="D14" s="70">
        <f>ROUND('PU Wise OWE'!$D$128/10000,2)</f>
        <v>126.32</v>
      </c>
      <c r="E14" s="66">
        <f t="shared" ref="E14:E27" si="4">D14/$D$7</f>
        <v>0.10222297751126863</v>
      </c>
      <c r="F14" s="21"/>
      <c r="G14" s="22">
        <f>ROUND('PU Wise OWE'!$D$126/10000,2)</f>
        <v>790.99</v>
      </c>
      <c r="H14" s="24">
        <f t="shared" ref="H14:H27" si="5">G14/$G$7</f>
        <v>0.15328847666923764</v>
      </c>
      <c r="I14" s="23">
        <f>ROUND('PU Wise OWE'!$D$129/10000,2)</f>
        <v>153.30000000000001</v>
      </c>
      <c r="J14" s="24">
        <f t="shared" ref="J14:J28" si="6">I14/$I$7</f>
        <v>0.34329093514869224</v>
      </c>
      <c r="K14" s="22">
        <f t="shared" si="2"/>
        <v>26.980000000000018</v>
      </c>
      <c r="L14" s="52">
        <f t="shared" si="3"/>
        <v>0.21358454718176076</v>
      </c>
      <c r="M14" s="52">
        <f t="shared" ref="M14:M27" si="7">I14/G14</f>
        <v>0.19380775989582677</v>
      </c>
    </row>
    <row r="15" spans="1:14">
      <c r="B15" s="23" t="s">
        <v>172</v>
      </c>
      <c r="C15" s="22">
        <v>98.2</v>
      </c>
      <c r="D15" s="70">
        <f>ROUND('PU Wise OWE'!$E$128/10000,2)</f>
        <v>0.1</v>
      </c>
      <c r="E15" s="66">
        <f t="shared" si="4"/>
        <v>8.0923826402207609E-5</v>
      </c>
      <c r="F15" s="21"/>
      <c r="G15" s="22">
        <f>ROUND('PU Wise OWE'!$E$126/10000,2)</f>
        <v>0</v>
      </c>
      <c r="H15" s="24">
        <f t="shared" si="5"/>
        <v>0</v>
      </c>
      <c r="I15" s="23">
        <f>ROUND('PU Wise OWE'!$E$129/10000,2)</f>
        <v>0.06</v>
      </c>
      <c r="J15" s="24">
        <f t="shared" si="6"/>
        <v>1.3436044428520244E-4</v>
      </c>
      <c r="K15" s="22">
        <f t="shared" si="2"/>
        <v>-4.0000000000000008E-2</v>
      </c>
      <c r="L15" s="52">
        <f t="shared" si="3"/>
        <v>-0.40000000000000008</v>
      </c>
      <c r="M15" s="52" t="e">
        <f t="shared" si="7"/>
        <v>#DIV/0!</v>
      </c>
    </row>
    <row r="16" spans="1:14">
      <c r="B16" s="23" t="s">
        <v>173</v>
      </c>
      <c r="C16" s="22">
        <v>264.85000000000002</v>
      </c>
      <c r="D16" s="70">
        <f>ROUND('PU Wise OWE'!$F$128/10000,2)</f>
        <v>28.36</v>
      </c>
      <c r="E16" s="66">
        <f t="shared" si="4"/>
        <v>2.2949997167666075E-2</v>
      </c>
      <c r="F16" s="21"/>
      <c r="G16" s="22">
        <f>ROUND('PU Wise OWE'!$F$126/10000,2)</f>
        <v>184.56</v>
      </c>
      <c r="H16" s="24">
        <f t="shared" si="5"/>
        <v>3.5766471452324936E-2</v>
      </c>
      <c r="I16" s="23">
        <f>ROUND('PU Wise OWE'!$F$129/10000,2)</f>
        <v>30.65</v>
      </c>
      <c r="J16" s="24">
        <f t="shared" si="6"/>
        <v>6.8635793622357569E-2</v>
      </c>
      <c r="K16" s="22">
        <f t="shared" si="2"/>
        <v>2.2899999999999991</v>
      </c>
      <c r="L16" s="52">
        <f t="shared" si="3"/>
        <v>8.0747531734837771E-2</v>
      </c>
      <c r="M16" s="52">
        <f t="shared" si="7"/>
        <v>0.16607065452969222</v>
      </c>
    </row>
    <row r="17" spans="1:14">
      <c r="B17" s="23" t="s">
        <v>174</v>
      </c>
      <c r="C17" s="22">
        <v>134.78</v>
      </c>
      <c r="D17" s="70">
        <f>ROUND('PU Wise OWE'!$G$128/10000,2)</f>
        <v>16.350000000000001</v>
      </c>
      <c r="E17" s="66">
        <f t="shared" si="4"/>
        <v>1.3231045616760945E-2</v>
      </c>
      <c r="F17" s="21"/>
      <c r="G17" s="22">
        <f>ROUND('PU Wise OWE'!$G$126/10000,2)</f>
        <v>92.82</v>
      </c>
      <c r="H17" s="24">
        <f t="shared" si="5"/>
        <v>1.7987884049657565E-2</v>
      </c>
      <c r="I17" s="23">
        <f>ROUND('PU Wise OWE'!$G$129/10000,2)</f>
        <v>18.5</v>
      </c>
      <c r="J17" s="24">
        <f t="shared" si="6"/>
        <v>4.1427803654604085E-2</v>
      </c>
      <c r="K17" s="22">
        <f t="shared" si="2"/>
        <v>2.1499999999999986</v>
      </c>
      <c r="L17" s="52">
        <f t="shared" si="3"/>
        <v>0.13149847094801215</v>
      </c>
      <c r="M17" s="52">
        <f t="shared" si="7"/>
        <v>0.1993104934281405</v>
      </c>
    </row>
    <row r="18" spans="1:14">
      <c r="A18" s="31"/>
      <c r="B18" s="20" t="s">
        <v>152</v>
      </c>
      <c r="C18" s="105">
        <v>247.05</v>
      </c>
      <c r="D18" s="70">
        <f>ROUND('PU Wise OWE'!$H$128/10000,2)</f>
        <v>35.26</v>
      </c>
      <c r="E18" s="66">
        <f t="shared" si="4"/>
        <v>2.8533741189418399E-2</v>
      </c>
      <c r="F18" s="21"/>
      <c r="G18" s="22">
        <f>ROUND('PU Wise OWE'!$H$126/10000,2)</f>
        <v>276.83</v>
      </c>
      <c r="H18" s="24">
        <f t="shared" si="5"/>
        <v>5.3647769246570824E-2</v>
      </c>
      <c r="I18" s="23">
        <f>ROUND('PU Wise OWE'!$H$129/10000,2)</f>
        <v>40.99</v>
      </c>
      <c r="J18" s="24">
        <f t="shared" si="6"/>
        <v>9.1790576854174133E-2</v>
      </c>
      <c r="K18" s="22">
        <f t="shared" si="2"/>
        <v>5.730000000000004</v>
      </c>
      <c r="L18" s="52">
        <f t="shared" si="3"/>
        <v>0.16250709018718107</v>
      </c>
      <c r="M18" s="52">
        <f t="shared" si="7"/>
        <v>0.14806921215186217</v>
      </c>
    </row>
    <row r="19" spans="1:14" ht="45" customHeight="1">
      <c r="A19" s="31"/>
      <c r="B19" s="56" t="s">
        <v>153</v>
      </c>
      <c r="C19" s="106">
        <v>188.24</v>
      </c>
      <c r="D19" s="70">
        <f>ROUND('PU Wise OWE'!$J$128/10000,2)</f>
        <v>40.380000000000003</v>
      </c>
      <c r="E19" s="66">
        <f t="shared" si="4"/>
        <v>3.2677041101211432E-2</v>
      </c>
      <c r="F19" s="21"/>
      <c r="G19" s="22">
        <f>ROUND('PU Wise OWE'!$J$126/10000,2)</f>
        <v>144.32</v>
      </c>
      <c r="H19" s="24">
        <f t="shared" si="5"/>
        <v>2.7968233420023483E-2</v>
      </c>
      <c r="I19" s="23">
        <f>ROUND('PU Wise OWE'!$J$129/10000,2)</f>
        <v>26.27</v>
      </c>
      <c r="J19" s="24">
        <f t="shared" si="6"/>
        <v>5.8827481189537796E-2</v>
      </c>
      <c r="K19" s="22">
        <f t="shared" si="2"/>
        <v>-14.110000000000003</v>
      </c>
      <c r="L19" s="52">
        <f t="shared" si="3"/>
        <v>-0.34943041109460132</v>
      </c>
      <c r="M19" s="52">
        <f t="shared" si="7"/>
        <v>0.18202605321507762</v>
      </c>
      <c r="N19" s="69"/>
    </row>
    <row r="20" spans="1:14">
      <c r="A20" s="31"/>
      <c r="B20" s="20" t="s">
        <v>154</v>
      </c>
      <c r="C20" s="105">
        <v>12.03</v>
      </c>
      <c r="D20" s="70">
        <f>ROUND('PU Wise OWE'!$K$128/10000,2)</f>
        <v>3.1</v>
      </c>
      <c r="E20" s="66">
        <f t="shared" si="4"/>
        <v>2.5086386184684359E-3</v>
      </c>
      <c r="F20" s="21"/>
      <c r="G20" s="22">
        <f>ROUND('PU Wise OWE'!$K$126/10000,2)</f>
        <v>9.0299999999999994</v>
      </c>
      <c r="H20" s="24">
        <f t="shared" si="5"/>
        <v>1.7499525206680436E-3</v>
      </c>
      <c r="I20" s="23">
        <f>ROUND('PU Wise OWE'!$K$129/10000,2)</f>
        <v>1.1399999999999999</v>
      </c>
      <c r="J20" s="24">
        <f t="shared" si="6"/>
        <v>2.5528484414188463E-3</v>
      </c>
      <c r="K20" s="22">
        <f t="shared" si="2"/>
        <v>-1.9600000000000002</v>
      </c>
      <c r="L20" s="52">
        <f t="shared" si="3"/>
        <v>-0.63225806451612909</v>
      </c>
      <c r="M20" s="52">
        <f t="shared" si="7"/>
        <v>0.12624584717607973</v>
      </c>
    </row>
    <row r="21" spans="1:14">
      <c r="A21" s="31"/>
      <c r="B21" s="20" t="s">
        <v>155</v>
      </c>
      <c r="C21" s="105">
        <v>48.93</v>
      </c>
      <c r="D21" s="70">
        <f>ROUND('PU Wise OWE'!$L$128/10000,2)</f>
        <v>15.11</v>
      </c>
      <c r="E21" s="66">
        <f t="shared" si="4"/>
        <v>1.2227590169373567E-2</v>
      </c>
      <c r="F21" s="21"/>
      <c r="G21" s="22">
        <f>ROUND('PU Wise OWE'!$L$126/10000,2)</f>
        <v>39.19</v>
      </c>
      <c r="H21" s="24">
        <f t="shared" si="5"/>
        <v>7.5947551810609778E-3</v>
      </c>
      <c r="I21" s="23">
        <f>ROUND('PU Wise OWE'!$L$129/10000,2)</f>
        <v>9.67</v>
      </c>
      <c r="J21" s="24">
        <f t="shared" si="6"/>
        <v>2.165442493729846E-2</v>
      </c>
      <c r="K21" s="22">
        <f t="shared" si="2"/>
        <v>-5.4399999999999995</v>
      </c>
      <c r="L21" s="52">
        <f t="shared" si="3"/>
        <v>-0.36002647253474518</v>
      </c>
      <c r="M21" s="52">
        <f t="shared" si="7"/>
        <v>0.24674661903546824</v>
      </c>
      <c r="N21" s="69"/>
    </row>
    <row r="22" spans="1:14">
      <c r="A22" s="31"/>
      <c r="B22" s="20" t="s">
        <v>177</v>
      </c>
      <c r="C22" s="105">
        <v>120.4</v>
      </c>
      <c r="D22" s="70">
        <f>ROUND('PU Wise OWE'!$M$128/10000,2)</f>
        <v>13.04</v>
      </c>
      <c r="E22" s="66">
        <f t="shared" si="4"/>
        <v>1.0552466962847871E-2</v>
      </c>
      <c r="F22" s="21"/>
      <c r="G22" s="22">
        <f>ROUND('PU Wise OWE'!$M$126/10000,2)</f>
        <v>69.760000000000005</v>
      </c>
      <c r="H22" s="24">
        <f t="shared" si="5"/>
        <v>1.3519013050033526E-2</v>
      </c>
      <c r="I22" s="23">
        <f>ROUND('PU Wise OWE'!$M$129/10000,2)</f>
        <v>12.13</v>
      </c>
      <c r="J22" s="24">
        <f t="shared" si="6"/>
        <v>2.7163203152991762E-2</v>
      </c>
      <c r="K22" s="22">
        <f t="shared" si="2"/>
        <v>-0.90999999999999837</v>
      </c>
      <c r="L22" s="52">
        <f t="shared" si="3"/>
        <v>-6.9785276073619507E-2</v>
      </c>
      <c r="M22" s="52">
        <f t="shared" si="7"/>
        <v>0.17388188073394495</v>
      </c>
      <c r="N22" s="69"/>
    </row>
    <row r="23" spans="1:14">
      <c r="A23" s="31"/>
      <c r="B23" s="56" t="s">
        <v>156</v>
      </c>
      <c r="C23" s="106">
        <v>88.73</v>
      </c>
      <c r="D23" s="70">
        <f>ROUND('PU Wise OWE'!$P$128/10000,2)</f>
        <v>21.44</v>
      </c>
      <c r="E23" s="66">
        <f t="shared" si="4"/>
        <v>1.7350068380633309E-2</v>
      </c>
      <c r="F23" s="21"/>
      <c r="G23" s="22">
        <f>ROUND('PU Wise OWE'!$P$126/10000,2)</f>
        <v>60.4</v>
      </c>
      <c r="H23" s="24">
        <f t="shared" si="5"/>
        <v>1.1705108776118476E-2</v>
      </c>
      <c r="I23" s="23">
        <f>ROUND('PU Wise OWE'!$P$129/10000,2)</f>
        <v>15.45</v>
      </c>
      <c r="J23" s="24">
        <f t="shared" si="6"/>
        <v>3.4597814403439626E-2</v>
      </c>
      <c r="K23" s="22">
        <f t="shared" si="2"/>
        <v>-5.990000000000002</v>
      </c>
      <c r="L23" s="52">
        <f t="shared" si="3"/>
        <v>-0.27938432835820903</v>
      </c>
      <c r="M23" s="52">
        <f t="shared" si="7"/>
        <v>0.25579470198675497</v>
      </c>
    </row>
    <row r="24" spans="1:14">
      <c r="B24" s="56" t="s">
        <v>157</v>
      </c>
      <c r="C24" s="106">
        <v>81.78</v>
      </c>
      <c r="D24" s="70">
        <f>ROUND('PU Wise OWE'!$S$128/10000,2)</f>
        <v>23.33</v>
      </c>
      <c r="E24" s="66">
        <f t="shared" si="4"/>
        <v>1.8879528699635034E-2</v>
      </c>
      <c r="F24" s="21"/>
      <c r="G24" s="22">
        <f>ROUND('PU Wise OWE'!$S$126/10000,2)</f>
        <v>98.99</v>
      </c>
      <c r="H24" s="24">
        <f t="shared" si="5"/>
        <v>1.9183588042184899E-2</v>
      </c>
      <c r="I24" s="23">
        <f>ROUND('PU Wise OWE'!$S$129/10000,2)</f>
        <v>4.3600000000000003</v>
      </c>
      <c r="J24" s="24">
        <f t="shared" si="6"/>
        <v>9.7635256180580443E-3</v>
      </c>
      <c r="K24" s="22">
        <f t="shared" si="2"/>
        <v>-18.97</v>
      </c>
      <c r="L24" s="52">
        <f t="shared" si="3"/>
        <v>-0.81311615945135018</v>
      </c>
      <c r="M24" s="52">
        <f t="shared" si="7"/>
        <v>4.404485301545611E-2</v>
      </c>
      <c r="N24" s="69"/>
    </row>
    <row r="25" spans="1:14">
      <c r="B25" s="56" t="s">
        <v>158</v>
      </c>
      <c r="C25" s="106">
        <v>90.5</v>
      </c>
      <c r="D25" s="70">
        <f>ROUND('PU Wise OWE'!$T$128/10000,2)</f>
        <v>29.85</v>
      </c>
      <c r="E25" s="66">
        <f t="shared" si="4"/>
        <v>2.4155762181058971E-2</v>
      </c>
      <c r="F25" s="21"/>
      <c r="G25" s="22">
        <f>ROUND('PU Wise OWE'!$T$126/10000,2)</f>
        <v>83.93</v>
      </c>
      <c r="H25" s="24">
        <f t="shared" si="5"/>
        <v>1.6265062575821585E-2</v>
      </c>
      <c r="I25" s="23">
        <f>ROUND('PU Wise OWE'!$T$129/10000,2)</f>
        <v>53.04</v>
      </c>
      <c r="J25" s="24">
        <f t="shared" si="6"/>
        <v>0.11877463274811895</v>
      </c>
      <c r="K25" s="22">
        <f t="shared" si="2"/>
        <v>23.189999999999998</v>
      </c>
      <c r="L25" s="52">
        <f t="shared" si="3"/>
        <v>0.77688442211055264</v>
      </c>
      <c r="M25" s="52">
        <f t="shared" si="7"/>
        <v>0.63195520076254019</v>
      </c>
    </row>
    <row r="26" spans="1:14">
      <c r="B26" s="56" t="s">
        <v>176</v>
      </c>
      <c r="C26" s="106">
        <v>41.07</v>
      </c>
      <c r="D26" s="70">
        <f>ROUND('PU Wise OWE'!$V$128/10000,2)</f>
        <v>1.05</v>
      </c>
      <c r="E26" s="66">
        <f t="shared" si="4"/>
        <v>8.4970017722317982E-4</v>
      </c>
      <c r="F26" s="22"/>
      <c r="G26" s="22">
        <f>ROUND('PU Wise OWE'!$V$126/10000,2)</f>
        <v>36.56</v>
      </c>
      <c r="H26" s="24">
        <f t="shared" si="5"/>
        <v>7.0850790870015156E-3</v>
      </c>
      <c r="I26" s="23">
        <f>ROUND('PU Wise OWE'!$V$129/10000,2)</f>
        <v>2.2000000000000002</v>
      </c>
      <c r="J26" s="24">
        <f t="shared" si="6"/>
        <v>4.9265496237907566E-3</v>
      </c>
      <c r="K26" s="22">
        <f t="shared" si="2"/>
        <v>1.1500000000000001</v>
      </c>
      <c r="L26" s="52">
        <f t="shared" si="3"/>
        <v>1.0952380952380953</v>
      </c>
      <c r="M26" s="52">
        <f t="shared" si="7"/>
        <v>6.0175054704595186E-2</v>
      </c>
      <c r="N26" s="69"/>
    </row>
    <row r="27" spans="1:14">
      <c r="B27" s="56" t="s">
        <v>175</v>
      </c>
      <c r="C27" s="106">
        <v>169.78</v>
      </c>
      <c r="D27" s="70">
        <f>ROUND('PU Wise OWE'!$AC$128/10000,2)</f>
        <v>12.74</v>
      </c>
      <c r="E27" s="66">
        <f t="shared" si="4"/>
        <v>1.0309695483641249E-2</v>
      </c>
      <c r="F27" s="22"/>
      <c r="G27" s="22">
        <f>ROUND('PU Wise OWE'!$AC$126/10000,2)</f>
        <v>91.08</v>
      </c>
      <c r="H27" s="24">
        <f t="shared" si="5"/>
        <v>1.7650683896173358E-2</v>
      </c>
      <c r="I27" s="23">
        <f>ROUND('PU Wise OWE'!$AC$129/10000,2)</f>
        <v>14.87</v>
      </c>
      <c r="J27" s="24">
        <f t="shared" si="6"/>
        <v>3.3298996775349338E-2</v>
      </c>
      <c r="K27" s="22">
        <f t="shared" si="2"/>
        <v>2.129999999999999</v>
      </c>
      <c r="L27" s="52">
        <f t="shared" si="3"/>
        <v>0.16718995290423855</v>
      </c>
      <c r="M27" s="52">
        <f t="shared" si="7"/>
        <v>0.16326306543697847</v>
      </c>
    </row>
    <row r="28" spans="1:14">
      <c r="B28" s="25" t="s">
        <v>147</v>
      </c>
      <c r="C28" s="26">
        <f>SUM(C13:C27)</f>
        <v>4551.0499999999993</v>
      </c>
      <c r="D28" s="74">
        <f>SUM(D13:D27)</f>
        <v>600.43000000000018</v>
      </c>
      <c r="E28" s="54">
        <f>SUM(E13:E27)</f>
        <v>0.48589093086677526</v>
      </c>
      <c r="F28" s="26"/>
      <c r="G28" s="26">
        <f>G5</f>
        <v>3258.73</v>
      </c>
      <c r="H28" s="54">
        <f t="shared" ref="H28:I28" si="8">SUM(H13:H27)</f>
        <v>0.62805854104733605</v>
      </c>
      <c r="I28" s="26">
        <f t="shared" si="8"/>
        <v>632.28000000000009</v>
      </c>
      <c r="J28" s="54">
        <f t="shared" si="6"/>
        <v>1.4158903618774634</v>
      </c>
      <c r="K28" s="26">
        <f t="shared" si="2"/>
        <v>31.849999999999909</v>
      </c>
      <c r="L28" s="55">
        <f t="shared" si="3"/>
        <v>5.3045317522442084E-2</v>
      </c>
    </row>
    <row r="29" spans="1:14">
      <c r="I29" s="68"/>
      <c r="J29" s="68"/>
    </row>
    <row r="31" spans="1:14">
      <c r="B31" s="75" t="s">
        <v>178</v>
      </c>
      <c r="C31" s="75"/>
      <c r="D31" s="76"/>
      <c r="E31" s="77"/>
      <c r="K31" t="s">
        <v>148</v>
      </c>
    </row>
    <row r="32" spans="1:14" ht="15" customHeight="1">
      <c r="B32" s="370"/>
      <c r="C32" s="397" t="s">
        <v>293</v>
      </c>
      <c r="D32" s="402" t="str">
        <f>'PU Wise OWE'!$B$7</f>
        <v>Actual up to April-23</v>
      </c>
      <c r="E32" s="397" t="s">
        <v>171</v>
      </c>
      <c r="F32" s="397"/>
      <c r="G32" s="431" t="str">
        <f>'PU Wise OWE'!$B$5</f>
        <v>Vote On Acc 2024-25</v>
      </c>
      <c r="H32" s="397" t="s">
        <v>310</v>
      </c>
      <c r="I32" s="402" t="str">
        <f>'PU Wise OWE'!B8</f>
        <v>Actual up to April-24</v>
      </c>
      <c r="J32" s="397" t="s">
        <v>203</v>
      </c>
      <c r="K32" s="369" t="s">
        <v>145</v>
      </c>
      <c r="L32" s="369"/>
      <c r="M32" s="370" t="s">
        <v>305</v>
      </c>
      <c r="N32" s="430" t="s">
        <v>206</v>
      </c>
    </row>
    <row r="33" spans="2:14" ht="17.25" customHeight="1">
      <c r="B33" s="370"/>
      <c r="C33" s="398"/>
      <c r="D33" s="398"/>
      <c r="E33" s="398"/>
      <c r="F33" s="398"/>
      <c r="G33" s="432"/>
      <c r="H33" s="398"/>
      <c r="I33" s="398"/>
      <c r="J33" s="398"/>
      <c r="K33" s="79" t="s">
        <v>143</v>
      </c>
      <c r="L33" s="80" t="s">
        <v>144</v>
      </c>
      <c r="M33" s="370"/>
      <c r="N33" s="430"/>
    </row>
    <row r="34" spans="2:14">
      <c r="B34" s="84" t="s">
        <v>179</v>
      </c>
      <c r="C34" s="107">
        <v>10.44</v>
      </c>
      <c r="D34" s="70">
        <f>ROUND(('PU Wise OWE'!$AE$128+'PU Wise OWE'!$AF$128)/10000,2)</f>
        <v>0.88</v>
      </c>
      <c r="E34" s="85">
        <f>D34/$D$7</f>
        <v>7.121296723394269E-4</v>
      </c>
      <c r="F34" s="21"/>
      <c r="G34" s="22">
        <f>ROUND(('PU Wise OWE'!$AE$126+'PU Wise OWE'!$AF$126)/10000,2)</f>
        <v>3.72</v>
      </c>
      <c r="H34" s="24">
        <f t="shared" ref="H34:H37" si="9">G34/$G$7</f>
        <v>7.2091067296623738E-4</v>
      </c>
      <c r="I34" s="23">
        <f>ROUND(('PU Wise OWE'!$AE$129+'PU Wise OWE'!$AF$129)/10000,2)</f>
        <v>0.97</v>
      </c>
      <c r="J34" s="24">
        <f t="shared" ref="J34:J37" si="10">I34/$I$7</f>
        <v>2.1721605159441058E-3</v>
      </c>
      <c r="K34" s="22">
        <f>I34-D34</f>
        <v>8.9999999999999969E-2</v>
      </c>
      <c r="L34" s="52">
        <f>K34/D34</f>
        <v>0.10227272727272724</v>
      </c>
      <c r="M34" s="52">
        <f t="shared" ref="M34:M37" si="11">I34/G34</f>
        <v>0.260752688172043</v>
      </c>
      <c r="N34" s="433"/>
    </row>
    <row r="35" spans="2:14" ht="16.5" customHeight="1">
      <c r="B35" s="84" t="s">
        <v>180</v>
      </c>
      <c r="C35" s="107">
        <v>21.76</v>
      </c>
      <c r="D35" s="70">
        <f>ROUND('PU Wise OWE'!$AG$128/10000,2)</f>
        <v>2.17</v>
      </c>
      <c r="E35" s="85">
        <f t="shared" ref="E35:E37" si="12">D35/$D$7</f>
        <v>1.7560470329279049E-3</v>
      </c>
      <c r="F35" s="21"/>
      <c r="G35" s="22">
        <f>ROUND('PU Wise OWE'!$AG$126/10000,2)</f>
        <v>8.61</v>
      </c>
      <c r="H35" s="24">
        <f t="shared" si="9"/>
        <v>1.6685593801718556E-3</v>
      </c>
      <c r="I35" s="23">
        <f>ROUND('PU Wise OWE'!$AG$129/10000,2)</f>
        <v>5.53</v>
      </c>
      <c r="J35" s="24">
        <f t="shared" si="10"/>
        <v>1.2383554281619491E-2</v>
      </c>
      <c r="K35" s="22">
        <f>I35-D35</f>
        <v>3.3600000000000003</v>
      </c>
      <c r="L35" s="52">
        <f>K35/D35</f>
        <v>1.5483870967741937</v>
      </c>
      <c r="M35" s="52">
        <f t="shared" si="11"/>
        <v>0.64227642276422769</v>
      </c>
      <c r="N35" s="433"/>
    </row>
    <row r="36" spans="2:14" ht="15.75" customHeight="1">
      <c r="B36" s="84" t="s">
        <v>181</v>
      </c>
      <c r="C36" s="107">
        <v>2.42</v>
      </c>
      <c r="D36" s="70">
        <f>ROUND('PU Wise OWE'!$AJ$128/10000,2)</f>
        <v>0.2</v>
      </c>
      <c r="E36" s="85">
        <f t="shared" si="12"/>
        <v>1.6184765280441522E-4</v>
      </c>
      <c r="F36" s="21"/>
      <c r="G36" s="22">
        <f>ROUND('PU Wise OWE'!$AJ$126/10000,2)</f>
        <v>1.98</v>
      </c>
      <c r="H36" s="24">
        <f t="shared" si="9"/>
        <v>3.8371051948202955E-4</v>
      </c>
      <c r="I36" s="23">
        <f>ROUND('PU Wise OWE'!$AJ$129/10000,2)</f>
        <v>0.3</v>
      </c>
      <c r="J36" s="24">
        <f t="shared" si="10"/>
        <v>6.7180222142601217E-4</v>
      </c>
      <c r="K36" s="22">
        <f>I36-D36</f>
        <v>9.9999999999999978E-2</v>
      </c>
      <c r="L36" s="52">
        <f>K36/D36</f>
        <v>0.49999999999999989</v>
      </c>
      <c r="M36" s="52">
        <f t="shared" si="11"/>
        <v>0.15151515151515152</v>
      </c>
      <c r="N36" s="433"/>
    </row>
    <row r="37" spans="2:14">
      <c r="B37" s="25" t="s">
        <v>147</v>
      </c>
      <c r="C37" s="26">
        <v>34.619999999999997</v>
      </c>
      <c r="D37" s="74">
        <f>SUM(D34:D36)</f>
        <v>3.25</v>
      </c>
      <c r="E37" s="86">
        <f t="shared" si="12"/>
        <v>2.6300243580717471E-3</v>
      </c>
      <c r="F37" s="26"/>
      <c r="G37" s="74">
        <f t="shared" ref="G37:I37" si="13">SUM(G34:G36)</f>
        <v>14.31</v>
      </c>
      <c r="H37" s="54">
        <f t="shared" si="9"/>
        <v>2.7731805726201224E-3</v>
      </c>
      <c r="I37" s="74">
        <f t="shared" si="13"/>
        <v>6.8</v>
      </c>
      <c r="J37" s="54">
        <f t="shared" si="10"/>
        <v>1.522751701898961E-2</v>
      </c>
      <c r="K37" s="26">
        <f>I37-D37</f>
        <v>3.55</v>
      </c>
      <c r="L37" s="55">
        <f>K37/D37</f>
        <v>1.0923076923076922</v>
      </c>
      <c r="M37" s="52">
        <f t="shared" si="11"/>
        <v>0.47519217330538083</v>
      </c>
    </row>
    <row r="39" spans="2:14">
      <c r="B39" s="82"/>
      <c r="C39" s="82"/>
      <c r="D39" s="83"/>
      <c r="E39" s="82"/>
      <c r="K39" t="s">
        <v>148</v>
      </c>
    </row>
    <row r="40" spans="2:14" ht="15" customHeight="1">
      <c r="B40" s="370" t="s">
        <v>162</v>
      </c>
      <c r="C40" s="397" t="s">
        <v>293</v>
      </c>
      <c r="D40" s="402" t="str">
        <f>'PU Wise OWE'!$B$7</f>
        <v>Actual up to April-23</v>
      </c>
      <c r="E40" s="397" t="s">
        <v>171</v>
      </c>
      <c r="F40" s="397"/>
      <c r="G40" s="431" t="str">
        <f>'PU Wise OWE'!$B$5</f>
        <v>Vote On Acc 2024-25</v>
      </c>
      <c r="H40" s="397" t="s">
        <v>310</v>
      </c>
      <c r="I40" s="402" t="str">
        <f>'PU Wise OWE'!B8</f>
        <v>Actual up to April-24</v>
      </c>
      <c r="J40" s="397" t="s">
        <v>203</v>
      </c>
      <c r="K40" s="369" t="s">
        <v>145</v>
      </c>
      <c r="L40" s="369"/>
      <c r="M40" s="370" t="s">
        <v>305</v>
      </c>
      <c r="N40" s="430" t="s">
        <v>206</v>
      </c>
    </row>
    <row r="41" spans="2:14">
      <c r="B41" s="370"/>
      <c r="C41" s="398"/>
      <c r="D41" s="398"/>
      <c r="E41" s="398"/>
      <c r="F41" s="398"/>
      <c r="G41" s="432"/>
      <c r="H41" s="398"/>
      <c r="I41" s="398"/>
      <c r="J41" s="398"/>
      <c r="K41" s="79" t="s">
        <v>143</v>
      </c>
      <c r="L41" s="80" t="s">
        <v>144</v>
      </c>
      <c r="M41" s="370"/>
      <c r="N41" s="430"/>
    </row>
    <row r="42" spans="2:14">
      <c r="B42" s="27" t="s">
        <v>163</v>
      </c>
      <c r="C42" s="104">
        <v>273.47000000000003</v>
      </c>
      <c r="D42" s="70">
        <f>SUM(D43:D47)</f>
        <v>21.64</v>
      </c>
      <c r="E42" s="85">
        <f t="shared" ref="E42:E49" si="14">D42/$D$7</f>
        <v>1.7511916033437724E-2</v>
      </c>
      <c r="F42" s="97"/>
      <c r="G42" s="21">
        <f>SUM(G43:G47)</f>
        <v>61.44</v>
      </c>
      <c r="H42" s="24">
        <f t="shared" ref="H42:H49" si="15">G42/$G$7</f>
        <v>1.190665369544237E-2</v>
      </c>
      <c r="I42" s="21">
        <f>SUM(I43:I47)</f>
        <v>9.5399999999999991</v>
      </c>
      <c r="J42" s="24">
        <f t="shared" ref="J42:J49" si="16">I42/$I$7</f>
        <v>2.1363310641347187E-2</v>
      </c>
      <c r="K42" s="22">
        <f t="shared" ref="K42:K49" si="17">I42-D42</f>
        <v>-12.100000000000001</v>
      </c>
      <c r="L42" s="52">
        <f t="shared" ref="L42:L49" si="18">K42/D42</f>
        <v>-0.55914972273567476</v>
      </c>
      <c r="M42" s="52">
        <f t="shared" ref="M42:M49" si="19">I42/G42</f>
        <v>0.1552734375</v>
      </c>
    </row>
    <row r="43" spans="2:14">
      <c r="B43" s="57" t="s">
        <v>159</v>
      </c>
      <c r="C43" s="21">
        <v>19.690000000000001</v>
      </c>
      <c r="D43" s="70">
        <f>ROUND('PU Wise OWE'!$AK$84/10000,2)</f>
        <v>3.21</v>
      </c>
      <c r="E43" s="85">
        <f t="shared" si="14"/>
        <v>2.5976548275108641E-3</v>
      </c>
      <c r="F43" s="97"/>
      <c r="G43" s="21">
        <f>ROUND('PU Wise OWE'!$AK$82/10000,2)</f>
        <v>6.75</v>
      </c>
      <c r="H43" s="24">
        <f t="shared" si="15"/>
        <v>1.3081040436887371E-3</v>
      </c>
      <c r="I43" s="21">
        <f>ROUND('PU Wise OWE'!$AK$85/10000,2)</f>
        <v>2.0299999999999998</v>
      </c>
      <c r="J43" s="24">
        <f t="shared" si="16"/>
        <v>4.5458616983160153E-3</v>
      </c>
      <c r="K43" s="22">
        <f t="shared" si="17"/>
        <v>-1.1800000000000002</v>
      </c>
      <c r="L43" s="52">
        <f t="shared" si="18"/>
        <v>-0.36760124610591904</v>
      </c>
      <c r="M43" s="52">
        <f t="shared" si="19"/>
        <v>0.3007407407407407</v>
      </c>
    </row>
    <row r="44" spans="2:14">
      <c r="B44" s="58" t="s">
        <v>166</v>
      </c>
      <c r="C44" s="108">
        <v>114.4</v>
      </c>
      <c r="D44" s="70">
        <f>ROUND('PU Wise OWE'!$AR$84/10000,2)</f>
        <v>1.9</v>
      </c>
      <c r="E44" s="85">
        <f t="shared" si="14"/>
        <v>1.5375527016419444E-3</v>
      </c>
      <c r="F44" s="97"/>
      <c r="G44" s="21">
        <f>ROUND('PU Wise OWE'!$AR$82/10000,2)</f>
        <v>5.31</v>
      </c>
      <c r="H44" s="24">
        <f t="shared" si="15"/>
        <v>1.0290418477018064E-3</v>
      </c>
      <c r="I44" s="21">
        <f>ROUND('PU Wise OWE'!$AR$85/10000,2)</f>
        <v>0.43</v>
      </c>
      <c r="J44" s="24">
        <f t="shared" si="16"/>
        <v>9.629165173772841E-4</v>
      </c>
      <c r="K44" s="22">
        <f t="shared" si="17"/>
        <v>-1.47</v>
      </c>
      <c r="L44" s="52">
        <f t="shared" si="18"/>
        <v>-0.77368421052631586</v>
      </c>
      <c r="M44" s="52">
        <f t="shared" si="19"/>
        <v>8.0979284369114876E-2</v>
      </c>
    </row>
    <row r="45" spans="2:14">
      <c r="B45" s="58" t="s">
        <v>167</v>
      </c>
      <c r="C45" s="108">
        <v>46.69</v>
      </c>
      <c r="D45" s="70">
        <f>ROUND('PU Wise OWE'!$AU$84/10000,2)</f>
        <v>1.59</v>
      </c>
      <c r="E45" s="85">
        <f t="shared" si="14"/>
        <v>1.2866888397951009E-3</v>
      </c>
      <c r="F45" s="97"/>
      <c r="G45" s="21">
        <f>ROUND('PU Wise OWE'!$AU$82/10000,2)</f>
        <v>3.63</v>
      </c>
      <c r="H45" s="24">
        <f t="shared" si="15"/>
        <v>7.0346928571705415E-4</v>
      </c>
      <c r="I45" s="21">
        <f>ROUND('PU Wise OWE'!$AU$85/10000,2)</f>
        <v>0.32</v>
      </c>
      <c r="J45" s="24">
        <f t="shared" si="16"/>
        <v>7.1658903618774638E-4</v>
      </c>
      <c r="K45" s="22">
        <f t="shared" si="17"/>
        <v>-1.27</v>
      </c>
      <c r="L45" s="52">
        <f t="shared" si="18"/>
        <v>-0.79874213836477981</v>
      </c>
      <c r="M45" s="52">
        <f t="shared" si="19"/>
        <v>8.8154269972451793E-2</v>
      </c>
    </row>
    <row r="46" spans="2:14">
      <c r="B46" s="57" t="s">
        <v>164</v>
      </c>
      <c r="C46" s="21">
        <v>54.55</v>
      </c>
      <c r="D46" s="70">
        <f>ROUND('PU Wise OWE'!$AZ$84/10000,2)</f>
        <v>0.1</v>
      </c>
      <c r="E46" s="85">
        <f t="shared" si="14"/>
        <v>8.0923826402207609E-5</v>
      </c>
      <c r="F46" s="97"/>
      <c r="G46" s="21">
        <f>ROUND('PU Wise OWE'!$AZ$82/10000,2)</f>
        <v>7.63</v>
      </c>
      <c r="H46" s="24">
        <f t="shared" si="15"/>
        <v>1.4786420523474168E-3</v>
      </c>
      <c r="I46" s="21">
        <f>ROUND('PU Wise OWE'!$AZ$85/10000,2)</f>
        <v>0.51</v>
      </c>
      <c r="J46" s="24">
        <f t="shared" si="16"/>
        <v>1.1420637764242207E-3</v>
      </c>
      <c r="K46" s="22">
        <f t="shared" si="17"/>
        <v>0.41000000000000003</v>
      </c>
      <c r="L46" s="52">
        <f t="shared" si="18"/>
        <v>4.0999999999999996</v>
      </c>
      <c r="M46" s="52">
        <f t="shared" si="19"/>
        <v>6.6841415465268672E-2</v>
      </c>
    </row>
    <row r="47" spans="2:14">
      <c r="B47" s="58" t="s">
        <v>165</v>
      </c>
      <c r="C47" s="108">
        <v>38.14</v>
      </c>
      <c r="D47" s="70">
        <f>ROUND('PU Wise OWE'!$BA$84/10000,2)</f>
        <v>14.84</v>
      </c>
      <c r="E47" s="85">
        <f t="shared" si="14"/>
        <v>1.2009095838087607E-2</v>
      </c>
      <c r="F47" s="97"/>
      <c r="G47" s="21">
        <f>ROUND('PU Wise OWE'!$BA$82/10000,2)</f>
        <v>38.119999999999997</v>
      </c>
      <c r="H47" s="24">
        <f t="shared" si="15"/>
        <v>7.3873964659873555E-3</v>
      </c>
      <c r="I47" s="21">
        <f>ROUND('PU Wise OWE'!$BA$85/10000,2)</f>
        <v>6.25</v>
      </c>
      <c r="J47" s="24">
        <f t="shared" si="16"/>
        <v>1.399587961304192E-2</v>
      </c>
      <c r="K47" s="22">
        <f t="shared" si="17"/>
        <v>-8.59</v>
      </c>
      <c r="L47" s="52">
        <f t="shared" si="18"/>
        <v>-0.57884097035040427</v>
      </c>
      <c r="M47" s="52">
        <f t="shared" si="19"/>
        <v>0.16395592864637987</v>
      </c>
    </row>
    <row r="48" spans="2:14">
      <c r="B48" s="59" t="s">
        <v>168</v>
      </c>
      <c r="C48" s="103">
        <v>663.48</v>
      </c>
      <c r="D48" s="70">
        <f>ROUND('PU Wise OWE'!$AM$84/10000,2)-ROUND('PU Wise OWE'!$BJ$84/10000,2)</f>
        <v>91.17</v>
      </c>
      <c r="E48" s="85">
        <f t="shared" si="14"/>
        <v>7.3778252530892666E-2</v>
      </c>
      <c r="F48" s="97"/>
      <c r="G48" s="21">
        <f>ROUND('PU Wise OWE'!$AM$82/10000,2)-ROUND('PU Wise OWE'!$BJ$82/10000,2)</f>
        <v>805.56000000000006</v>
      </c>
      <c r="H48" s="24">
        <f t="shared" si="15"/>
        <v>0.15611204347168875</v>
      </c>
      <c r="I48" s="21">
        <f>ROUND('PU Wise OWE'!$AM$85/10000,2)-ROUND('PU Wise OWE'!$BJ$85/10000,2)</f>
        <v>142.22999999999999</v>
      </c>
      <c r="J48" s="24">
        <f t="shared" si="16"/>
        <v>0.31850143317807234</v>
      </c>
      <c r="K48" s="22">
        <f t="shared" si="17"/>
        <v>51.059999999999988</v>
      </c>
      <c r="L48" s="52">
        <f t="shared" si="18"/>
        <v>0.5600526488976636</v>
      </c>
      <c r="M48" s="52">
        <f t="shared" si="19"/>
        <v>0.17656040518397137</v>
      </c>
    </row>
    <row r="49" spans="2:14" s="36" customFormat="1">
      <c r="B49" s="60" t="s">
        <v>128</v>
      </c>
      <c r="C49" s="74">
        <f>C42+C48</f>
        <v>936.95</v>
      </c>
      <c r="D49" s="74">
        <f>D42+D48</f>
        <v>112.81</v>
      </c>
      <c r="E49" s="86">
        <f t="shared" si="14"/>
        <v>9.1290168564330393E-2</v>
      </c>
      <c r="F49" s="98"/>
      <c r="G49" s="26">
        <f>G42+G48</f>
        <v>867</v>
      </c>
      <c r="H49" s="54">
        <f t="shared" si="15"/>
        <v>0.16801869716713111</v>
      </c>
      <c r="I49" s="26">
        <f>I42+I48</f>
        <v>151.76999999999998</v>
      </c>
      <c r="J49" s="54">
        <f t="shared" si="16"/>
        <v>0.3398647438194195</v>
      </c>
      <c r="K49" s="26">
        <f t="shared" si="17"/>
        <v>38.95999999999998</v>
      </c>
      <c r="L49" s="55">
        <f t="shared" si="18"/>
        <v>0.34535945394911782</v>
      </c>
      <c r="M49" s="52">
        <f t="shared" si="19"/>
        <v>0.17505190311418684</v>
      </c>
    </row>
    <row r="51" spans="2:14">
      <c r="B51" s="75" t="s">
        <v>182</v>
      </c>
      <c r="C51" s="75"/>
    </row>
    <row r="52" spans="2:14" ht="48" customHeight="1">
      <c r="B52" s="81" t="s">
        <v>183</v>
      </c>
      <c r="C52" s="109">
        <v>188.88</v>
      </c>
      <c r="D52" s="70">
        <f>ROUND('PU Wise OWE'!$AK$128/10000,2)-D43</f>
        <v>14.48</v>
      </c>
      <c r="E52" s="85">
        <f t="shared" ref="E52:E56" si="20">D52/$D$7</f>
        <v>1.1717770063039661E-2</v>
      </c>
      <c r="F52" s="390"/>
      <c r="G52" s="22">
        <f>ROUND('PU Wise OWE'!$AK$126/10000,2)-G43</f>
        <v>85.66</v>
      </c>
      <c r="H52" s="24">
        <f t="shared" ref="H52:H54" si="21">G52/$G$7</f>
        <v>1.6600324797389217E-2</v>
      </c>
      <c r="I52" s="22">
        <f>ROUND('PU Wise OWE'!$AK$129/10000,2)-I43</f>
        <v>20.54</v>
      </c>
      <c r="J52" s="24">
        <f t="shared" ref="J52:J56" si="22">I52/$I$7</f>
        <v>4.5996058760300967E-2</v>
      </c>
      <c r="K52" s="22">
        <f>I52-D52</f>
        <v>6.0599999999999987</v>
      </c>
      <c r="L52" s="52">
        <f>K52/D52</f>
        <v>0.41850828729281758</v>
      </c>
      <c r="M52" s="52">
        <f t="shared" ref="M52:M54" si="23">I52/G52</f>
        <v>0.23978519729161801</v>
      </c>
    </row>
    <row r="53" spans="2:14">
      <c r="B53" s="20" t="s">
        <v>160</v>
      </c>
      <c r="C53" s="105">
        <v>121.46</v>
      </c>
      <c r="D53" s="70">
        <f>ROUND('PU Wise OWE'!$AL$128/10000,2)</f>
        <v>22</v>
      </c>
      <c r="E53" s="85">
        <f t="shared" si="20"/>
        <v>1.7803241808485672E-2</v>
      </c>
      <c r="F53" s="391"/>
      <c r="G53" s="22">
        <f>ROUND('PU Wise OWE'!$AL$126/10000,2)</f>
        <v>60.32</v>
      </c>
      <c r="H53" s="24">
        <f t="shared" si="21"/>
        <v>1.1689605320785869E-2</v>
      </c>
      <c r="I53" s="23">
        <f>ROUND('PU Wise OWE'!$AL$129/10000,2)</f>
        <v>17.96</v>
      </c>
      <c r="J53" s="24">
        <f t="shared" si="22"/>
        <v>4.0218559656037267E-2</v>
      </c>
      <c r="K53" s="22">
        <f>I53-D53</f>
        <v>-4.0399999999999991</v>
      </c>
      <c r="L53" s="52">
        <f>K53/D53</f>
        <v>-0.1836363636363636</v>
      </c>
      <c r="M53" s="52">
        <f t="shared" si="23"/>
        <v>0.29774535809018571</v>
      </c>
    </row>
    <row r="54" spans="2:14" s="36" customFormat="1">
      <c r="B54" s="25" t="s">
        <v>128</v>
      </c>
      <c r="C54" s="26">
        <f>C52+C53</f>
        <v>310.33999999999997</v>
      </c>
      <c r="D54" s="74">
        <f>SUM(D52:D53)</f>
        <v>36.480000000000004</v>
      </c>
      <c r="E54" s="86">
        <f t="shared" si="20"/>
        <v>2.9521011871525334E-2</v>
      </c>
      <c r="F54" s="392"/>
      <c r="G54" s="74">
        <f t="shared" ref="G54:I54" si="24">SUM(G52:G53)</f>
        <v>145.97999999999999</v>
      </c>
      <c r="H54" s="54">
        <f t="shared" si="21"/>
        <v>2.8289930118175086E-2</v>
      </c>
      <c r="I54" s="74">
        <f t="shared" si="24"/>
        <v>38.5</v>
      </c>
      <c r="J54" s="54">
        <f t="shared" si="22"/>
        <v>8.6214618416338235E-2</v>
      </c>
      <c r="K54" s="26">
        <f>I54-D54</f>
        <v>2.019999999999996</v>
      </c>
      <c r="L54" s="102">
        <f>K54/D54</f>
        <v>5.5372807017543747E-2</v>
      </c>
      <c r="M54" s="52">
        <f t="shared" si="23"/>
        <v>0.26373475818605291</v>
      </c>
    </row>
    <row r="56" spans="2:14" s="36" customFormat="1">
      <c r="B56" s="78" t="s">
        <v>161</v>
      </c>
      <c r="C56" s="110">
        <v>348.19</v>
      </c>
      <c r="D56" s="71">
        <f>ROUND('PU Wise OWE'!$AO$128/10000,2)</f>
        <v>44.6</v>
      </c>
      <c r="E56" s="86">
        <f t="shared" si="20"/>
        <v>3.6092026575384593E-2</v>
      </c>
      <c r="F56" s="53"/>
      <c r="G56" s="26">
        <f>ROUND('PU Wise OWE'!$AO$126/10000,2)</f>
        <v>203.9</v>
      </c>
      <c r="H56" s="54">
        <f t="shared" ref="H56" si="25">G56/$G$7</f>
        <v>3.9514431778982742E-2</v>
      </c>
      <c r="I56" s="25">
        <f>ROUND('PU Wise OWE'!$AO$129/10000,2)</f>
        <v>68.28</v>
      </c>
      <c r="J56" s="54">
        <f t="shared" si="22"/>
        <v>0.15290218559656038</v>
      </c>
      <c r="K56" s="26">
        <f>I56-D56</f>
        <v>23.68</v>
      </c>
      <c r="L56" s="55">
        <f>K56/D56</f>
        <v>0.53094170403587437</v>
      </c>
      <c r="M56" s="52">
        <f t="shared" ref="M56" si="26">I56/G56</f>
        <v>0.33487003433055418</v>
      </c>
      <c r="N56" s="118"/>
    </row>
    <row r="57" spans="2:14" s="36" customFormat="1">
      <c r="B57" s="116"/>
      <c r="C57" s="117"/>
      <c r="D57" s="113"/>
      <c r="E57" s="114"/>
      <c r="F57" s="115"/>
      <c r="G57" s="91"/>
      <c r="H57" s="90"/>
      <c r="I57" s="88"/>
      <c r="J57" s="90"/>
      <c r="K57" s="26"/>
      <c r="L57" s="55"/>
      <c r="M57" s="100"/>
    </row>
    <row r="58" spans="2:14">
      <c r="C58" s="397" t="s">
        <v>293</v>
      </c>
      <c r="D58" s="402" t="str">
        <f>'PU Wise OWE'!$B$7</f>
        <v>Actual up to April-23</v>
      </c>
      <c r="E58" s="397" t="s">
        <v>171</v>
      </c>
      <c r="F58" s="397"/>
      <c r="G58" s="431" t="str">
        <f>'PU Wise OWE'!$B$5</f>
        <v>Vote On Acc 2024-25</v>
      </c>
      <c r="H58" s="397" t="s">
        <v>312</v>
      </c>
      <c r="I58" s="402" t="str">
        <f>'PU Wise OWE'!B8</f>
        <v>Actual up to April-24</v>
      </c>
      <c r="J58" s="397" t="s">
        <v>203</v>
      </c>
      <c r="K58" s="369" t="s">
        <v>145</v>
      </c>
      <c r="L58" s="369"/>
      <c r="M58" s="370" t="s">
        <v>305</v>
      </c>
      <c r="N58" s="430" t="s">
        <v>206</v>
      </c>
    </row>
    <row r="59" spans="2:14">
      <c r="B59" s="75" t="s">
        <v>184</v>
      </c>
      <c r="C59" s="398"/>
      <c r="D59" s="398"/>
      <c r="E59" s="398"/>
      <c r="F59" s="398"/>
      <c r="G59" s="432"/>
      <c r="H59" s="398"/>
      <c r="I59" s="398"/>
      <c r="J59" s="398"/>
      <c r="K59" s="79" t="s">
        <v>143</v>
      </c>
      <c r="L59" s="80" t="s">
        <v>144</v>
      </c>
      <c r="M59" s="370"/>
      <c r="N59" s="430"/>
    </row>
    <row r="60" spans="2:14">
      <c r="B60" s="23" t="s">
        <v>185</v>
      </c>
      <c r="C60" s="22">
        <v>80.099999999999994</v>
      </c>
      <c r="D60" s="70">
        <f>ROUND('PU Wise OWE'!$AM$62/10000,2)</f>
        <v>3.91</v>
      </c>
      <c r="E60" s="85">
        <f t="shared" ref="E60:E64" si="27">D60/$D$7</f>
        <v>3.1641216123263175E-3</v>
      </c>
      <c r="F60" s="387"/>
      <c r="G60" s="22">
        <f>ROUND('PU Wise OWE'!$AM$60/10000,2)</f>
        <v>43.97</v>
      </c>
      <c r="H60" s="24" t="b">
        <f>H58=G60/$G$7</f>
        <v>0</v>
      </c>
      <c r="I60" s="23">
        <f>ROUND('PU Wise OWE'!$AM$63/10000,2)</f>
        <v>4.91</v>
      </c>
      <c r="J60" s="94">
        <f t="shared" ref="J60:J64" si="28">I60/$I$7</f>
        <v>1.0995163024005734E-2</v>
      </c>
      <c r="K60" s="22">
        <f>I60-D60</f>
        <v>1</v>
      </c>
      <c r="L60" s="52">
        <f>K60/D60</f>
        <v>0.25575447570332482</v>
      </c>
      <c r="M60" s="52">
        <f t="shared" ref="M60:M64" si="29">I60/G60</f>
        <v>0.11166704571298613</v>
      </c>
      <c r="N60" s="69"/>
    </row>
    <row r="61" spans="2:14">
      <c r="B61" s="23" t="s">
        <v>186</v>
      </c>
      <c r="C61" s="22">
        <v>21.26</v>
      </c>
      <c r="D61" s="70">
        <f>ROUND('PU Wise OWE'!$AM$95/10000,2)</f>
        <v>-0.87</v>
      </c>
      <c r="E61" s="85">
        <f t="shared" si="27"/>
        <v>-7.0403728969920616E-4</v>
      </c>
      <c r="F61" s="388"/>
      <c r="G61" s="22">
        <f>ROUND('PU Wise OWE'!$AM$93/10000,2)</f>
        <v>4.05</v>
      </c>
      <c r="H61" s="24">
        <f t="shared" ref="H61:H64" si="30">G61/$G$7</f>
        <v>7.8486242621324221E-4</v>
      </c>
      <c r="I61" s="23">
        <f>ROUND('PU Wise OWE'!$AM$96/10000,2)</f>
        <v>-7.0000000000000007E-2</v>
      </c>
      <c r="J61" s="94">
        <f t="shared" si="28"/>
        <v>-1.5675385166606952E-4</v>
      </c>
      <c r="K61" s="22">
        <f>I61-D61</f>
        <v>0.8</v>
      </c>
      <c r="L61" s="52">
        <f>K61/D61</f>
        <v>-0.91954022988505757</v>
      </c>
      <c r="M61" s="52">
        <f t="shared" si="29"/>
        <v>-1.7283950617283952E-2</v>
      </c>
    </row>
    <row r="62" spans="2:14">
      <c r="B62" s="23" t="s">
        <v>187</v>
      </c>
      <c r="C62" s="22">
        <v>9.89</v>
      </c>
      <c r="D62" s="70">
        <f>ROUND('PU Wise OWE'!$AN$18/10000,2)</f>
        <v>1.44</v>
      </c>
      <c r="E62" s="85">
        <f t="shared" si="27"/>
        <v>1.1653031001917895E-3</v>
      </c>
      <c r="F62" s="388"/>
      <c r="G62" s="22">
        <f>ROUND('PU Wise OWE'!$AN$16/10000,2)</f>
        <v>10.16</v>
      </c>
      <c r="H62" s="24">
        <f>G62/$G$7</f>
        <v>1.9689388272411215E-3</v>
      </c>
      <c r="I62" s="23">
        <f>ROUND('PU Wise OWE'!$AN$19/10000,2)</f>
        <v>1.79</v>
      </c>
      <c r="J62" s="94">
        <f t="shared" si="28"/>
        <v>4.0084199211752065E-3</v>
      </c>
      <c r="K62" s="22">
        <f>I62-D62</f>
        <v>0.35000000000000009</v>
      </c>
      <c r="L62" s="52">
        <f>K62/D62</f>
        <v>0.24305555555555564</v>
      </c>
      <c r="M62" s="52">
        <f t="shared" si="29"/>
        <v>0.17618110236220472</v>
      </c>
      <c r="N62" s="69"/>
    </row>
    <row r="63" spans="2:14">
      <c r="B63" s="23" t="s">
        <v>188</v>
      </c>
      <c r="C63" s="22">
        <v>1.64</v>
      </c>
      <c r="D63" s="70">
        <f>ROUND('PU Wise OWE'!$AN$62/10000,2)</f>
        <v>1.24</v>
      </c>
      <c r="E63" s="85">
        <f t="shared" si="27"/>
        <v>1.0034554473873742E-3</v>
      </c>
      <c r="F63" s="388"/>
      <c r="G63" s="22">
        <f>ROUND('PU Wise OWE'!$AN$60/10000,2)</f>
        <v>10.56</v>
      </c>
      <c r="H63" s="24">
        <f>G63/$G$7</f>
        <v>2.0464561039041577E-3</v>
      </c>
      <c r="I63" s="23">
        <f>ROUND('PU Wise OWE'!$AN$63/10000,2)</f>
        <v>0.88</v>
      </c>
      <c r="J63" s="94">
        <f t="shared" si="28"/>
        <v>1.9706198495163022E-3</v>
      </c>
      <c r="K63" s="22">
        <f>I63-D63</f>
        <v>-0.36</v>
      </c>
      <c r="L63" s="52">
        <f>K63/D63</f>
        <v>-0.29032258064516125</v>
      </c>
      <c r="M63" s="52">
        <f t="shared" si="29"/>
        <v>8.3333333333333329E-2</v>
      </c>
    </row>
    <row r="64" spans="2:14" s="36" customFormat="1">
      <c r="B64" s="25" t="s">
        <v>128</v>
      </c>
      <c r="C64" s="26">
        <f>C60+C61+C62+C63</f>
        <v>112.89</v>
      </c>
      <c r="D64" s="74">
        <f>SUM(D60:D63)</f>
        <v>5.7200000000000006</v>
      </c>
      <c r="E64" s="86">
        <f t="shared" si="27"/>
        <v>4.6288428702062753E-3</v>
      </c>
      <c r="F64" s="389"/>
      <c r="G64" s="26">
        <f>SUM(G60:G63)</f>
        <v>68.739999999999995</v>
      </c>
      <c r="H64" s="54">
        <f t="shared" si="30"/>
        <v>1.3321343994542783E-2</v>
      </c>
      <c r="I64" s="26">
        <f>SUM(I60:I63)</f>
        <v>7.51</v>
      </c>
      <c r="J64" s="54">
        <f t="shared" si="28"/>
        <v>1.6817448943031173E-2</v>
      </c>
      <c r="K64" s="26">
        <f>I64-D64</f>
        <v>1.7899999999999991</v>
      </c>
      <c r="L64" s="55">
        <f>K64/D64</f>
        <v>0.31293706293706275</v>
      </c>
      <c r="M64" s="52">
        <f t="shared" si="29"/>
        <v>0.10925225487343614</v>
      </c>
    </row>
    <row r="66" spans="2:13">
      <c r="B66" s="75" t="s">
        <v>189</v>
      </c>
      <c r="C66" s="75"/>
    </row>
    <row r="67" spans="2:13">
      <c r="B67" s="23" t="s">
        <v>190</v>
      </c>
      <c r="C67" s="22">
        <v>1117.51</v>
      </c>
      <c r="D67" s="70">
        <f>ROUND('PU Wise OWE'!$AP$73/10000,2)</f>
        <v>361.93</v>
      </c>
      <c r="E67" s="85">
        <f t="shared" ref="E67:E69" si="31">D67/$D$7</f>
        <v>0.29288760489750998</v>
      </c>
      <c r="F67" s="23"/>
      <c r="G67" s="22">
        <f>ROUND('PU Wise OWE'!$AP$71/10000,2)</f>
        <v>410.27</v>
      </c>
      <c r="H67" s="24">
        <f t="shared" ref="H67:H69" si="32">G67/$G$7</f>
        <v>7.9507532741359715E-2</v>
      </c>
      <c r="I67" s="23">
        <f>ROUND('PU Wise OWE'!$AP$74/10000,2)</f>
        <v>-511.82</v>
      </c>
      <c r="J67" s="94">
        <f t="shared" ref="J67:J69" si="33">I67/$I$7</f>
        <v>-1.1461393765675385</v>
      </c>
      <c r="K67" s="22">
        <f>I67-D67</f>
        <v>-873.75</v>
      </c>
      <c r="L67" s="52">
        <f>K67/D67</f>
        <v>-2.4141408559666235</v>
      </c>
      <c r="M67" s="52">
        <f t="shared" ref="M67:M68" si="34">I67/G67</f>
        <v>-1.2475199259024545</v>
      </c>
    </row>
    <row r="68" spans="2:13">
      <c r="B68" s="87" t="s">
        <v>191</v>
      </c>
      <c r="C68" s="111">
        <v>38.520000000000003</v>
      </c>
      <c r="D68" s="70">
        <f>ROUND('PU Wise OWE'!$AP$128/10000,2)-D67</f>
        <v>5.9599999999999795</v>
      </c>
      <c r="E68" s="85">
        <f t="shared" si="31"/>
        <v>4.8230600535715566E-3</v>
      </c>
      <c r="F68" s="23"/>
      <c r="G68" s="22">
        <f>ROUND('PU Wise OWE'!$AP$126/10000,2)-G67</f>
        <v>20.54000000000002</v>
      </c>
      <c r="H68" s="24">
        <f t="shared" si="32"/>
        <v>3.9805121566469162E-3</v>
      </c>
      <c r="I68" s="23">
        <f>ROUND('PU Wise OWE'!$AP$129/10000,2)-I67</f>
        <v>-4.410000000000025</v>
      </c>
      <c r="J68" s="94">
        <f t="shared" si="33"/>
        <v>-9.8754926549624346E-3</v>
      </c>
      <c r="K68" s="22">
        <f>I68-D68</f>
        <v>-10.370000000000005</v>
      </c>
      <c r="L68" s="52">
        <f>K68/D68</f>
        <v>-1.739932885906047</v>
      </c>
      <c r="M68" s="52">
        <f t="shared" si="34"/>
        <v>-0.21470301850048787</v>
      </c>
    </row>
    <row r="69" spans="2:13" s="36" customFormat="1">
      <c r="B69" s="25" t="s">
        <v>128</v>
      </c>
      <c r="C69" s="26">
        <f>C67+C68</f>
        <v>1156.03</v>
      </c>
      <c r="D69" s="74">
        <f>SUM(D67:D68)</f>
        <v>367.89</v>
      </c>
      <c r="E69" s="86">
        <f t="shared" si="31"/>
        <v>0.29771066495108151</v>
      </c>
      <c r="F69" s="88"/>
      <c r="G69" s="89">
        <f>SUM(G67:G68)</f>
        <v>430.81</v>
      </c>
      <c r="H69" s="90">
        <f t="shared" si="32"/>
        <v>8.3488044898006639E-2</v>
      </c>
      <c r="I69" s="89">
        <f>SUM(I67:I68)</f>
        <v>-516.23</v>
      </c>
      <c r="J69" s="54">
        <f t="shared" si="33"/>
        <v>-1.156014869222501</v>
      </c>
      <c r="K69" s="91">
        <f>I69-D69</f>
        <v>-884.12</v>
      </c>
      <c r="L69" s="101">
        <f>K69/D69</f>
        <v>-2.4032183533121314</v>
      </c>
    </row>
    <row r="70" spans="2:13">
      <c r="F70" s="31"/>
      <c r="G70" s="34"/>
      <c r="H70" s="34"/>
      <c r="I70" s="31"/>
      <c r="J70" s="31"/>
      <c r="K70" s="34"/>
      <c r="L70" s="92"/>
    </row>
    <row r="71" spans="2:13">
      <c r="B71" s="75" t="s">
        <v>193</v>
      </c>
      <c r="C71" s="75"/>
      <c r="F71" s="31"/>
      <c r="G71" s="34"/>
      <c r="H71" s="34"/>
      <c r="I71" s="31"/>
      <c r="J71" s="31"/>
      <c r="K71" s="34"/>
      <c r="L71" s="92"/>
    </row>
    <row r="72" spans="2:13">
      <c r="B72" s="23" t="s">
        <v>192</v>
      </c>
      <c r="C72" s="22">
        <v>12.31</v>
      </c>
      <c r="D72" s="70">
        <f>ROUND('PU Wise OWE'!$AQ$29/10000,2)+ROUND('PU Wise OWE'!$BB$29/10000,2)</f>
        <v>1.1000000000000001</v>
      </c>
      <c r="E72" s="85">
        <f t="shared" ref="E72:E74" si="35">D72/$D$7</f>
        <v>8.9016209042428363E-4</v>
      </c>
      <c r="F72" s="23"/>
      <c r="G72" s="70">
        <f>ROUND('PU Wise OWE'!$AQ$27/10000,2)+ROUND('PU Wise OWE'!$BB$27/10000,2)</f>
        <v>6.7</v>
      </c>
      <c r="H72" s="24">
        <f t="shared" ref="H72:H74" si="36">G72/$G$7</f>
        <v>1.2984143841058575E-3</v>
      </c>
      <c r="I72" s="70">
        <f>ROUND('PU Wise OWE'!$AQ$30/10000,2)+ROUND('PU Wise OWE'!$BB$30/10000,2)</f>
        <v>2.02</v>
      </c>
      <c r="J72" s="94">
        <f t="shared" ref="J72:J74" si="37">I72/$I$7</f>
        <v>4.5234682909351485E-3</v>
      </c>
      <c r="K72" s="22">
        <f>I72-D72</f>
        <v>0.91999999999999993</v>
      </c>
      <c r="L72" s="52">
        <f>K72/D72</f>
        <v>0.8363636363636362</v>
      </c>
      <c r="M72" s="52">
        <f t="shared" ref="M72:M73" si="38">I72/G72</f>
        <v>0.30149253731343284</v>
      </c>
    </row>
    <row r="73" spans="2:13">
      <c r="B73" s="23" t="s">
        <v>194</v>
      </c>
      <c r="C73" s="22">
        <v>114.52</v>
      </c>
      <c r="D73" s="70">
        <f>ROUND('PU Wise OWE'!$AQ$40/10000,2)+ROUND('PU Wise OWE'!$BB$40/10000,2)</f>
        <v>17.66</v>
      </c>
      <c r="E73" s="85">
        <f t="shared" si="35"/>
        <v>1.4291147742629863E-2</v>
      </c>
      <c r="F73" s="23"/>
      <c r="G73" s="70">
        <f>ROUND('PU Wise OWE'!$AQ$38/10000,2)+ROUND('PU Wise OWE'!$BB$38/10000,2)</f>
        <v>115.63</v>
      </c>
      <c r="H73" s="24">
        <f t="shared" si="36"/>
        <v>2.2408306751367207E-2</v>
      </c>
      <c r="I73" s="70">
        <f>ROUND('PU Wise OWE'!$AQ$41/10000,2)+ROUND('PU Wise OWE'!$BB$41/10000,2)</f>
        <v>18.649999999999999</v>
      </c>
      <c r="J73" s="94">
        <f t="shared" si="37"/>
        <v>4.1763704765317086E-2</v>
      </c>
      <c r="K73" s="22">
        <f>I73-D73</f>
        <v>0.98999999999999844</v>
      </c>
      <c r="L73" s="52">
        <f>K73/D73</f>
        <v>5.6058890147225281E-2</v>
      </c>
      <c r="M73" s="52">
        <f t="shared" si="38"/>
        <v>0.16129032258064516</v>
      </c>
    </row>
    <row r="74" spans="2:13" s="36" customFormat="1">
      <c r="B74" s="25" t="s">
        <v>128</v>
      </c>
      <c r="C74" s="26">
        <f>C72+C73</f>
        <v>126.83</v>
      </c>
      <c r="D74" s="74">
        <f>SUM(D72:D73)</f>
        <v>18.760000000000002</v>
      </c>
      <c r="E74" s="86">
        <f t="shared" si="35"/>
        <v>1.5181309833054147E-2</v>
      </c>
      <c r="F74" s="25"/>
      <c r="G74" s="74">
        <f>SUM(G72:G73)</f>
        <v>122.33</v>
      </c>
      <c r="H74" s="54">
        <f t="shared" si="36"/>
        <v>2.3706721135473067E-2</v>
      </c>
      <c r="I74" s="74">
        <f t="shared" ref="I74" si="39">SUM(I72:I73)</f>
        <v>20.669999999999998</v>
      </c>
      <c r="J74" s="54">
        <f t="shared" si="37"/>
        <v>4.6287173056252233E-2</v>
      </c>
      <c r="K74" s="26">
        <f>I74-D74</f>
        <v>1.9099999999999966</v>
      </c>
      <c r="L74" s="55">
        <f>K74/D74</f>
        <v>0.10181236673773968</v>
      </c>
    </row>
    <row r="75" spans="2:13">
      <c r="E75" s="31"/>
      <c r="F75" s="31"/>
      <c r="G75" s="34"/>
      <c r="H75" s="34"/>
      <c r="I75" s="31"/>
      <c r="J75" s="31"/>
      <c r="K75" s="34"/>
      <c r="L75" s="92"/>
    </row>
    <row r="76" spans="2:13">
      <c r="B76" s="75" t="s">
        <v>195</v>
      </c>
      <c r="C76" s="75"/>
      <c r="E76" s="31"/>
      <c r="F76" s="31"/>
      <c r="G76" s="34"/>
      <c r="H76" s="34"/>
      <c r="I76" s="31"/>
      <c r="J76" s="31"/>
      <c r="K76" s="34"/>
      <c r="L76" s="92"/>
    </row>
    <row r="77" spans="2:13">
      <c r="B77" s="23" t="s">
        <v>197</v>
      </c>
      <c r="C77" s="22">
        <v>2</v>
      </c>
      <c r="D77" s="70">
        <f>ROUND('PU Wise OWE'!$AW$128/10000,2)</f>
        <v>0.3</v>
      </c>
      <c r="E77" s="85">
        <f t="shared" ref="E77:E83" si="40">D77/$D$7</f>
        <v>2.4277147920662279E-4</v>
      </c>
      <c r="F77" s="23"/>
      <c r="G77" s="22">
        <f>ROUND('PU Wise OWE'!$AW$126/10000,2)</f>
        <v>0.94</v>
      </c>
      <c r="H77" s="24">
        <f t="shared" ref="H77:H83" si="41">G77/$G$7</f>
        <v>1.8216560015813521E-4</v>
      </c>
      <c r="I77" s="23">
        <f>ROUND('PU Wise OWE'!$AW$129/10000,2)</f>
        <v>0</v>
      </c>
      <c r="J77" s="94">
        <f t="shared" ref="J77:J85" si="42">I77/$I$7</f>
        <v>0</v>
      </c>
      <c r="K77" s="22">
        <f t="shared" ref="K77:K83" si="43">I77-D77</f>
        <v>-0.3</v>
      </c>
      <c r="L77" s="52">
        <f t="shared" ref="L77:L83" si="44">K77/D77</f>
        <v>-1</v>
      </c>
      <c r="M77" s="52">
        <f t="shared" ref="M77:M82" si="45">I77/G77</f>
        <v>0</v>
      </c>
    </row>
    <row r="78" spans="2:13">
      <c r="B78" s="23" t="s">
        <v>196</v>
      </c>
      <c r="C78" s="22">
        <v>1.66</v>
      </c>
      <c r="D78" s="70">
        <f>ROUND('PU Wise OWE'!$AX$128/10000,2)</f>
        <v>0.24</v>
      </c>
      <c r="E78" s="85">
        <f t="shared" si="40"/>
        <v>1.9421718336529823E-4</v>
      </c>
      <c r="F78" s="23"/>
      <c r="G78" s="22">
        <f>ROUND('PU Wise OWE'!$AX$126/10000,2)</f>
        <v>1.51</v>
      </c>
      <c r="H78" s="24">
        <f t="shared" si="41"/>
        <v>2.926277194029619E-4</v>
      </c>
      <c r="I78" s="23">
        <f>ROUND('PU Wise OWE'!$AX$129/10000,2)</f>
        <v>0.2</v>
      </c>
      <c r="J78" s="94">
        <f t="shared" si="42"/>
        <v>4.478681476173415E-4</v>
      </c>
      <c r="K78" s="22">
        <f t="shared" si="43"/>
        <v>-3.999999999999998E-2</v>
      </c>
      <c r="L78" s="52">
        <f t="shared" si="44"/>
        <v>-0.1666666666666666</v>
      </c>
      <c r="M78" s="52">
        <f t="shared" si="45"/>
        <v>0.13245033112582782</v>
      </c>
    </row>
    <row r="79" spans="2:13">
      <c r="B79" s="23" t="s">
        <v>198</v>
      </c>
      <c r="C79" s="22">
        <v>16.940000000000001</v>
      </c>
      <c r="D79" s="70">
        <f>ROUND('PU Wise OWE'!$BC$128/10000,2)</f>
        <v>2.79</v>
      </c>
      <c r="E79" s="85">
        <f t="shared" si="40"/>
        <v>2.2577747566215919E-3</v>
      </c>
      <c r="F79" s="23"/>
      <c r="G79" s="22">
        <f>ROUND('PU Wise OWE'!$BC$126/10000,2)</f>
        <v>10.27</v>
      </c>
      <c r="H79" s="24">
        <f t="shared" si="41"/>
        <v>1.9902560783234559E-3</v>
      </c>
      <c r="I79" s="23">
        <f>ROUND('PU Wise OWE'!$BC$129/10000,2)</f>
        <v>3.42</v>
      </c>
      <c r="J79" s="94">
        <f t="shared" si="42"/>
        <v>7.6585453242565384E-3</v>
      </c>
      <c r="K79" s="22">
        <f t="shared" si="43"/>
        <v>0.62999999999999989</v>
      </c>
      <c r="L79" s="52">
        <f t="shared" si="44"/>
        <v>0.22580645161290319</v>
      </c>
      <c r="M79" s="52">
        <f t="shared" si="45"/>
        <v>0.33300876338851021</v>
      </c>
    </row>
    <row r="80" spans="2:13">
      <c r="B80" s="23" t="s">
        <v>199</v>
      </c>
      <c r="C80" s="22">
        <v>16.95</v>
      </c>
      <c r="D80" s="70">
        <f>ROUND('PU Wise OWE'!$BD$128/10000,2)</f>
        <v>2.79</v>
      </c>
      <c r="E80" s="85">
        <f t="shared" si="40"/>
        <v>2.2577747566215919E-3</v>
      </c>
      <c r="F80" s="23"/>
      <c r="G80" s="22">
        <f>ROUND('PU Wise OWE'!$BD$126/10000,2)</f>
        <v>10.41</v>
      </c>
      <c r="H80" s="24">
        <f t="shared" si="41"/>
        <v>2.017387125155519E-3</v>
      </c>
      <c r="I80" s="23">
        <f>ROUND('PU Wise OWE'!$BD$129/10000,2)</f>
        <v>3.42</v>
      </c>
      <c r="J80" s="94">
        <f t="shared" si="42"/>
        <v>7.6585453242565384E-3</v>
      </c>
      <c r="K80" s="22">
        <f t="shared" si="43"/>
        <v>0.62999999999999989</v>
      </c>
      <c r="L80" s="52">
        <f t="shared" si="44"/>
        <v>0.22580645161290319</v>
      </c>
      <c r="M80" s="52">
        <f t="shared" si="45"/>
        <v>0.32853025936599423</v>
      </c>
    </row>
    <row r="81" spans="2:13">
      <c r="B81" s="23" t="s">
        <v>200</v>
      </c>
      <c r="C81" s="22">
        <v>17.329999999999998</v>
      </c>
      <c r="D81" s="70">
        <f>ROUND('PU Wise OWE'!$BF$128/10000,2)</f>
        <v>2.4500000000000002</v>
      </c>
      <c r="E81" s="85">
        <f t="shared" si="40"/>
        <v>1.9826337468540865E-3</v>
      </c>
      <c r="F81" s="23"/>
      <c r="G81" s="22">
        <f>ROUND('PU Wise OWE'!$BF$126/10000,2)</f>
        <v>13.6</v>
      </c>
      <c r="H81" s="24">
        <f t="shared" si="41"/>
        <v>2.6355874065432331E-3</v>
      </c>
      <c r="I81" s="23">
        <f>ROUND('PU Wise OWE'!$BF$129/10000,2)</f>
        <v>4.6100000000000003</v>
      </c>
      <c r="J81" s="94">
        <f t="shared" si="42"/>
        <v>1.0323360802579722E-2</v>
      </c>
      <c r="K81" s="22">
        <f t="shared" si="43"/>
        <v>2.16</v>
      </c>
      <c r="L81" s="52">
        <f t="shared" si="44"/>
        <v>0.88163265306122451</v>
      </c>
      <c r="M81" s="52">
        <f t="shared" si="45"/>
        <v>0.33897058823529413</v>
      </c>
    </row>
    <row r="82" spans="2:13">
      <c r="B82" s="23" t="s">
        <v>201</v>
      </c>
      <c r="C82" s="22">
        <v>166.71</v>
      </c>
      <c r="D82" s="70">
        <f>ROUND('PU Wise OWE'!$BG$128/10000,2)-ROUND('PU Wise OWE'!$BG$117/10000,2)</f>
        <v>34.32000000000005</v>
      </c>
      <c r="E82" s="85">
        <f t="shared" si="40"/>
        <v>2.7773057221237688E-2</v>
      </c>
      <c r="F82" s="23"/>
      <c r="G82" s="22">
        <f>ROUND('PU Wise OWE'!$BG$126/10000,2)-ROUND('PU Wise OWE'!$BG$115/10000,2)</f>
        <v>132.51999999999998</v>
      </c>
      <c r="H82" s="24">
        <f t="shared" si="41"/>
        <v>2.5681473758463913E-2</v>
      </c>
      <c r="I82" s="23">
        <f>ROUND('PU Wise OWE'!$BG$129/10000,2)-ROUND('PU Wise OWE'!$BG$118/10000,2)</f>
        <v>28.829999999999927</v>
      </c>
      <c r="J82" s="94">
        <f t="shared" si="42"/>
        <v>6.4560193479039601E-2</v>
      </c>
      <c r="K82" s="22">
        <f t="shared" si="43"/>
        <v>-5.4900000000001228</v>
      </c>
      <c r="L82" s="52">
        <f t="shared" si="44"/>
        <v>-0.15996503496503831</v>
      </c>
      <c r="M82" s="52">
        <f t="shared" si="45"/>
        <v>0.21755206761243534</v>
      </c>
    </row>
    <row r="83" spans="2:13" s="36" customFormat="1">
      <c r="B83" s="25" t="s">
        <v>128</v>
      </c>
      <c r="C83" s="26">
        <f>C77+C78+C79+C80+C81+C82</f>
        <v>221.59</v>
      </c>
      <c r="D83" s="74">
        <f>SUM(D77:D82)</f>
        <v>42.89000000000005</v>
      </c>
      <c r="E83" s="86">
        <f t="shared" si="40"/>
        <v>3.470822914390688E-2</v>
      </c>
      <c r="F83" s="25"/>
      <c r="G83" s="74">
        <f>SUM(G77:G82)</f>
        <v>169.24999999999997</v>
      </c>
      <c r="H83" s="54">
        <f t="shared" si="41"/>
        <v>3.2799497688047213E-2</v>
      </c>
      <c r="I83" s="74">
        <f>SUM(I77:I82)</f>
        <v>40.479999999999926</v>
      </c>
      <c r="J83" s="54">
        <f t="shared" si="42"/>
        <v>9.0648513077749737E-2</v>
      </c>
      <c r="K83" s="26">
        <f t="shared" si="43"/>
        <v>-2.4100000000001245</v>
      </c>
      <c r="L83" s="55">
        <f t="shared" si="44"/>
        <v>-5.6190254138496661E-2</v>
      </c>
      <c r="M83" s="25"/>
    </row>
    <row r="85" spans="2:13" s="36" customFormat="1" ht="31.5" customHeight="1">
      <c r="B85" s="93" t="s">
        <v>202</v>
      </c>
      <c r="C85" s="112">
        <v>3247.44</v>
      </c>
      <c r="D85" s="74">
        <f>D37+D49+D54+D56+D64+D69+D74+D83</f>
        <v>632.40000000000009</v>
      </c>
      <c r="E85" s="86">
        <f t="shared" ref="E85" si="46">D85/$D$7</f>
        <v>0.51176227816756092</v>
      </c>
      <c r="F85" s="25"/>
      <c r="G85" s="74">
        <f>G37+G49+G54+G56+G64+G69+G74+G83</f>
        <v>2022.32</v>
      </c>
      <c r="H85" s="54">
        <f t="shared" ref="H85" si="47">G85/$G$7</f>
        <v>0.39191184735297874</v>
      </c>
      <c r="I85" s="74">
        <f>I37+I49+I54+I56+I64+I69+I74+I83</f>
        <v>-182.22000000000008</v>
      </c>
      <c r="J85" s="54">
        <f t="shared" si="42"/>
        <v>-0.40805266929416001</v>
      </c>
      <c r="K85" s="26">
        <f>I85-D85</f>
        <v>-814.62000000000012</v>
      </c>
      <c r="L85" s="55">
        <f>K85/D85</f>
        <v>-1.2881404174573055</v>
      </c>
      <c r="M85" s="52">
        <f t="shared" ref="M85" si="48">I85/G85</f>
        <v>-9.0104434510858866E-2</v>
      </c>
    </row>
    <row r="86" spans="2:13">
      <c r="B86" s="176"/>
      <c r="C86" s="176"/>
      <c r="D86" s="136"/>
      <c r="E86" s="176"/>
      <c r="F86" s="176"/>
      <c r="G86" s="176"/>
      <c r="H86" s="176"/>
      <c r="I86" s="176"/>
      <c r="J86" s="176"/>
      <c r="K86" s="176"/>
      <c r="L86" s="176"/>
      <c r="M86" s="176"/>
    </row>
    <row r="87" spans="2:13" s="146" customFormat="1" ht="16.5" customHeight="1">
      <c r="B87" s="238"/>
      <c r="C87" s="424" t="s">
        <v>293</v>
      </c>
      <c r="D87" s="426" t="s">
        <v>294</v>
      </c>
      <c r="E87" s="424" t="s">
        <v>171</v>
      </c>
      <c r="F87" s="424"/>
      <c r="G87" s="427" t="s">
        <v>298</v>
      </c>
      <c r="H87" s="424" t="s">
        <v>300</v>
      </c>
      <c r="I87" s="426" t="s">
        <v>295</v>
      </c>
      <c r="J87" s="424" t="s">
        <v>203</v>
      </c>
      <c r="K87" s="429" t="s">
        <v>145</v>
      </c>
      <c r="L87" s="429"/>
      <c r="M87" s="423" t="s">
        <v>297</v>
      </c>
    </row>
    <row r="88" spans="2:13" s="146" customFormat="1">
      <c r="B88" s="224" t="s">
        <v>251</v>
      </c>
      <c r="C88" s="425"/>
      <c r="D88" s="425"/>
      <c r="E88" s="425"/>
      <c r="F88" s="425"/>
      <c r="G88" s="428"/>
      <c r="H88" s="425"/>
      <c r="I88" s="437"/>
      <c r="J88" s="425"/>
      <c r="K88" s="225" t="s">
        <v>143</v>
      </c>
      <c r="L88" s="225" t="s">
        <v>144</v>
      </c>
      <c r="M88" s="423"/>
    </row>
    <row r="89" spans="2:13" s="146" customFormat="1" ht="15" customHeight="1">
      <c r="B89" s="226" t="s">
        <v>252</v>
      </c>
      <c r="C89" s="226">
        <v>17</v>
      </c>
      <c r="D89" s="231">
        <v>0</v>
      </c>
      <c r="E89" s="239">
        <f t="shared" ref="E89:E102" si="49">D89/$D$7</f>
        <v>0</v>
      </c>
      <c r="F89" s="226"/>
      <c r="G89" s="229">
        <v>0.69</v>
      </c>
      <c r="H89" s="227">
        <f t="shared" ref="H89:H102" si="50">G89/$G$7</f>
        <v>1.3371730224373755E-4</v>
      </c>
      <c r="I89" s="226">
        <v>0</v>
      </c>
      <c r="J89" s="227">
        <f t="shared" ref="J89:J102" si="51">I89/$I$7</f>
        <v>0</v>
      </c>
      <c r="K89" s="229">
        <f>I89-D89</f>
        <v>0</v>
      </c>
      <c r="L89" s="230">
        <v>0</v>
      </c>
      <c r="M89" s="230">
        <f t="shared" ref="M89:M102" si="52">I89/G89</f>
        <v>0</v>
      </c>
    </row>
    <row r="90" spans="2:13" s="146" customFormat="1">
      <c r="B90" s="226" t="s">
        <v>253</v>
      </c>
      <c r="C90" s="226">
        <v>33.630000000000003</v>
      </c>
      <c r="D90" s="228">
        <v>1.86</v>
      </c>
      <c r="E90" s="239">
        <f t="shared" si="49"/>
        <v>1.5051831710810614E-3</v>
      </c>
      <c r="F90" s="226"/>
      <c r="G90" s="229">
        <v>33.28</v>
      </c>
      <c r="H90" s="227">
        <f t="shared" si="50"/>
        <v>6.4494374183646178E-3</v>
      </c>
      <c r="I90" s="229">
        <v>2.77</v>
      </c>
      <c r="J90" s="227">
        <f t="shared" si="51"/>
        <v>6.2029738445001795E-3</v>
      </c>
      <c r="K90" s="229">
        <f t="shared" ref="K90:K102" si="53">I90-D90</f>
        <v>0.90999999999999992</v>
      </c>
      <c r="L90" s="230">
        <f t="shared" ref="L90:L102" si="54">K90/D90</f>
        <v>0.48924731182795694</v>
      </c>
      <c r="M90" s="230">
        <f t="shared" si="52"/>
        <v>8.3233173076923073E-2</v>
      </c>
    </row>
    <row r="91" spans="2:13" s="146" customFormat="1">
      <c r="B91" s="226" t="s">
        <v>263</v>
      </c>
      <c r="C91" s="226">
        <v>7.44</v>
      </c>
      <c r="D91" s="228">
        <v>0.04</v>
      </c>
      <c r="E91" s="239">
        <f t="shared" si="49"/>
        <v>3.2369530560883043E-5</v>
      </c>
      <c r="F91" s="226"/>
      <c r="G91" s="229">
        <v>0.53</v>
      </c>
      <c r="H91" s="227">
        <f t="shared" si="50"/>
        <v>1.0271039157852306E-4</v>
      </c>
      <c r="I91" s="229">
        <v>0</v>
      </c>
      <c r="J91" s="227">
        <f t="shared" si="51"/>
        <v>0</v>
      </c>
      <c r="K91" s="229">
        <f t="shared" si="53"/>
        <v>-0.04</v>
      </c>
      <c r="L91" s="230">
        <f t="shared" si="54"/>
        <v>-1</v>
      </c>
      <c r="M91" s="230">
        <f t="shared" si="52"/>
        <v>0</v>
      </c>
    </row>
    <row r="92" spans="2:13" s="146" customFormat="1">
      <c r="B92" s="240" t="s">
        <v>254</v>
      </c>
      <c r="C92" s="233">
        <f>SUM(C89:C91)</f>
        <v>58.07</v>
      </c>
      <c r="D92" s="236">
        <f>SUM(D89:D91)</f>
        <v>1.9000000000000001</v>
      </c>
      <c r="E92" s="241">
        <f t="shared" si="49"/>
        <v>1.5375527016419446E-3</v>
      </c>
      <c r="F92" s="233">
        <f t="shared" ref="F92:G92" si="55">SUM(F89:F90)</f>
        <v>0</v>
      </c>
      <c r="G92" s="236">
        <f t="shared" si="55"/>
        <v>33.97</v>
      </c>
      <c r="H92" s="235">
        <f t="shared" si="50"/>
        <v>6.583154720608355E-3</v>
      </c>
      <c r="I92" s="236">
        <f>SUM(I89:I91)</f>
        <v>2.77</v>
      </c>
      <c r="J92" s="235">
        <f t="shared" si="51"/>
        <v>6.2029738445001795E-3</v>
      </c>
      <c r="K92" s="236">
        <f t="shared" si="53"/>
        <v>0.86999999999999988</v>
      </c>
      <c r="L92" s="237">
        <f t="shared" si="54"/>
        <v>0.45789473684210519</v>
      </c>
      <c r="M92" s="237">
        <f t="shared" si="52"/>
        <v>8.1542537533117465E-2</v>
      </c>
    </row>
    <row r="93" spans="2:13" s="146" customFormat="1">
      <c r="B93" s="226" t="s">
        <v>255</v>
      </c>
      <c r="C93" s="226">
        <v>0</v>
      </c>
      <c r="D93" s="231">
        <v>0</v>
      </c>
      <c r="E93" s="239">
        <f t="shared" si="49"/>
        <v>0</v>
      </c>
      <c r="F93" s="226"/>
      <c r="G93" s="229">
        <v>0</v>
      </c>
      <c r="H93" s="227">
        <f t="shared" si="50"/>
        <v>0</v>
      </c>
      <c r="I93" s="229">
        <v>0</v>
      </c>
      <c r="J93" s="227">
        <f t="shared" si="51"/>
        <v>0</v>
      </c>
      <c r="K93" s="229">
        <f t="shared" si="53"/>
        <v>0</v>
      </c>
      <c r="L93" s="230">
        <v>0</v>
      </c>
      <c r="M93" s="230">
        <v>0</v>
      </c>
    </row>
    <row r="94" spans="2:13" s="146" customFormat="1">
      <c r="B94" s="226" t="s">
        <v>256</v>
      </c>
      <c r="C94" s="226">
        <v>13.17</v>
      </c>
      <c r="D94" s="228">
        <v>0.17</v>
      </c>
      <c r="E94" s="239">
        <f t="shared" si="49"/>
        <v>1.3757050488375294E-4</v>
      </c>
      <c r="F94" s="226"/>
      <c r="G94" s="229">
        <v>14.55</v>
      </c>
      <c r="H94" s="227">
        <f t="shared" si="50"/>
        <v>2.8196909386179443E-3</v>
      </c>
      <c r="I94" s="229">
        <v>3.38</v>
      </c>
      <c r="J94" s="227">
        <f t="shared" si="51"/>
        <v>7.5689716947330704E-3</v>
      </c>
      <c r="K94" s="229">
        <f t="shared" si="53"/>
        <v>3.21</v>
      </c>
      <c r="L94" s="230">
        <f t="shared" si="54"/>
        <v>18.882352941176467</v>
      </c>
      <c r="M94" s="230">
        <f t="shared" si="52"/>
        <v>0.23230240549828177</v>
      </c>
    </row>
    <row r="95" spans="2:13" s="146" customFormat="1">
      <c r="B95" s="226" t="s">
        <v>264</v>
      </c>
      <c r="C95" s="226">
        <v>-0.3</v>
      </c>
      <c r="D95" s="228">
        <v>0</v>
      </c>
      <c r="E95" s="239">
        <f t="shared" si="49"/>
        <v>0</v>
      </c>
      <c r="F95" s="226"/>
      <c r="G95" s="229">
        <v>0.05</v>
      </c>
      <c r="H95" s="227">
        <f t="shared" si="50"/>
        <v>9.6896595828795335E-6</v>
      </c>
      <c r="I95" s="229">
        <v>0</v>
      </c>
      <c r="J95" s="227">
        <f t="shared" si="51"/>
        <v>0</v>
      </c>
      <c r="K95" s="229">
        <f t="shared" si="53"/>
        <v>0</v>
      </c>
      <c r="L95" s="230">
        <v>0</v>
      </c>
      <c r="M95" s="230">
        <v>0</v>
      </c>
    </row>
    <row r="96" spans="2:13" s="146" customFormat="1">
      <c r="B96" s="240" t="s">
        <v>257</v>
      </c>
      <c r="C96" s="233">
        <f>SUM(C93:C95)</f>
        <v>12.87</v>
      </c>
      <c r="D96" s="233">
        <f>SUM(D93:D95)</f>
        <v>0.17</v>
      </c>
      <c r="E96" s="241">
        <f t="shared" si="49"/>
        <v>1.3757050488375294E-4</v>
      </c>
      <c r="F96" s="233">
        <f t="shared" ref="F96" si="56">SUM(F93:F94)</f>
        <v>0</v>
      </c>
      <c r="G96" s="236">
        <f>SUM(G93:G95)</f>
        <v>14.600000000000001</v>
      </c>
      <c r="H96" s="235">
        <f t="shared" si="50"/>
        <v>2.8293805982008242E-3</v>
      </c>
      <c r="I96" s="236">
        <f>SUM(I93:I95)</f>
        <v>3.38</v>
      </c>
      <c r="J96" s="235">
        <f t="shared" si="51"/>
        <v>7.5689716947330704E-3</v>
      </c>
      <c r="K96" s="236">
        <f t="shared" si="53"/>
        <v>3.21</v>
      </c>
      <c r="L96" s="237">
        <f t="shared" si="54"/>
        <v>18.882352941176467</v>
      </c>
      <c r="M96" s="237">
        <f t="shared" si="52"/>
        <v>0.23150684931506846</v>
      </c>
    </row>
    <row r="97" spans="2:13" s="146" customFormat="1">
      <c r="B97" s="226" t="s">
        <v>258</v>
      </c>
      <c r="C97" s="229">
        <v>24.12</v>
      </c>
      <c r="D97" s="228">
        <v>1.61</v>
      </c>
      <c r="E97" s="239">
        <f t="shared" si="49"/>
        <v>1.3028736050755424E-3</v>
      </c>
      <c r="F97" s="226"/>
      <c r="G97" s="229">
        <v>17.600000000000001</v>
      </c>
      <c r="H97" s="227">
        <f t="shared" si="50"/>
        <v>3.4107601731735962E-3</v>
      </c>
      <c r="I97" s="229">
        <v>0.15</v>
      </c>
      <c r="J97" s="227">
        <f t="shared" si="51"/>
        <v>3.3590111071300609E-4</v>
      </c>
      <c r="K97" s="229">
        <f t="shared" si="53"/>
        <v>-1.4600000000000002</v>
      </c>
      <c r="L97" s="230">
        <f t="shared" si="54"/>
        <v>-0.90683229813664601</v>
      </c>
      <c r="M97" s="230">
        <f t="shared" si="52"/>
        <v>8.5227272727272721E-3</v>
      </c>
    </row>
    <row r="98" spans="2:13" s="146" customFormat="1">
      <c r="B98" s="226" t="s">
        <v>259</v>
      </c>
      <c r="C98" s="226">
        <v>145.66</v>
      </c>
      <c r="D98" s="228">
        <v>4.3499999999999996</v>
      </c>
      <c r="E98" s="239">
        <f t="shared" si="49"/>
        <v>3.5201864484960305E-3</v>
      </c>
      <c r="F98" s="226"/>
      <c r="G98" s="229">
        <v>11.56</v>
      </c>
      <c r="H98" s="227">
        <f t="shared" si="50"/>
        <v>2.2402492955617484E-3</v>
      </c>
      <c r="I98" s="229">
        <v>6.27</v>
      </c>
      <c r="J98" s="227">
        <f t="shared" si="51"/>
        <v>1.4040666427803654E-2</v>
      </c>
      <c r="K98" s="229">
        <f t="shared" si="53"/>
        <v>1.92</v>
      </c>
      <c r="L98" s="230">
        <f t="shared" si="54"/>
        <v>0.44137931034482758</v>
      </c>
      <c r="M98" s="230">
        <f t="shared" si="52"/>
        <v>0.54238754325259508</v>
      </c>
    </row>
    <row r="99" spans="2:13" s="146" customFormat="1">
      <c r="B99" s="240" t="s">
        <v>260</v>
      </c>
      <c r="C99" s="233">
        <f t="shared" ref="C99" si="57">SUM(C97:C98)</f>
        <v>169.78</v>
      </c>
      <c r="D99" s="236">
        <f t="shared" ref="D99:I99" si="58">SUM(D97:D98)</f>
        <v>5.96</v>
      </c>
      <c r="E99" s="241">
        <f t="shared" si="49"/>
        <v>4.8230600535715731E-3</v>
      </c>
      <c r="F99" s="233">
        <f t="shared" si="58"/>
        <v>0</v>
      </c>
      <c r="G99" s="236">
        <f t="shared" si="58"/>
        <v>29.160000000000004</v>
      </c>
      <c r="H99" s="235">
        <f t="shared" si="50"/>
        <v>5.651009468735345E-3</v>
      </c>
      <c r="I99" s="236">
        <f t="shared" si="58"/>
        <v>6.42</v>
      </c>
      <c r="J99" s="235">
        <f t="shared" si="51"/>
        <v>1.437656753851666E-2</v>
      </c>
      <c r="K99" s="236">
        <f t="shared" si="53"/>
        <v>0.45999999999999996</v>
      </c>
      <c r="L99" s="237">
        <f t="shared" si="54"/>
        <v>7.7181208053691275E-2</v>
      </c>
      <c r="M99" s="237">
        <f t="shared" si="52"/>
        <v>0.22016460905349791</v>
      </c>
    </row>
    <row r="100" spans="2:13" s="146" customFormat="1">
      <c r="B100" s="226" t="s">
        <v>261</v>
      </c>
      <c r="C100" s="229">
        <v>12.31</v>
      </c>
      <c r="D100" s="228">
        <v>4.28</v>
      </c>
      <c r="E100" s="239">
        <f t="shared" si="49"/>
        <v>3.4635397700144856E-3</v>
      </c>
      <c r="F100" s="226"/>
      <c r="G100" s="229">
        <v>13.17</v>
      </c>
      <c r="H100" s="227">
        <f t="shared" si="50"/>
        <v>2.5522563341304691E-3</v>
      </c>
      <c r="I100" s="229">
        <v>1.93</v>
      </c>
      <c r="J100" s="227">
        <f t="shared" si="51"/>
        <v>4.3219276245073449E-3</v>
      </c>
      <c r="K100" s="229">
        <f t="shared" si="53"/>
        <v>-2.3500000000000005</v>
      </c>
      <c r="L100" s="230">
        <f t="shared" si="54"/>
        <v>-0.54906542056074781</v>
      </c>
      <c r="M100" s="230">
        <f t="shared" si="52"/>
        <v>0.14654517843583903</v>
      </c>
    </row>
    <row r="101" spans="2:13" s="146" customFormat="1">
      <c r="B101" s="226" t="s">
        <v>262</v>
      </c>
      <c r="C101" s="229">
        <v>101.34</v>
      </c>
      <c r="D101" s="228">
        <v>1.64</v>
      </c>
      <c r="E101" s="239">
        <f t="shared" si="49"/>
        <v>1.3271507529962045E-3</v>
      </c>
      <c r="F101" s="226"/>
      <c r="G101" s="229">
        <v>65.03</v>
      </c>
      <c r="H101" s="227">
        <f t="shared" si="50"/>
        <v>1.2602371253493122E-2</v>
      </c>
      <c r="I101" s="229">
        <v>5.95</v>
      </c>
      <c r="J101" s="227">
        <f t="shared" si="51"/>
        <v>1.3324077391615908E-2</v>
      </c>
      <c r="K101" s="229">
        <f t="shared" si="53"/>
        <v>4.3100000000000005</v>
      </c>
      <c r="L101" s="230">
        <f t="shared" si="54"/>
        <v>2.6280487804878052</v>
      </c>
      <c r="M101" s="230">
        <f t="shared" si="52"/>
        <v>9.1496232508073191E-2</v>
      </c>
    </row>
    <row r="102" spans="2:13" s="146" customFormat="1">
      <c r="B102" s="240" t="s">
        <v>292</v>
      </c>
      <c r="C102" s="236">
        <f>SUM(C100:C101)</f>
        <v>113.65</v>
      </c>
      <c r="D102" s="236">
        <f t="shared" ref="D102:I102" si="59">SUM(D100:D101)</f>
        <v>5.92</v>
      </c>
      <c r="E102" s="241">
        <f t="shared" si="49"/>
        <v>4.7906905230106897E-3</v>
      </c>
      <c r="F102" s="233">
        <f t="shared" si="59"/>
        <v>0</v>
      </c>
      <c r="G102" s="236">
        <f t="shared" si="59"/>
        <v>78.2</v>
      </c>
      <c r="H102" s="235">
        <f t="shared" si="50"/>
        <v>1.5154627587623591E-2</v>
      </c>
      <c r="I102" s="236">
        <f t="shared" si="59"/>
        <v>7.88</v>
      </c>
      <c r="J102" s="235">
        <f t="shared" si="51"/>
        <v>1.7646005016123251E-2</v>
      </c>
      <c r="K102" s="236">
        <f t="shared" si="53"/>
        <v>1.96</v>
      </c>
      <c r="L102" s="237">
        <f t="shared" si="54"/>
        <v>0.33108108108108109</v>
      </c>
      <c r="M102" s="237">
        <f t="shared" si="52"/>
        <v>0.10076726342710997</v>
      </c>
    </row>
    <row r="103" spans="2:13">
      <c r="B103" s="41"/>
      <c r="C103" s="41"/>
      <c r="D103" s="242"/>
      <c r="E103" s="41"/>
      <c r="F103" s="41"/>
      <c r="G103" s="41"/>
      <c r="H103" s="41"/>
      <c r="I103" s="41"/>
      <c r="J103" s="41"/>
      <c r="K103" s="41"/>
      <c r="L103" s="41"/>
      <c r="M103" s="41"/>
    </row>
    <row r="104" spans="2:13" ht="15" customHeight="1">
      <c r="B104" s="223"/>
      <c r="C104" s="424" t="s">
        <v>293</v>
      </c>
      <c r="D104" s="426" t="str">
        <f>'PU Wise OWE'!$B$7</f>
        <v>Actual up to April-23</v>
      </c>
      <c r="E104" s="424" t="s">
        <v>171</v>
      </c>
      <c r="F104" s="424"/>
      <c r="G104" s="427" t="str">
        <f>'PU Wise OWE'!$B$5</f>
        <v>Vote On Acc 2024-25</v>
      </c>
      <c r="H104" s="424" t="s">
        <v>301</v>
      </c>
      <c r="I104" s="426" t="str">
        <f>I40</f>
        <v>Actual up to April-24</v>
      </c>
      <c r="J104" s="424" t="s">
        <v>203</v>
      </c>
      <c r="K104" s="429" t="s">
        <v>145</v>
      </c>
      <c r="L104" s="429"/>
      <c r="M104" s="423" t="s">
        <v>297</v>
      </c>
    </row>
    <row r="105" spans="2:13">
      <c r="B105" s="224" t="s">
        <v>189</v>
      </c>
      <c r="C105" s="425"/>
      <c r="D105" s="425"/>
      <c r="E105" s="425"/>
      <c r="F105" s="425"/>
      <c r="G105" s="428"/>
      <c r="H105" s="425"/>
      <c r="I105" s="425"/>
      <c r="J105" s="425"/>
      <c r="K105" s="225" t="s">
        <v>143</v>
      </c>
      <c r="L105" s="225" t="s">
        <v>144</v>
      </c>
      <c r="M105" s="423"/>
    </row>
    <row r="106" spans="2:13">
      <c r="B106" s="226" t="s">
        <v>215</v>
      </c>
      <c r="C106" s="226">
        <v>305.92</v>
      </c>
      <c r="D106" s="228">
        <v>19.18</v>
      </c>
      <c r="E106" s="239">
        <f t="shared" ref="E106:E109" si="60">D106/$D$7</f>
        <v>1.5521189903943418E-2</v>
      </c>
      <c r="F106" s="226"/>
      <c r="G106" s="226">
        <v>115.89</v>
      </c>
      <c r="H106" s="227">
        <f t="shared" ref="H106:H109" si="61">G106/$G$7</f>
        <v>2.2458692981198184E-2</v>
      </c>
      <c r="I106" s="229">
        <v>28.26</v>
      </c>
      <c r="J106" s="227">
        <f t="shared" ref="J106:J109" si="62">I106/$I$7</f>
        <v>6.3283769258330347E-2</v>
      </c>
      <c r="K106" s="229">
        <f>I106-D106</f>
        <v>9.0800000000000018</v>
      </c>
      <c r="L106" s="230">
        <f>K106/D106</f>
        <v>0.47340980187695525</v>
      </c>
      <c r="M106" s="230">
        <f t="shared" ref="M106:M109" si="63">I106/G106</f>
        <v>0.24385192855293814</v>
      </c>
    </row>
    <row r="107" spans="2:13">
      <c r="B107" s="226" t="s">
        <v>214</v>
      </c>
      <c r="C107" s="226">
        <v>266.58999999999997</v>
      </c>
      <c r="D107" s="231">
        <v>27.95</v>
      </c>
      <c r="E107" s="239">
        <f t="shared" si="60"/>
        <v>2.2618209479417024E-2</v>
      </c>
      <c r="F107" s="226"/>
      <c r="G107" s="229">
        <v>750</v>
      </c>
      <c r="H107" s="227">
        <f t="shared" si="61"/>
        <v>0.14534489374319301</v>
      </c>
      <c r="I107" s="229">
        <v>40.58</v>
      </c>
      <c r="J107" s="227">
        <f t="shared" si="62"/>
        <v>9.087244715155858E-2</v>
      </c>
      <c r="K107" s="229">
        <f t="shared" ref="K107:K109" si="64">I107-D107</f>
        <v>12.629999999999999</v>
      </c>
      <c r="L107" s="230">
        <f t="shared" ref="L107:L109" si="65">K107/D107</f>
        <v>0.45187835420393557</v>
      </c>
      <c r="M107" s="230">
        <f t="shared" si="63"/>
        <v>5.4106666666666664E-2</v>
      </c>
    </row>
    <row r="108" spans="2:13" ht="15.75" customHeight="1">
      <c r="B108" s="232" t="s">
        <v>213</v>
      </c>
      <c r="C108" s="226">
        <v>544.78</v>
      </c>
      <c r="D108" s="231">
        <v>165.44</v>
      </c>
      <c r="E108" s="239">
        <f t="shared" si="60"/>
        <v>0.13388037839981226</v>
      </c>
      <c r="F108" s="226"/>
      <c r="G108" s="229">
        <v>676.5</v>
      </c>
      <c r="H108" s="227">
        <f t="shared" si="61"/>
        <v>0.13110109415636009</v>
      </c>
      <c r="I108" s="226">
        <v>301.26</v>
      </c>
      <c r="J108" s="227">
        <f t="shared" si="62"/>
        <v>0.67462379075600143</v>
      </c>
      <c r="K108" s="229">
        <f t="shared" si="64"/>
        <v>135.82</v>
      </c>
      <c r="L108" s="230">
        <f t="shared" si="65"/>
        <v>0.82096228239845259</v>
      </c>
      <c r="M108" s="230">
        <f t="shared" si="63"/>
        <v>0.44532150776053214</v>
      </c>
    </row>
    <row r="109" spans="2:13">
      <c r="B109" s="233" t="s">
        <v>128</v>
      </c>
      <c r="C109" s="233">
        <f>SUM(C106:C108)</f>
        <v>1117.29</v>
      </c>
      <c r="D109" s="234">
        <f>+D106+D107+D108</f>
        <v>212.57</v>
      </c>
      <c r="E109" s="241">
        <f t="shared" si="60"/>
        <v>0.17201977778317268</v>
      </c>
      <c r="F109" s="233"/>
      <c r="G109" s="234">
        <f>+G106+G107+G108</f>
        <v>1542.3899999999999</v>
      </c>
      <c r="H109" s="235">
        <f t="shared" si="61"/>
        <v>0.29890468088075123</v>
      </c>
      <c r="I109" s="236">
        <f>SUM(I106:I108)</f>
        <v>370.1</v>
      </c>
      <c r="J109" s="235">
        <f t="shared" si="62"/>
        <v>0.8287800071658904</v>
      </c>
      <c r="K109" s="236">
        <f t="shared" si="64"/>
        <v>157.53000000000003</v>
      </c>
      <c r="L109" s="237">
        <f t="shared" si="65"/>
        <v>0.74107352871995125</v>
      </c>
      <c r="M109" s="237">
        <f t="shared" si="63"/>
        <v>0.23995228184830039</v>
      </c>
    </row>
    <row r="110" spans="2:13">
      <c r="B110" s="41"/>
      <c r="C110" s="41"/>
      <c r="D110" s="242"/>
      <c r="E110" s="41"/>
      <c r="F110" s="41"/>
      <c r="G110" s="41"/>
      <c r="H110" s="41"/>
      <c r="I110" s="41"/>
      <c r="J110" s="41"/>
      <c r="K110" s="41"/>
      <c r="L110" s="41"/>
      <c r="M110" s="41"/>
    </row>
    <row r="111" spans="2:13">
      <c r="B111" s="224" t="s">
        <v>216</v>
      </c>
      <c r="C111" s="226"/>
      <c r="D111" s="231"/>
      <c r="E111" s="226"/>
      <c r="F111" s="226"/>
      <c r="G111" s="226"/>
      <c r="H111" s="226"/>
      <c r="I111" s="226"/>
      <c r="J111" s="226"/>
      <c r="K111" s="226"/>
      <c r="L111" s="226"/>
      <c r="M111" s="226"/>
    </row>
    <row r="112" spans="2:13">
      <c r="B112" s="226" t="s">
        <v>217</v>
      </c>
      <c r="C112" s="229">
        <v>28.69</v>
      </c>
      <c r="D112" s="228">
        <v>5.63</v>
      </c>
      <c r="E112" s="239">
        <f t="shared" ref="E112:E115" si="66">D112/$D$7</f>
        <v>4.5560114264442874E-3</v>
      </c>
      <c r="F112" s="226"/>
      <c r="G112" s="229">
        <v>27.91</v>
      </c>
      <c r="H112" s="227">
        <f t="shared" ref="H112:H115" si="67">G112/$G$7</f>
        <v>5.4087679791633555E-3</v>
      </c>
      <c r="I112" s="226">
        <v>0.22</v>
      </c>
      <c r="J112" s="227">
        <f t="shared" ref="J112" si="68">I112/$I$7</f>
        <v>4.9265496237907555E-4</v>
      </c>
      <c r="K112" s="229">
        <f>I112-D112</f>
        <v>-5.41</v>
      </c>
      <c r="L112" s="230">
        <f>K112/D112</f>
        <v>-0.96092362344582594</v>
      </c>
      <c r="M112" s="230">
        <f t="shared" ref="M112" si="69">I112/G112</f>
        <v>7.8824793980652088E-3</v>
      </c>
    </row>
    <row r="113" spans="2:13">
      <c r="B113" s="226" t="s">
        <v>218</v>
      </c>
      <c r="C113" s="229">
        <v>38.6</v>
      </c>
      <c r="D113" s="231">
        <v>2.54</v>
      </c>
      <c r="E113" s="239">
        <f t="shared" si="66"/>
        <v>2.0554651906160731E-3</v>
      </c>
      <c r="F113" s="226"/>
      <c r="G113" s="226">
        <v>33.72</v>
      </c>
      <c r="H113" s="227">
        <f t="shared" si="67"/>
        <v>6.5347064226939575E-3</v>
      </c>
      <c r="I113" s="229">
        <v>0.11</v>
      </c>
      <c r="J113" s="227">
        <f t="shared" ref="J113:J115" si="70">I113/$I$7</f>
        <v>2.4632748118953777E-4</v>
      </c>
      <c r="K113" s="229">
        <f t="shared" ref="K113:K115" si="71">I113-D113</f>
        <v>-2.4300000000000002</v>
      </c>
      <c r="L113" s="230">
        <f t="shared" ref="L113:L115" si="72">K113/D113</f>
        <v>-0.95669291338582685</v>
      </c>
      <c r="M113" s="230">
        <f t="shared" ref="M113:M115" si="73">I113/G113</f>
        <v>3.2621589561091344E-3</v>
      </c>
    </row>
    <row r="114" spans="2:13">
      <c r="B114" s="232" t="s">
        <v>219</v>
      </c>
      <c r="C114" s="226">
        <v>33.32</v>
      </c>
      <c r="D114" s="231">
        <v>2.81</v>
      </c>
      <c r="E114" s="239">
        <f t="shared" si="66"/>
        <v>2.2739595219020336E-3</v>
      </c>
      <c r="F114" s="226"/>
      <c r="G114" s="226">
        <v>33.19</v>
      </c>
      <c r="H114" s="227">
        <f t="shared" si="67"/>
        <v>6.4319960311154337E-3</v>
      </c>
      <c r="I114" s="229">
        <v>3.03</v>
      </c>
      <c r="J114" s="227">
        <f t="shared" si="70"/>
        <v>6.7852024364027227E-3</v>
      </c>
      <c r="K114" s="229">
        <f t="shared" si="71"/>
        <v>0.21999999999999975</v>
      </c>
      <c r="L114" s="230">
        <f t="shared" si="72"/>
        <v>7.8291814946619132E-2</v>
      </c>
      <c r="M114" s="230">
        <f t="shared" si="73"/>
        <v>9.1292557999397408E-2</v>
      </c>
    </row>
    <row r="115" spans="2:13">
      <c r="B115" s="233" t="s">
        <v>128</v>
      </c>
      <c r="C115" s="236">
        <f>SUM(C112:C114)</f>
        <v>100.61000000000001</v>
      </c>
      <c r="D115" s="243">
        <f>SUM(D112:D114)</f>
        <v>10.98</v>
      </c>
      <c r="E115" s="241">
        <f t="shared" si="66"/>
        <v>8.8854361389623954E-3</v>
      </c>
      <c r="F115" s="233"/>
      <c r="G115" s="233">
        <f>SUM(G112:G114)</f>
        <v>94.82</v>
      </c>
      <c r="H115" s="235">
        <f t="shared" si="67"/>
        <v>1.8375470432972746E-2</v>
      </c>
      <c r="I115" s="233">
        <f>SUM(I112:I114)</f>
        <v>3.36</v>
      </c>
      <c r="J115" s="235">
        <f t="shared" si="70"/>
        <v>7.524184879971336E-3</v>
      </c>
      <c r="K115" s="236">
        <f t="shared" si="71"/>
        <v>-7.620000000000001</v>
      </c>
      <c r="L115" s="237">
        <f t="shared" si="72"/>
        <v>-0.69398907103825147</v>
      </c>
      <c r="M115" s="237">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367" t="s">
        <v>210</v>
      </c>
      <c r="D1" s="367"/>
      <c r="E1" s="367"/>
      <c r="F1" s="367"/>
      <c r="G1" s="367"/>
      <c r="H1" s="367"/>
      <c r="I1" s="367"/>
      <c r="J1" s="367"/>
      <c r="K1" s="367"/>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368" t="s">
        <v>67</v>
      </c>
      <c r="N2" s="368"/>
      <c r="O2" s="368"/>
      <c r="P2" s="1"/>
      <c r="Q2" s="1"/>
      <c r="R2" s="1"/>
      <c r="S2" s="1"/>
      <c r="T2" s="1"/>
      <c r="U2" s="1"/>
      <c r="V2" s="1"/>
      <c r="W2" s="1"/>
      <c r="X2" s="1"/>
      <c r="Y2" s="1"/>
      <c r="Z2" s="1"/>
      <c r="AA2" s="1"/>
      <c r="AB2" s="1"/>
      <c r="AC2" s="2"/>
      <c r="AD2" s="1"/>
      <c r="AE2" s="1"/>
      <c r="AF2" s="1"/>
      <c r="AG2" s="1"/>
      <c r="AH2" s="1"/>
      <c r="AI2" s="1"/>
      <c r="AJ2" s="1"/>
      <c r="AK2" s="1"/>
      <c r="AL2" s="1"/>
      <c r="AM2" s="1"/>
      <c r="AN2" s="1"/>
      <c r="AO2" s="1"/>
      <c r="AP2" s="368" t="s">
        <v>67</v>
      </c>
      <c r="AQ2" s="368"/>
      <c r="AR2" s="368"/>
      <c r="AS2" s="1"/>
      <c r="AT2" s="1"/>
      <c r="AU2" s="1"/>
      <c r="AV2" s="2"/>
      <c r="AW2" s="1"/>
      <c r="AX2" s="1"/>
      <c r="AY2" s="1"/>
      <c r="AZ2" s="1"/>
      <c r="BA2" s="1"/>
      <c r="BB2" s="1"/>
      <c r="BC2" s="1"/>
      <c r="BD2" s="1"/>
      <c r="BE2" s="1"/>
      <c r="BF2" s="1"/>
      <c r="BG2" s="2"/>
      <c r="BH2" s="368" t="s">
        <v>67</v>
      </c>
      <c r="BI2" s="368"/>
      <c r="BJ2" s="368"/>
    </row>
    <row r="3" spans="1:63" ht="47.25">
      <c r="A3" s="3"/>
      <c r="B3" s="3"/>
      <c r="C3" s="3" t="s">
        <v>68</v>
      </c>
      <c r="D3" s="4" t="s">
        <v>69</v>
      </c>
      <c r="E3" s="3" t="s">
        <v>70</v>
      </c>
      <c r="F3" s="3" t="s">
        <v>71</v>
      </c>
      <c r="G3" s="3" t="s">
        <v>72</v>
      </c>
      <c r="H3" s="3" t="s">
        <v>73</v>
      </c>
      <c r="I3" s="3" t="s">
        <v>74</v>
      </c>
      <c r="J3" s="3" t="s">
        <v>75</v>
      </c>
      <c r="K3" s="4" t="s">
        <v>76</v>
      </c>
      <c r="L3" s="3" t="s">
        <v>77</v>
      </c>
      <c r="M3" s="3" t="s">
        <v>78</v>
      </c>
      <c r="N3" s="3" t="s">
        <v>79</v>
      </c>
      <c r="O3" s="3" t="s">
        <v>80</v>
      </c>
      <c r="P3" s="4" t="s">
        <v>81</v>
      </c>
      <c r="Q3" s="3" t="s">
        <v>82</v>
      </c>
      <c r="R3" s="4" t="s">
        <v>83</v>
      </c>
      <c r="S3" s="3" t="s">
        <v>84</v>
      </c>
      <c r="T3" s="3" t="s">
        <v>85</v>
      </c>
      <c r="U3" s="3" t="s">
        <v>101</v>
      </c>
      <c r="V3" s="3" t="s">
        <v>86</v>
      </c>
      <c r="W3" s="3" t="s">
        <v>87</v>
      </c>
      <c r="X3" s="3" t="s">
        <v>88</v>
      </c>
      <c r="Y3" s="3" t="s">
        <v>89</v>
      </c>
      <c r="Z3" s="3" t="s">
        <v>90</v>
      </c>
      <c r="AA3" s="3" t="s">
        <v>91</v>
      </c>
      <c r="AB3" s="3" t="s">
        <v>117</v>
      </c>
      <c r="AC3" s="4" t="s">
        <v>92</v>
      </c>
      <c r="AD3" s="3" t="s">
        <v>93</v>
      </c>
      <c r="AE3" s="3" t="s">
        <v>94</v>
      </c>
      <c r="AF3" s="3" t="s">
        <v>95</v>
      </c>
      <c r="AG3" s="3" t="s">
        <v>96</v>
      </c>
      <c r="AH3" s="3" t="s">
        <v>97</v>
      </c>
      <c r="AI3" s="3" t="s">
        <v>98</v>
      </c>
      <c r="AJ3" s="3" t="s">
        <v>99</v>
      </c>
      <c r="AK3" s="3" t="s">
        <v>100</v>
      </c>
      <c r="AL3" s="3" t="s">
        <v>102</v>
      </c>
      <c r="AM3" s="3" t="s">
        <v>103</v>
      </c>
      <c r="AN3" s="3" t="s">
        <v>104</v>
      </c>
      <c r="AO3" s="3" t="s">
        <v>105</v>
      </c>
      <c r="AP3" s="3" t="s">
        <v>106</v>
      </c>
      <c r="AQ3" s="3" t="s">
        <v>107</v>
      </c>
      <c r="AR3" s="3" t="s">
        <v>108</v>
      </c>
      <c r="AS3" s="3" t="s">
        <v>109</v>
      </c>
      <c r="AT3" s="39" t="s">
        <v>110</v>
      </c>
      <c r="AU3" s="39" t="s">
        <v>111</v>
      </c>
      <c r="AV3" s="39" t="s">
        <v>112</v>
      </c>
      <c r="AW3" s="3" t="s">
        <v>113</v>
      </c>
      <c r="AX3" s="3" t="s">
        <v>114</v>
      </c>
      <c r="AY3" s="3" t="s">
        <v>115</v>
      </c>
      <c r="AZ3" s="3" t="s">
        <v>116</v>
      </c>
      <c r="BA3" s="3" t="s">
        <v>118</v>
      </c>
      <c r="BB3" s="3" t="s">
        <v>119</v>
      </c>
      <c r="BC3" s="3" t="s">
        <v>120</v>
      </c>
      <c r="BD3" s="3" t="s">
        <v>121</v>
      </c>
      <c r="BE3" s="3" t="s">
        <v>122</v>
      </c>
      <c r="BF3" s="3" t="s">
        <v>123</v>
      </c>
      <c r="BG3" s="4" t="s">
        <v>142</v>
      </c>
      <c r="BH3" s="43" t="s">
        <v>124</v>
      </c>
      <c r="BI3" s="3" t="s">
        <v>125</v>
      </c>
      <c r="BJ3" s="47" t="s">
        <v>126</v>
      </c>
    </row>
    <row r="4" spans="1:63" ht="15.75">
      <c r="A4" s="128" t="s">
        <v>205</v>
      </c>
      <c r="B4" s="5" t="s">
        <v>127</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128</v>
      </c>
      <c r="BI4" s="5">
        <v>98</v>
      </c>
      <c r="BJ4" s="48"/>
    </row>
    <row r="5" spans="1:63" ht="15.75">
      <c r="A5" s="8" t="s">
        <v>129</v>
      </c>
      <c r="B5" s="11" t="s">
        <v>211</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129</v>
      </c>
      <c r="B6" s="5" t="s">
        <v>208</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212</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209</v>
      </c>
      <c r="C8" s="9">
        <f>IF('Upto Month Current'!$B$4="",0,'Upto Month Current'!$B$4)</f>
        <v>310269</v>
      </c>
      <c r="D8" s="9">
        <f>IF('Upto Month Current'!$B$5="",0,'Upto Month Current'!$B$5)</f>
        <v>175762</v>
      </c>
      <c r="E8" s="9">
        <f>IF('Upto Month Current'!$B$6="",0,'Upto Month Current'!$B$6)</f>
        <v>37</v>
      </c>
      <c r="F8" s="9">
        <f>IF('Upto Month Current'!$B$7="",0,'Upto Month Current'!$B$7)</f>
        <v>37500</v>
      </c>
      <c r="G8" s="9">
        <f>IF('Upto Month Current'!$B$8="",0,'Upto Month Current'!$B$8)</f>
        <v>17619</v>
      </c>
      <c r="H8" s="9">
        <f>IF('Upto Month Current'!$B$9="",0,'Upto Month Current'!$B$9)</f>
        <v>0</v>
      </c>
      <c r="I8" s="9">
        <f>IF('Upto Month Current'!$B$10="",0,'Upto Month Current'!$B$10)</f>
        <v>0</v>
      </c>
      <c r="J8" s="9">
        <f>IF('Upto Month Current'!$B$11="",0,'Upto Month Current'!$B$11)</f>
        <v>836</v>
      </c>
      <c r="K8" s="9">
        <f>IF('Upto Month Current'!$B$12="",0,'Upto Month Current'!$B$12)</f>
        <v>0</v>
      </c>
      <c r="L8" s="9">
        <f>IF('Upto Month Current'!$B$13="",0,'Upto Month Current'!$B$13)</f>
        <v>643</v>
      </c>
      <c r="M8" s="9">
        <f>IF('Upto Month Current'!$B$14="",0,'Upto Month Current'!$B$14)</f>
        <v>657</v>
      </c>
      <c r="N8" s="9">
        <f>IF('Upto Month Current'!$B$15="",0,'Upto Month Current'!$B$15)</f>
        <v>99</v>
      </c>
      <c r="O8" s="9">
        <f>IF('Upto Month Current'!$B$16="",0,'Upto Month Current'!$B$16)</f>
        <v>1006</v>
      </c>
      <c r="P8" s="9">
        <f>IF('Upto Month Current'!$B$17="",0,'Upto Month Current'!$B$17)</f>
        <v>7993</v>
      </c>
      <c r="Q8" s="9">
        <f>IF('Upto Month Current'!$B$18="",0,'Upto Month Current'!$B$18)</f>
        <v>0</v>
      </c>
      <c r="R8" s="9">
        <f>IF('Upto Month Current'!$B$21="",0,'Upto Month Current'!$B$21)</f>
        <v>1695</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32</v>
      </c>
      <c r="X8" s="9">
        <f>IF('Upto Month Current'!$B$40="",0,'Upto Month Current'!$B$40)</f>
        <v>0</v>
      </c>
      <c r="Y8" s="9">
        <f>IF('Upto Month Current'!$B$42="",0,'Upto Month Current'!$B$42)</f>
        <v>1108</v>
      </c>
      <c r="Z8" s="9">
        <f>IF('Upto Month Current'!$B$43="",0,'Upto Month Current'!$B$43)</f>
        <v>441</v>
      </c>
      <c r="AA8" s="9">
        <f>IF('Upto Month Current'!$B$44="",0,'Upto Month Current'!$B$44)</f>
        <v>792</v>
      </c>
      <c r="AB8" s="9">
        <f>IF('Upto Month Current'!$B$51="",0,'Upto Month Current'!$B$51)</f>
        <v>0</v>
      </c>
      <c r="AC8" s="121">
        <f t="shared" si="0"/>
        <v>556489</v>
      </c>
      <c r="AD8" s="9">
        <f>IF('Upto Month Current'!$B$19="",0,'Upto Month Current'!$B$19)</f>
        <v>2695</v>
      </c>
      <c r="AE8" s="9">
        <f>IF('Upto Month Current'!$B$20="",0,'Upto Month Current'!$B$20)</f>
        <v>1291</v>
      </c>
      <c r="AF8" s="9">
        <f>IF('Upto Month Current'!$B$22="",0,'Upto Month Current'!$B$22)</f>
        <v>34436</v>
      </c>
      <c r="AG8" s="9">
        <f>IF('Upto Month Current'!$B$23="",0,'Upto Month Current'!$B$23)</f>
        <v>0</v>
      </c>
      <c r="AH8" s="9">
        <f>IF('Upto Month Current'!$B$24="",0,'Upto Month Current'!$B$24)</f>
        <v>0</v>
      </c>
      <c r="AI8" s="9">
        <f>IF('Upto Month Current'!$B$25="",0,'Upto Month Current'!$B$25)</f>
        <v>420</v>
      </c>
      <c r="AJ8" s="9">
        <f>IF('Upto Month Current'!$B$28="",0,'Upto Month Current'!$B$28)</f>
        <v>2314</v>
      </c>
      <c r="AK8" s="9">
        <f>IF('Upto Month Current'!$B$29="",0,'Upto Month Current'!$B$29)</f>
        <v>1438</v>
      </c>
      <c r="AL8" s="9">
        <f>IF('Upto Month Current'!$B$31="",0,'Upto Month Current'!$B$31)</f>
        <v>72</v>
      </c>
      <c r="AM8" s="9">
        <f>IF('Upto Month Current'!$B$32="",0,'Upto Month Current'!$B$32)</f>
        <v>0</v>
      </c>
      <c r="AN8" s="9">
        <f>IF('Upto Month Current'!$B$33="",0,'Upto Month Current'!$B$33)</f>
        <v>15730</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1171</v>
      </c>
      <c r="AX8" s="9">
        <f>IF('Upto Month Current'!$B$47="",0,'Upto Month Current'!$B$47)</f>
        <v>0</v>
      </c>
      <c r="AY8" s="9">
        <f>IF('Upto Month Current'!$B$49="",0,'Upto Month Current'!$B$49)</f>
        <v>0</v>
      </c>
      <c r="AZ8" s="9">
        <f>IF('Upto Month Current'!$B$50="",0,'Upto Month Current'!$B$50)</f>
        <v>0</v>
      </c>
      <c r="BA8" s="9">
        <f>IF('Upto Month Current'!$B$52="",0,'Upto Month Current'!$B$52)</f>
        <v>0</v>
      </c>
      <c r="BB8" s="9">
        <f>IF('Upto Month Current'!$B$53="",0,'Upto Month Current'!$B$53)</f>
        <v>648</v>
      </c>
      <c r="BC8" s="9">
        <f>IF('Upto Month Current'!$B$54="",0,'Upto Month Current'!$B$54)</f>
        <v>648</v>
      </c>
      <c r="BD8" s="9">
        <f>IF('Upto Month Current'!$B$55="",0,'Upto Month Current'!$B$55)</f>
        <v>0</v>
      </c>
      <c r="BE8" s="9">
        <f>IF('Upto Month Current'!$B$56="",0,'Upto Month Current'!$B$56)</f>
        <v>163</v>
      </c>
      <c r="BF8" s="9">
        <f>IF('Upto Month Current'!$B$58="",0,'Upto Month Current'!$B$58)</f>
        <v>7674</v>
      </c>
      <c r="BG8" s="122">
        <f t="shared" si="2"/>
        <v>68700</v>
      </c>
      <c r="BH8" s="123">
        <f t="shared" si="3"/>
        <v>625189</v>
      </c>
      <c r="BI8" s="9">
        <f>IF('Upto Month Current'!$B$60="",0,'Upto Month Current'!$B$60)</f>
        <v>1218</v>
      </c>
      <c r="BJ8" s="124">
        <f t="shared" si="1"/>
        <v>623971</v>
      </c>
      <c r="BK8">
        <f>'Upto Month Current'!$B$61</f>
        <v>624049</v>
      </c>
    </row>
    <row r="9" spans="1:63" ht="15.75">
      <c r="A9" s="128"/>
      <c r="B9" s="5" t="s">
        <v>207</v>
      </c>
      <c r="C9" s="126">
        <f t="shared" ref="C9:AH9" si="6">C8/C5</f>
        <v>0.12768387203505546</v>
      </c>
      <c r="D9" s="126">
        <f t="shared" si="6"/>
        <v>0.40068482220611235</v>
      </c>
      <c r="E9" s="126">
        <f t="shared" si="6"/>
        <v>4.8195909860622639E-4</v>
      </c>
      <c r="F9" s="126">
        <f t="shared" si="6"/>
        <v>0.12947419665576781</v>
      </c>
      <c r="G9" s="126">
        <f t="shared" si="6"/>
        <v>0.16502290033437297</v>
      </c>
      <c r="H9" s="126" t="e">
        <f t="shared" si="6"/>
        <v>#DIV/0!</v>
      </c>
      <c r="I9" s="126" t="e">
        <f t="shared" si="6"/>
        <v>#DIV/0!</v>
      </c>
      <c r="J9" s="126" t="e">
        <f t="shared" si="6"/>
        <v>#DIV/0!</v>
      </c>
      <c r="K9" s="126" t="e">
        <f t="shared" si="6"/>
        <v>#DIV/0!</v>
      </c>
      <c r="L9" s="126">
        <f t="shared" si="6"/>
        <v>0.17378378378378379</v>
      </c>
      <c r="M9" s="126">
        <f t="shared" si="6"/>
        <v>8.4610431423052163E-2</v>
      </c>
      <c r="N9" s="126">
        <f t="shared" si="6"/>
        <v>1.6703222540914459E-2</v>
      </c>
      <c r="O9" s="126">
        <f t="shared" si="6"/>
        <v>8.053798735089264E-2</v>
      </c>
      <c r="P9" s="126">
        <f t="shared" si="6"/>
        <v>0.12735413148083236</v>
      </c>
      <c r="Q9" s="126" t="e">
        <f t="shared" si="6"/>
        <v>#DIV/0!</v>
      </c>
      <c r="R9" s="126">
        <f t="shared" si="6"/>
        <v>0.15022600372241426</v>
      </c>
      <c r="S9" s="126" t="e">
        <f t="shared" si="6"/>
        <v>#DIV/0!</v>
      </c>
      <c r="T9" s="126" t="e">
        <f t="shared" si="6"/>
        <v>#DIV/0!</v>
      </c>
      <c r="U9" s="126" t="e">
        <f t="shared" si="6"/>
        <v>#DIV/0!</v>
      </c>
      <c r="V9" s="126" t="e">
        <f t="shared" si="6"/>
        <v>#DIV/0!</v>
      </c>
      <c r="W9" s="126">
        <f t="shared" si="6"/>
        <v>5.7657657657657659E-2</v>
      </c>
      <c r="X9" s="126">
        <f t="shared" si="6"/>
        <v>0</v>
      </c>
      <c r="Y9" s="126">
        <f t="shared" si="6"/>
        <v>2.090566037735849</v>
      </c>
      <c r="Z9" s="126" t="e">
        <f t="shared" si="6"/>
        <v>#DIV/0!</v>
      </c>
      <c r="AA9" s="126" t="e">
        <f t="shared" si="6"/>
        <v>#DIV/0!</v>
      </c>
      <c r="AB9" s="126" t="e">
        <f t="shared" si="6"/>
        <v>#DIV/0!</v>
      </c>
      <c r="AC9" s="126">
        <f t="shared" si="6"/>
        <v>0.16143292612172719</v>
      </c>
      <c r="AD9" s="126">
        <f t="shared" si="6"/>
        <v>3.3464958029106442E-2</v>
      </c>
      <c r="AE9" s="126">
        <f t="shared" si="6"/>
        <v>5.6062185165885008E-2</v>
      </c>
      <c r="AF9" s="126">
        <f t="shared" si="6"/>
        <v>2.9247494479361307</v>
      </c>
      <c r="AG9" s="126" t="e">
        <f t="shared" si="6"/>
        <v>#DIV/0!</v>
      </c>
      <c r="AH9" s="126">
        <f t="shared" si="6"/>
        <v>0</v>
      </c>
      <c r="AI9" s="126">
        <f t="shared" ref="AI9:BJ9" si="7">AI8/AI5</f>
        <v>1.75</v>
      </c>
      <c r="AJ9" s="126">
        <f t="shared" si="7"/>
        <v>0.24711661683041436</v>
      </c>
      <c r="AK9" s="126">
        <f t="shared" si="7"/>
        <v>8.0650588895120584E-2</v>
      </c>
      <c r="AL9" s="126">
        <f t="shared" si="7"/>
        <v>6.8246445497630329E-2</v>
      </c>
      <c r="AM9" s="126">
        <f t="shared" si="7"/>
        <v>0</v>
      </c>
      <c r="AN9" s="126">
        <f t="shared" si="7"/>
        <v>0.1974766179147574</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v>
      </c>
      <c r="AW9" s="126">
        <f t="shared" si="7"/>
        <v>0.11219699147264539</v>
      </c>
      <c r="AX9" s="126">
        <f t="shared" si="7"/>
        <v>0</v>
      </c>
      <c r="AY9" s="126" t="e">
        <f t="shared" si="7"/>
        <v>#DIV/0!</v>
      </c>
      <c r="AZ9" s="126" t="e">
        <f t="shared" si="7"/>
        <v>#DIV/0!</v>
      </c>
      <c r="BA9" s="126" t="e">
        <f t="shared" si="7"/>
        <v>#DIV/0!</v>
      </c>
      <c r="BB9" s="126">
        <f t="shared" si="7"/>
        <v>0.34213305174234426</v>
      </c>
      <c r="BC9" s="126">
        <f t="shared" si="7"/>
        <v>0.32910106653123411</v>
      </c>
      <c r="BD9" s="126">
        <f t="shared" si="7"/>
        <v>0</v>
      </c>
      <c r="BE9" s="126">
        <f t="shared" si="7"/>
        <v>0.21675531914893617</v>
      </c>
      <c r="BF9" s="126">
        <f t="shared" si="7"/>
        <v>9.3976169191393483E-2</v>
      </c>
      <c r="BG9" s="126">
        <f t="shared" si="7"/>
        <v>0.20548682730731496</v>
      </c>
      <c r="BH9" s="126">
        <f t="shared" si="7"/>
        <v>0.16532778423022326</v>
      </c>
      <c r="BI9" s="126">
        <f t="shared" si="7"/>
        <v>6.5791605898557773E-2</v>
      </c>
      <c r="BJ9" s="126">
        <f t="shared" si="7"/>
        <v>0.16581747696451687</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134</v>
      </c>
      <c r="B11" s="11" t="s">
        <v>211</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134</v>
      </c>
      <c r="B12" s="5" t="s">
        <v>208</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209</v>
      </c>
      <c r="C14" s="9">
        <f>IF('Upto Month Current'!$C$4="",0,'Upto Month Current'!$C$4)</f>
        <v>552117</v>
      </c>
      <c r="D14" s="9">
        <f>IF('Upto Month Current'!$C$5="",0,'Upto Month Current'!$C$5)</f>
        <v>271549</v>
      </c>
      <c r="E14" s="9">
        <f>IF('Upto Month Current'!$C$6="",0,'Upto Month Current'!$C$6)</f>
        <v>143</v>
      </c>
      <c r="F14" s="9">
        <f>IF('Upto Month Current'!$C$7="",0,'Upto Month Current'!$C$7)</f>
        <v>39579</v>
      </c>
      <c r="G14" s="9">
        <f>IF('Upto Month Current'!$C$8="",0,'Upto Month Current'!$C$8)</f>
        <v>37489</v>
      </c>
      <c r="H14" s="9">
        <f>IF('Upto Month Current'!$C$9="",0,'Upto Month Current'!$C$9)</f>
        <v>0</v>
      </c>
      <c r="I14" s="9">
        <f>IF('Upto Month Current'!$C$10="",0,'Upto Month Current'!$C$10)</f>
        <v>0</v>
      </c>
      <c r="J14" s="9">
        <f>IF('Upto Month Current'!$C$11="",0,'Upto Month Current'!$C$11)</f>
        <v>0</v>
      </c>
      <c r="K14" s="9">
        <f>IF('Upto Month Current'!$C$12="",0,'Upto Month Current'!$C$12)</f>
        <v>84</v>
      </c>
      <c r="L14" s="9">
        <f>IF('Upto Month Current'!$C$13="",0,'Upto Month Current'!$C$13)</f>
        <v>19798</v>
      </c>
      <c r="M14" s="9">
        <f>IF('Upto Month Current'!$C$14="",0,'Upto Month Current'!$C$14)</f>
        <v>43861</v>
      </c>
      <c r="N14" s="9">
        <f>IF('Upto Month Current'!$C$15="",0,'Upto Month Current'!$C$15)</f>
        <v>8</v>
      </c>
      <c r="O14" s="9">
        <f>IF('Upto Month Current'!$C$16="",0,'Upto Month Current'!$C$16)</f>
        <v>581</v>
      </c>
      <c r="P14" s="9">
        <f>IF('Upto Month Current'!$C$17="",0,'Upto Month Current'!$C$17)</f>
        <v>42069</v>
      </c>
      <c r="Q14" s="9">
        <f>IF('Upto Month Current'!$C$18="",0,'Upto Month Current'!$C$18)</f>
        <v>0</v>
      </c>
      <c r="R14" s="9">
        <f>IF('Upto Month Current'!$C$21="",0,'Upto Month Current'!$C$21)</f>
        <v>462</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961</v>
      </c>
      <c r="Z14" s="9">
        <f>IF('Upto Month Current'!$C$43="",0,'Upto Month Current'!$C$43)</f>
        <v>426</v>
      </c>
      <c r="AA14" s="9">
        <f>IF('Upto Month Current'!$C$44="",0,'Upto Month Current'!$C$44)</f>
        <v>246</v>
      </c>
      <c r="AB14" s="9">
        <f>IF('Upto Month Current'!$C$51="",0,'Upto Month Current'!$C$51)</f>
        <v>0</v>
      </c>
      <c r="AC14" s="121">
        <f t="shared" si="8"/>
        <v>1009373</v>
      </c>
      <c r="AD14" s="9">
        <f>IF('Upto Month Current'!$C$19="",0,'Upto Month Current'!$C$19)</f>
        <v>743</v>
      </c>
      <c r="AE14" s="9">
        <f>IF('Upto Month Current'!$C$20="",0,'Upto Month Current'!$C$20)</f>
        <v>217</v>
      </c>
      <c r="AF14" s="9">
        <f>IF('Upto Month Current'!$C$22="",0,'Upto Month Current'!$C$22)</f>
        <v>9105</v>
      </c>
      <c r="AG14" s="9">
        <f>IF('Upto Month Current'!$C$23="",0,'Upto Month Current'!$C$23)</f>
        <v>0</v>
      </c>
      <c r="AH14" s="9">
        <f>IF('Upto Month Current'!$C$24="",0,'Upto Month Current'!$C$24)</f>
        <v>0</v>
      </c>
      <c r="AI14" s="9">
        <f>IF('Upto Month Current'!$C$25="",0,'Upto Month Current'!$C$25)</f>
        <v>25</v>
      </c>
      <c r="AJ14" s="9">
        <f>IF('Upto Month Current'!$C$28="",0,'Upto Month Current'!$C$28)</f>
        <v>1337</v>
      </c>
      <c r="AK14" s="9">
        <f>IF('Upto Month Current'!$C$29="",0,'Upto Month Current'!$C$29)</f>
        <v>35812</v>
      </c>
      <c r="AL14" s="9">
        <f>IF('Upto Month Current'!$C$31="",0,'Upto Month Current'!$C$31)</f>
        <v>0</v>
      </c>
      <c r="AM14" s="9">
        <f>IF('Upto Month Current'!$C$32="",0,'Upto Month Current'!$C$32)</f>
        <v>17876</v>
      </c>
      <c r="AN14" s="9">
        <f>IF('Upto Month Current'!$C$33="",0,'Upto Month Current'!$C$33)</f>
        <v>128528</v>
      </c>
      <c r="AO14" s="9">
        <f>IF('Upto Month Current'!$C$34="",0,'Upto Month Current'!$C$34)</f>
        <v>11862</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33</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9579</v>
      </c>
      <c r="BC14" s="9">
        <f>IF('Upto Month Current'!$C$54="",0,'Upto Month Current'!$C$54)</f>
        <v>9579</v>
      </c>
      <c r="BD14" s="9">
        <f>IF('Upto Month Current'!$C$55="",0,'Upto Month Current'!$C$55)</f>
        <v>0</v>
      </c>
      <c r="BE14" s="9">
        <f>IF('Upto Month Current'!$C$56="",0,'Upto Month Current'!$C$56)</f>
        <v>1880</v>
      </c>
      <c r="BF14" s="9">
        <f>IF('Upto Month Current'!$C$58="",0,'Upto Month Current'!$C$58)</f>
        <v>46</v>
      </c>
      <c r="BG14" s="122">
        <f t="shared" si="10"/>
        <v>226622</v>
      </c>
      <c r="BH14" s="123">
        <f t="shared" si="11"/>
        <v>1235995</v>
      </c>
      <c r="BI14" s="9">
        <f>IF('Upto Month Current'!$C$60="",0,'Upto Month Current'!$C$60)</f>
        <v>44754</v>
      </c>
      <c r="BJ14" s="124">
        <f t="shared" si="9"/>
        <v>1191241</v>
      </c>
      <c r="BK14">
        <f>'Upto Month Current'!$C$61</f>
        <v>1191241</v>
      </c>
    </row>
    <row r="15" spans="1:63" ht="15.75">
      <c r="A15" s="128"/>
      <c r="B15" s="5" t="s">
        <v>207</v>
      </c>
      <c r="C15" s="126">
        <f t="shared" ref="C15:AH15" si="14">C14/C11</f>
        <v>0.11847094150277726</v>
      </c>
      <c r="D15" s="126">
        <f t="shared" si="14"/>
        <v>0.3679032216545477</v>
      </c>
      <c r="E15" s="126">
        <f t="shared" si="14"/>
        <v>5.1610574754127941E-4</v>
      </c>
      <c r="F15" s="126">
        <f t="shared" si="14"/>
        <v>0.11606710830760027</v>
      </c>
      <c r="G15" s="126">
        <f t="shared" si="14"/>
        <v>0.14744472150335486</v>
      </c>
      <c r="H15" s="126" t="e">
        <f t="shared" si="14"/>
        <v>#DIV/0!</v>
      </c>
      <c r="I15" s="126" t="e">
        <f t="shared" si="14"/>
        <v>#DIV/0!</v>
      </c>
      <c r="J15" s="126" t="e">
        <f t="shared" si="14"/>
        <v>#DIV/0!</v>
      </c>
      <c r="K15" s="126" t="e">
        <f t="shared" si="14"/>
        <v>#DIV/0!</v>
      </c>
      <c r="L15" s="126">
        <f t="shared" si="14"/>
        <v>0.37947558077129495</v>
      </c>
      <c r="M15" s="126">
        <f t="shared" si="14"/>
        <v>0.14215706928459612</v>
      </c>
      <c r="N15" s="126">
        <f t="shared" si="14"/>
        <v>3.0303030303030304E-2</v>
      </c>
      <c r="O15" s="126">
        <f t="shared" si="14"/>
        <v>6.4771460423634339E-2</v>
      </c>
      <c r="P15" s="126">
        <f t="shared" si="14"/>
        <v>0.17441325356649792</v>
      </c>
      <c r="Q15" s="126" t="e">
        <f t="shared" si="14"/>
        <v>#DIV/0!</v>
      </c>
      <c r="R15" s="126">
        <f t="shared" si="14"/>
        <v>0.10303300624442462</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0.14657435362306381</v>
      </c>
      <c r="AD15" s="126">
        <f t="shared" si="14"/>
        <v>7.6385319214557421E-2</v>
      </c>
      <c r="AE15" s="126">
        <f t="shared" si="14"/>
        <v>4.34</v>
      </c>
      <c r="AF15" s="126">
        <f t="shared" si="14"/>
        <v>0.30366195304162219</v>
      </c>
      <c r="AG15" s="126" t="e">
        <f t="shared" si="14"/>
        <v>#DIV/0!</v>
      </c>
      <c r="AH15" s="126" t="e">
        <f t="shared" si="14"/>
        <v>#DIV/0!</v>
      </c>
      <c r="AI15" s="126" t="e">
        <f t="shared" ref="AI15:BJ15" si="15">AI14/AI11</f>
        <v>#DIV/0!</v>
      </c>
      <c r="AJ15" s="126">
        <f t="shared" si="15"/>
        <v>6.333251226860185E-3</v>
      </c>
      <c r="AK15" s="126">
        <f t="shared" si="15"/>
        <v>0.10354628384727704</v>
      </c>
      <c r="AL15" s="126" t="e">
        <f t="shared" si="15"/>
        <v>#DIV/0!</v>
      </c>
      <c r="AM15" s="126">
        <f t="shared" si="15"/>
        <v>0.52015014403352056</v>
      </c>
      <c r="AN15" s="126">
        <f t="shared" si="15"/>
        <v>0.14354206988361665</v>
      </c>
      <c r="AO15" s="126">
        <f t="shared" si="15"/>
        <v>-0.16813130740446763</v>
      </c>
      <c r="AP15" s="126" t="e">
        <f t="shared" si="15"/>
        <v>#DIV/0!</v>
      </c>
      <c r="AQ15" s="126" t="e">
        <f t="shared" si="15"/>
        <v>#DIV/0!</v>
      </c>
      <c r="AR15" s="126" t="e">
        <f t="shared" si="15"/>
        <v>#DIV/0!</v>
      </c>
      <c r="AS15" s="126" t="e">
        <f t="shared" si="15"/>
        <v>#DIV/0!</v>
      </c>
      <c r="AT15" s="126" t="e">
        <f t="shared" si="15"/>
        <v>#DIV/0!</v>
      </c>
      <c r="AU15" s="126">
        <f t="shared" si="15"/>
        <v>0</v>
      </c>
      <c r="AV15" s="126">
        <f t="shared" si="15"/>
        <v>0</v>
      </c>
      <c r="AW15" s="126">
        <f t="shared" si="15"/>
        <v>8.2914572864321606E-2</v>
      </c>
      <c r="AX15" s="126">
        <f t="shared" si="15"/>
        <v>0</v>
      </c>
      <c r="AY15" s="126" t="e">
        <f t="shared" si="15"/>
        <v>#DIV/0!</v>
      </c>
      <c r="AZ15" s="126" t="e">
        <f t="shared" si="15"/>
        <v>#DIV/0!</v>
      </c>
      <c r="BA15" s="126" t="e">
        <f t="shared" si="15"/>
        <v>#DIV/0!</v>
      </c>
      <c r="BB15" s="126">
        <f t="shared" si="15"/>
        <v>0.39419753086419751</v>
      </c>
      <c r="BC15" s="126">
        <f t="shared" si="15"/>
        <v>0.39422997777594865</v>
      </c>
      <c r="BD15" s="126" t="e">
        <f t="shared" si="15"/>
        <v>#DIV/0!</v>
      </c>
      <c r="BE15" s="126">
        <f t="shared" si="15"/>
        <v>0.18608334158170842</v>
      </c>
      <c r="BF15" s="126">
        <f t="shared" si="15"/>
        <v>1.5213149452657341E-3</v>
      </c>
      <c r="BG15" s="126">
        <f t="shared" si="15"/>
        <v>0.14660992606815601</v>
      </c>
      <c r="BH15" s="126">
        <f t="shared" si="15"/>
        <v>0.14658087460512839</v>
      </c>
      <c r="BI15" s="126">
        <f t="shared" si="15"/>
        <v>0.69972951422004726</v>
      </c>
      <c r="BJ15" s="126">
        <f t="shared" si="15"/>
        <v>0.14235310960095179</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135</v>
      </c>
      <c r="B17" s="11" t="s">
        <v>211</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135</v>
      </c>
      <c r="B18" s="5" t="s">
        <v>208</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212</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209</v>
      </c>
      <c r="C20" s="9">
        <f>IF('Upto Month Current'!$D$4="",0,'Upto Month Current'!$D$4)</f>
        <v>80893</v>
      </c>
      <c r="D20" s="9">
        <f>IF('Upto Month Current'!$D$5="",0,'Upto Month Current'!$D$5)</f>
        <v>49676</v>
      </c>
      <c r="E20" s="9">
        <f>IF('Upto Month Current'!$D$6="",0,'Upto Month Current'!$D$6)</f>
        <v>0</v>
      </c>
      <c r="F20" s="9">
        <f>IF('Upto Month Current'!$D$7="",0,'Upto Month Current'!$D$7)</f>
        <v>10028</v>
      </c>
      <c r="G20" s="9">
        <f>IF('Upto Month Current'!$D$8="",0,'Upto Month Current'!$D$8)</f>
        <v>9104</v>
      </c>
      <c r="H20" s="9">
        <f>IF('Upto Month Current'!$D$9="",0,'Upto Month Current'!$D$9)</f>
        <v>0</v>
      </c>
      <c r="I20" s="9">
        <f>IF('Upto Month Current'!$D$10="",0,'Upto Month Current'!$D$10)</f>
        <v>0</v>
      </c>
      <c r="J20" s="9">
        <f>IF('Upto Month Current'!$D$11="",0,'Upto Month Current'!$D$11)</f>
        <v>41</v>
      </c>
      <c r="K20" s="9">
        <f>IF('Upto Month Current'!$D$12="",0,'Upto Month Current'!$D$12)</f>
        <v>221</v>
      </c>
      <c r="L20" s="9">
        <f>IF('Upto Month Current'!$D$13="",0,'Upto Month Current'!$D$13)</f>
        <v>1514</v>
      </c>
      <c r="M20" s="9">
        <f>IF('Upto Month Current'!$D$14="",0,'Upto Month Current'!$D$14)</f>
        <v>837</v>
      </c>
      <c r="N20" s="9">
        <f>IF('Upto Month Current'!$D$15="",0,'Upto Month Current'!$D$15)</f>
        <v>0</v>
      </c>
      <c r="O20" s="9">
        <f>IF('Upto Month Current'!$D$16="",0,'Upto Month Current'!$D$16)</f>
        <v>256</v>
      </c>
      <c r="P20" s="9">
        <f>IF('Upto Month Current'!$D$17="",0,'Upto Month Current'!$D$17)</f>
        <v>1021</v>
      </c>
      <c r="Q20" s="9">
        <f>IF('Upto Month Current'!$D$18="",0,'Upto Month Current'!$D$18)</f>
        <v>0</v>
      </c>
      <c r="R20" s="9">
        <f>IF('Upto Month Current'!$D$21="",0,'Upto Month Current'!$D$21)</f>
        <v>232</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209</v>
      </c>
      <c r="Z20" s="9">
        <f>IF('Upto Month Current'!$D$43="",0,'Upto Month Current'!$D$43)</f>
        <v>84</v>
      </c>
      <c r="AA20" s="9">
        <f>IF('Upto Month Current'!$D$44="",0,'Upto Month Current'!$D$44)</f>
        <v>27</v>
      </c>
      <c r="AB20" s="9">
        <f>IF('Upto Month Current'!$D$51="",0,'Upto Month Current'!$D$51)</f>
        <v>16437</v>
      </c>
      <c r="AC20" s="121">
        <f t="shared" si="16"/>
        <v>170580</v>
      </c>
      <c r="AD20" s="9">
        <f>IF('Upto Month Current'!$D$19="",0,'Upto Month Current'!$D$19)</f>
        <v>177</v>
      </c>
      <c r="AE20" s="9">
        <f>IF('Upto Month Current'!$D$20="",0,'Upto Month Current'!$D$20)</f>
        <v>156</v>
      </c>
      <c r="AF20" s="9">
        <f>IF('Upto Month Current'!$D$22="",0,'Upto Month Current'!$D$22)</f>
        <v>387</v>
      </c>
      <c r="AG20" s="9">
        <f>IF('Upto Month Current'!$D$23="",0,'Upto Month Current'!$D$23)</f>
        <v>0</v>
      </c>
      <c r="AH20" s="9">
        <f>IF('Upto Month Current'!$D$24="",0,'Upto Month Current'!$D$24)</f>
        <v>0</v>
      </c>
      <c r="AI20" s="9">
        <f>IF('Upto Month Current'!$D$25="",0,'Upto Month Current'!$D$25)</f>
        <v>19</v>
      </c>
      <c r="AJ20" s="9">
        <f>IF('Upto Month Current'!$D$28="",0,'Upto Month Current'!$D$28)</f>
        <v>64278</v>
      </c>
      <c r="AK20" s="9">
        <f>IF('Upto Month Current'!$D$29="",0,'Upto Month Current'!$D$29)</f>
        <v>15941</v>
      </c>
      <c r="AL20" s="9">
        <f>IF('Upto Month Current'!$D$31="",0,'Upto Month Current'!$D$31)</f>
        <v>0</v>
      </c>
      <c r="AM20" s="9">
        <f>IF('Upto Month Current'!$D$32="",0,'Upto Month Current'!$D$32)</f>
        <v>50</v>
      </c>
      <c r="AN20" s="9">
        <f>IF('Upto Month Current'!$D$33="",0,'Upto Month Current'!$D$33)</f>
        <v>10364</v>
      </c>
      <c r="AO20" s="9">
        <f>IF('Upto Month Current'!$D$34="",0,'Upto Month Current'!$D$34)</f>
        <v>-291</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51</v>
      </c>
      <c r="AX20" s="9">
        <f>IF('Upto Month Current'!$D$47="",0,'Upto Month Current'!$D$47)</f>
        <v>0</v>
      </c>
      <c r="AY20" s="9">
        <f>IF('Upto Month Current'!$D$49="",0,'Upto Month Current'!$D$49)</f>
        <v>0</v>
      </c>
      <c r="AZ20" s="9">
        <f>IF('Upto Month Current'!$D$50="",0,'Upto Month Current'!$D$50)</f>
        <v>0</v>
      </c>
      <c r="BA20" s="9">
        <f>IF('Upto Month Current'!$D$52="",0,'Upto Month Current'!$D$52)</f>
        <v>20234</v>
      </c>
      <c r="BB20" s="9">
        <f>IF('Upto Month Current'!$D$53="",0,'Upto Month Current'!$D$53)</f>
        <v>395</v>
      </c>
      <c r="BC20" s="9">
        <f>IF('Upto Month Current'!$D$54="",0,'Upto Month Current'!$D$54)</f>
        <v>395</v>
      </c>
      <c r="BD20" s="9">
        <f>IF('Upto Month Current'!$D$55="",0,'Upto Month Current'!$D$55)</f>
        <v>0</v>
      </c>
      <c r="BE20" s="9">
        <f>IF('Upto Month Current'!$D$56="",0,'Upto Month Current'!$D$56)</f>
        <v>2796</v>
      </c>
      <c r="BF20" s="9">
        <f>IF('Upto Month Current'!$D$58="",0,'Upto Month Current'!$D$58)</f>
        <v>16</v>
      </c>
      <c r="BG20" s="122">
        <f t="shared" si="18"/>
        <v>114968</v>
      </c>
      <c r="BH20" s="123">
        <f t="shared" si="19"/>
        <v>285548</v>
      </c>
      <c r="BI20" s="9">
        <f>IF('Upto Month Current'!$D$60="",0,'Upto Month Current'!$D$60)</f>
        <v>0</v>
      </c>
      <c r="BJ20" s="124">
        <f t="shared" si="17"/>
        <v>285548</v>
      </c>
      <c r="BK20">
        <f>'Upto Month Current'!$D$61</f>
        <v>285545</v>
      </c>
    </row>
    <row r="21" spans="1:63" ht="15.75">
      <c r="A21" s="128"/>
      <c r="B21" s="5" t="s">
        <v>207</v>
      </c>
      <c r="C21" s="126">
        <f t="shared" ref="C21:AH21" si="22">C20/C17</f>
        <v>0.10229623709488955</v>
      </c>
      <c r="D21" s="126">
        <f t="shared" si="22"/>
        <v>0.31046723831904205</v>
      </c>
      <c r="E21" s="126">
        <f t="shared" si="22"/>
        <v>0</v>
      </c>
      <c r="F21" s="126">
        <f t="shared" si="22"/>
        <v>0.10618269607479802</v>
      </c>
      <c r="G21" s="126">
        <f t="shared" si="22"/>
        <v>0.13190952953620122</v>
      </c>
      <c r="H21" s="126" t="e">
        <f t="shared" si="22"/>
        <v>#DIV/0!</v>
      </c>
      <c r="I21" s="126" t="e">
        <f t="shared" si="22"/>
        <v>#DIV/0!</v>
      </c>
      <c r="J21" s="126" t="e">
        <f t="shared" si="22"/>
        <v>#DIV/0!</v>
      </c>
      <c r="K21" s="126">
        <f t="shared" si="22"/>
        <v>0.27216748768472904</v>
      </c>
      <c r="L21" s="126">
        <f t="shared" si="22"/>
        <v>0.2008756799787714</v>
      </c>
      <c r="M21" s="126">
        <f t="shared" si="22"/>
        <v>0.12470202622169249</v>
      </c>
      <c r="N21" s="126">
        <f t="shared" si="22"/>
        <v>0</v>
      </c>
      <c r="O21" s="126">
        <f t="shared" si="22"/>
        <v>9.3430656934306563E-2</v>
      </c>
      <c r="P21" s="126">
        <f t="shared" si="22"/>
        <v>8.2418469486599935E-2</v>
      </c>
      <c r="Q21" s="126" t="e">
        <f t="shared" si="22"/>
        <v>#DIV/0!</v>
      </c>
      <c r="R21" s="126">
        <f t="shared" si="22"/>
        <v>0.15750169721656485</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5.3304233336143883E-2</v>
      </c>
      <c r="AC21" s="126">
        <f t="shared" si="22"/>
        <v>0.11327956903558963</v>
      </c>
      <c r="AD21" s="126">
        <f t="shared" si="22"/>
        <v>0.26656626506024095</v>
      </c>
      <c r="AE21" s="126" t="e">
        <f t="shared" si="22"/>
        <v>#DIV/0!</v>
      </c>
      <c r="AF21" s="126">
        <f t="shared" si="22"/>
        <v>1.1184971098265897</v>
      </c>
      <c r="AG21" s="126" t="e">
        <f t="shared" si="22"/>
        <v>#DIV/0!</v>
      </c>
      <c r="AH21" s="126" t="e">
        <f t="shared" si="22"/>
        <v>#DIV/0!</v>
      </c>
      <c r="AI21" s="126" t="e">
        <f t="shared" ref="AI21:BJ21" si="23">AI20/AI17</f>
        <v>#DIV/0!</v>
      </c>
      <c r="AJ21" s="126">
        <f t="shared" si="23"/>
        <v>0.19129218498898876</v>
      </c>
      <c r="AK21" s="126">
        <f t="shared" si="23"/>
        <v>0.16259358234226148</v>
      </c>
      <c r="AL21" s="126" t="e">
        <f t="shared" si="23"/>
        <v>#DIV/0!</v>
      </c>
      <c r="AM21" s="126" t="e">
        <f t="shared" si="23"/>
        <v>#DIV/0!</v>
      </c>
      <c r="AN21" s="126">
        <f t="shared" si="23"/>
        <v>9.9883385857884949E-2</v>
      </c>
      <c r="AO21" s="126">
        <f t="shared" si="23"/>
        <v>-2.8183473443613681E-3</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0.64556962025316456</v>
      </c>
      <c r="AX21" s="126">
        <f t="shared" si="23"/>
        <v>0</v>
      </c>
      <c r="AY21" s="126" t="e">
        <f t="shared" si="23"/>
        <v>#DIV/0!</v>
      </c>
      <c r="AZ21" s="126" t="e">
        <f t="shared" si="23"/>
        <v>#DIV/0!</v>
      </c>
      <c r="BA21" s="126">
        <f t="shared" si="23"/>
        <v>8.7648090792921962E-2</v>
      </c>
      <c r="BB21" s="126">
        <f t="shared" si="23"/>
        <v>0.15345765345765347</v>
      </c>
      <c r="BC21" s="126">
        <f t="shared" si="23"/>
        <v>0.15345765345765347</v>
      </c>
      <c r="BD21" s="126" t="e">
        <f t="shared" si="23"/>
        <v>#DIV/0!</v>
      </c>
      <c r="BE21" s="126">
        <f t="shared" si="23"/>
        <v>0.75445223961144092</v>
      </c>
      <c r="BF21" s="126">
        <f t="shared" si="23"/>
        <v>1.7758046614872364E-2</v>
      </c>
      <c r="BG21" s="126">
        <f t="shared" si="23"/>
        <v>0.13021544762409587</v>
      </c>
      <c r="BH21" s="126">
        <f t="shared" si="23"/>
        <v>0.11953927136420989</v>
      </c>
      <c r="BI21" s="126">
        <f t="shared" si="23"/>
        <v>0</v>
      </c>
      <c r="BJ21" s="126">
        <f t="shared" si="23"/>
        <v>0.12321965659642961</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136</v>
      </c>
      <c r="B23" s="11" t="s">
        <v>211</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136</v>
      </c>
      <c r="B24" s="5" t="s">
        <v>208</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209</v>
      </c>
      <c r="C26" s="9">
        <f>IF('Upto Month Current'!$E$4="",0,'Upto Month Current'!$E$4)</f>
        <v>164370</v>
      </c>
      <c r="D26" s="9">
        <f>IF('Upto Month Current'!$E$5="",0,'Upto Month Current'!$E$5)</f>
        <v>97245</v>
      </c>
      <c r="E26" s="9">
        <f>IF('Upto Month Current'!$E$6="",0,'Upto Month Current'!$E$6)</f>
        <v>58</v>
      </c>
      <c r="F26" s="9">
        <f>IF('Upto Month Current'!$E$7="",0,'Upto Month Current'!$E$7)</f>
        <v>22483</v>
      </c>
      <c r="G26" s="9">
        <f>IF('Upto Month Current'!$E$8="",0,'Upto Month Current'!$E$8)</f>
        <v>13658</v>
      </c>
      <c r="H26" s="9">
        <f>IF('Upto Month Current'!$E$9="",0,'Upto Month Current'!$E$9)</f>
        <v>0</v>
      </c>
      <c r="I26" s="9">
        <f>IF('Upto Month Current'!$E$10="",0,'Upto Month Current'!$E$10)</f>
        <v>0</v>
      </c>
      <c r="J26" s="9">
        <f>IF('Upto Month Current'!$E$11="",0,'Upto Month Current'!$E$11)</f>
        <v>0</v>
      </c>
      <c r="K26" s="9">
        <f>IF('Upto Month Current'!$E$12="",0,'Upto Month Current'!$E$12)</f>
        <v>475</v>
      </c>
      <c r="L26" s="9">
        <f>IF('Upto Month Current'!$E$13="",0,'Upto Month Current'!$E$13)</f>
        <v>6481</v>
      </c>
      <c r="M26" s="9">
        <f>IF('Upto Month Current'!$E$14="",0,'Upto Month Current'!$E$14)</f>
        <v>2823</v>
      </c>
      <c r="N26" s="9">
        <f>IF('Upto Month Current'!$E$15="",0,'Upto Month Current'!$E$15)</f>
        <v>104</v>
      </c>
      <c r="O26" s="9">
        <f>IF('Upto Month Current'!$E$16="",0,'Upto Month Current'!$E$16)</f>
        <v>234</v>
      </c>
      <c r="P26" s="9">
        <f>IF('Upto Month Current'!$E$17="",0,'Upto Month Current'!$E$17)</f>
        <v>4301</v>
      </c>
      <c r="Q26" s="9">
        <f>IF('Upto Month Current'!$E$18="",0,'Upto Month Current'!$E$18)</f>
        <v>0</v>
      </c>
      <c r="R26" s="9">
        <f>IF('Upto Month Current'!$E$21="",0,'Upto Month Current'!$E$21)</f>
        <v>728</v>
      </c>
      <c r="S26" s="9">
        <f>IF('Upto Month Current'!$E$26="",0,'Upto Month Current'!$E$26)</f>
        <v>0</v>
      </c>
      <c r="T26" s="9">
        <f>IF('Upto Month Current'!$E$27="",0,'Upto Month Current'!$E$27)</f>
        <v>0</v>
      </c>
      <c r="U26" s="9">
        <f>IF('Upto Month Current'!$E$30="",0,'Upto Month Current'!$E$30)</f>
        <v>0</v>
      </c>
      <c r="V26" s="9">
        <f>IF('Upto Month Current'!$E$35="",0,'Upto Month Current'!$E$35)</f>
        <v>21973</v>
      </c>
      <c r="W26" s="9">
        <f>IF('Upto Month Current'!$E$39="",0,'Upto Month Current'!$E$39)</f>
        <v>0</v>
      </c>
      <c r="X26" s="9">
        <f>IF('Upto Month Current'!$E$40="",0,'Upto Month Current'!$E$40)</f>
        <v>0</v>
      </c>
      <c r="Y26" s="9">
        <f>IF('Upto Month Current'!$E$42="",0,'Upto Month Current'!$E$42)</f>
        <v>1195</v>
      </c>
      <c r="Z26" s="9">
        <f>IF('Upto Month Current'!$E$43="",0,'Upto Month Current'!$E$43)</f>
        <v>527</v>
      </c>
      <c r="AA26" s="9">
        <f>IF('Upto Month Current'!$E$44="",0,'Upto Month Current'!$E$44)</f>
        <v>133</v>
      </c>
      <c r="AB26" s="9">
        <f>IF('Upto Month Current'!$E$51="",0,'Upto Month Current'!$E$51)</f>
        <v>131661</v>
      </c>
      <c r="AC26" s="121">
        <f t="shared" si="24"/>
        <v>468449</v>
      </c>
      <c r="AD26" s="9">
        <f>IF('Upto Month Current'!$E$19="",0,'Upto Month Current'!$E$19)</f>
        <v>68</v>
      </c>
      <c r="AE26" s="9">
        <f>IF('Upto Month Current'!$E$20="",0,'Upto Month Current'!$E$20)</f>
        <v>10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88335</v>
      </c>
      <c r="AK26" s="9">
        <f>IF('Upto Month Current'!$E$29="",0,'Upto Month Current'!$E$29)</f>
        <v>13892</v>
      </c>
      <c r="AL26" s="9">
        <f>IF('Upto Month Current'!$E$31="",0,'Upto Month Current'!$E$31)</f>
        <v>28</v>
      </c>
      <c r="AM26" s="9">
        <f>IF('Upto Month Current'!$E$32="",0,'Upto Month Current'!$E$32)</f>
        <v>0</v>
      </c>
      <c r="AN26" s="9">
        <f>IF('Upto Month Current'!$E$33="",0,'Upto Month Current'!$E$33)</f>
        <v>8543</v>
      </c>
      <c r="AO26" s="9">
        <f>IF('Upto Month Current'!$E$34="",0,'Upto Month Current'!$E$34)</f>
        <v>-129786</v>
      </c>
      <c r="AP26" s="9">
        <f>IF('Upto Month Current'!$E$36="",0,'Upto Month Current'!$E$36)</f>
        <v>36572</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149865</v>
      </c>
      <c r="BB26" s="9">
        <f>IF('Upto Month Current'!$E$53="",0,'Upto Month Current'!$E$53)</f>
        <v>414</v>
      </c>
      <c r="BC26" s="9">
        <f>IF('Upto Month Current'!$E$54="",0,'Upto Month Current'!$E$54)</f>
        <v>414</v>
      </c>
      <c r="BD26" s="9">
        <f>IF('Upto Month Current'!$E$55="",0,'Upto Month Current'!$E$55)</f>
        <v>0</v>
      </c>
      <c r="BE26" s="9">
        <f>IF('Upto Month Current'!$E$56="",0,'Upto Month Current'!$E$56)</f>
        <v>2680</v>
      </c>
      <c r="BF26" s="9">
        <f>IF('Upto Month Current'!$E$58="",0,'Upto Month Current'!$E$58)</f>
        <v>0</v>
      </c>
      <c r="BG26" s="122">
        <f t="shared" si="26"/>
        <v>171035</v>
      </c>
      <c r="BH26" s="123">
        <f t="shared" si="27"/>
        <v>639484</v>
      </c>
      <c r="BI26" s="9">
        <f>IF('Upto Month Current'!$E$60="",0,'Upto Month Current'!$E$60)</f>
        <v>4316</v>
      </c>
      <c r="BJ26" s="124">
        <f t="shared" si="25"/>
        <v>635168</v>
      </c>
      <c r="BK26">
        <f>'Upto Month Current'!$E$61</f>
        <v>635169</v>
      </c>
    </row>
    <row r="27" spans="1:63" ht="15.75">
      <c r="A27" s="128"/>
      <c r="B27" s="5" t="s">
        <v>207</v>
      </c>
      <c r="C27" s="126">
        <f t="shared" ref="C27:AH27" si="30">C26/C23</f>
        <v>0.11516504397248988</v>
      </c>
      <c r="D27" s="126">
        <f t="shared" si="30"/>
        <v>0.38874986008283097</v>
      </c>
      <c r="E27" s="126">
        <f t="shared" si="30"/>
        <v>8.7589477181431027E-4</v>
      </c>
      <c r="F27" s="126">
        <f t="shared" si="30"/>
        <v>0.1320897714587862</v>
      </c>
      <c r="G27" s="126">
        <f t="shared" si="30"/>
        <v>0.15480170918858879</v>
      </c>
      <c r="H27" s="126" t="e">
        <f t="shared" si="30"/>
        <v>#DIV/0!</v>
      </c>
      <c r="I27" s="126" t="e">
        <f t="shared" si="30"/>
        <v>#DIV/0!</v>
      </c>
      <c r="J27" s="126" t="e">
        <f t="shared" si="30"/>
        <v>#DIV/0!</v>
      </c>
      <c r="K27" s="126">
        <f t="shared" si="30"/>
        <v>0.19285424279334146</v>
      </c>
      <c r="L27" s="126">
        <f t="shared" si="30"/>
        <v>0.20979541628900686</v>
      </c>
      <c r="M27" s="126">
        <f t="shared" si="30"/>
        <v>0.16529070788687864</v>
      </c>
      <c r="N27" s="126">
        <f t="shared" si="30"/>
        <v>0.81889763779527558</v>
      </c>
      <c r="O27" s="126">
        <f t="shared" si="30"/>
        <v>8.4446048357993506E-2</v>
      </c>
      <c r="P27" s="126">
        <f t="shared" si="30"/>
        <v>0.21554575523704519</v>
      </c>
      <c r="Q27" s="126" t="e">
        <f t="shared" si="30"/>
        <v>#DIV/0!</v>
      </c>
      <c r="R27" s="126">
        <f t="shared" si="30"/>
        <v>0.34355828220858897</v>
      </c>
      <c r="S27" s="126" t="e">
        <f t="shared" si="30"/>
        <v>#DIV/0!</v>
      </c>
      <c r="T27" s="126" t="e">
        <f t="shared" si="30"/>
        <v>#DIV/0!</v>
      </c>
      <c r="U27" s="126" t="e">
        <f t="shared" si="30"/>
        <v>#DIV/0!</v>
      </c>
      <c r="V27" s="126">
        <f t="shared" si="30"/>
        <v>7.4866692788633532E-2</v>
      </c>
      <c r="W27" s="126" t="e">
        <f t="shared" si="30"/>
        <v>#DIV/0!</v>
      </c>
      <c r="X27" s="126" t="e">
        <f t="shared" si="30"/>
        <v>#DIV/0!</v>
      </c>
      <c r="Y27" s="126">
        <f t="shared" si="30"/>
        <v>3.5459940652818993</v>
      </c>
      <c r="Z27" s="126">
        <f t="shared" si="30"/>
        <v>23.954545454545453</v>
      </c>
      <c r="AA27" s="126">
        <f t="shared" si="30"/>
        <v>2.607843137254902</v>
      </c>
      <c r="AB27" s="126">
        <f t="shared" si="30"/>
        <v>9.5120608489843578E-2</v>
      </c>
      <c r="AC27" s="126">
        <f t="shared" si="30"/>
        <v>0.12473615497618305</v>
      </c>
      <c r="AD27" s="126">
        <f t="shared" si="30"/>
        <v>4.6671242278654768E-2</v>
      </c>
      <c r="AE27" s="126">
        <f t="shared" si="30"/>
        <v>0.16949152542372881</v>
      </c>
      <c r="AF27" s="126" t="e">
        <f t="shared" si="30"/>
        <v>#DIV/0!</v>
      </c>
      <c r="AG27" s="126" t="e">
        <f t="shared" si="30"/>
        <v>#DIV/0!</v>
      </c>
      <c r="AH27" s="126" t="e">
        <f t="shared" si="30"/>
        <v>#DIV/0!</v>
      </c>
      <c r="AI27" s="126" t="e">
        <f t="shared" ref="AI27:BJ27" si="31">AI26/AI23</f>
        <v>#DIV/0!</v>
      </c>
      <c r="AJ27" s="126">
        <f t="shared" si="31"/>
        <v>0.52765665133504569</v>
      </c>
      <c r="AK27" s="126">
        <f t="shared" si="31"/>
        <v>0.43374547271137753</v>
      </c>
      <c r="AL27" s="126">
        <f t="shared" si="31"/>
        <v>7.2164948453608241E-2</v>
      </c>
      <c r="AM27" s="126" t="e">
        <f t="shared" si="31"/>
        <v>#DIV/0!</v>
      </c>
      <c r="AN27" s="126">
        <f t="shared" si="31"/>
        <v>7.0516471452508889E-2</v>
      </c>
      <c r="AO27" s="126">
        <f t="shared" si="31"/>
        <v>-3.1323550707148717</v>
      </c>
      <c r="AP27" s="126">
        <f t="shared" si="31"/>
        <v>0.5414785093498764</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0.28537832408192021</v>
      </c>
      <c r="BB27" s="126">
        <f t="shared" si="31"/>
        <v>0.36</v>
      </c>
      <c r="BC27" s="126">
        <f t="shared" si="31"/>
        <v>0.36</v>
      </c>
      <c r="BD27" s="126" t="e">
        <f t="shared" si="31"/>
        <v>#DIV/0!</v>
      </c>
      <c r="BE27" s="126">
        <f t="shared" si="31"/>
        <v>1.2853717026378897</v>
      </c>
      <c r="BF27" s="126">
        <f t="shared" si="31"/>
        <v>0</v>
      </c>
      <c r="BG27" s="126">
        <f t="shared" si="31"/>
        <v>0.17788370034706225</v>
      </c>
      <c r="BH27" s="126">
        <f t="shared" si="31"/>
        <v>0.13556954838840979</v>
      </c>
      <c r="BI27" s="126">
        <f t="shared" si="31"/>
        <v>4.1104370434567293E-2</v>
      </c>
      <c r="BJ27" s="126">
        <f t="shared" si="31"/>
        <v>0.13772022089250754</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137</v>
      </c>
      <c r="B29" s="11" t="s">
        <v>211</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137</v>
      </c>
      <c r="B30" s="5" t="s">
        <v>208</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209</v>
      </c>
      <c r="C32" s="9">
        <f>IF('Upto Month Current'!$F$4="",0,'Upto Month Current'!$F$4)</f>
        <v>227168</v>
      </c>
      <c r="D32" s="9">
        <f>IF('Upto Month Current'!$F$5="",0,'Upto Month Current'!$F$5)</f>
        <v>138964</v>
      </c>
      <c r="E32" s="9">
        <f>IF('Upto Month Current'!$F$6="",0,'Upto Month Current'!$F$6)</f>
        <v>61</v>
      </c>
      <c r="F32" s="9">
        <f>IF('Upto Month Current'!$F$7="",0,'Upto Month Current'!$F$7)</f>
        <v>21307</v>
      </c>
      <c r="G32" s="9">
        <f>IF('Upto Month Current'!$F$8="",0,'Upto Month Current'!$F$8)</f>
        <v>18600</v>
      </c>
      <c r="H32" s="9">
        <f>IF('Upto Month Current'!$F$9="",0,'Upto Month Current'!$F$9)</f>
        <v>0</v>
      </c>
      <c r="I32" s="9">
        <f>IF('Upto Month Current'!$F$10="",0,'Upto Month Current'!$F$10)</f>
        <v>0</v>
      </c>
      <c r="J32" s="9">
        <f>IF('Upto Month Current'!$F$11="",0,'Upto Month Current'!$F$11)</f>
        <v>667</v>
      </c>
      <c r="K32" s="9">
        <f>IF('Upto Month Current'!$F$12="",0,'Upto Month Current'!$F$12)</f>
        <v>25</v>
      </c>
      <c r="L32" s="9">
        <f>IF('Upto Month Current'!$F$13="",0,'Upto Month Current'!$F$13)</f>
        <v>5882</v>
      </c>
      <c r="M32" s="9">
        <f>IF('Upto Month Current'!$F$14="",0,'Upto Month Current'!$F$14)</f>
        <v>4542</v>
      </c>
      <c r="N32" s="9">
        <f>IF('Upto Month Current'!$F$15="",0,'Upto Month Current'!$F$15)</f>
        <v>32</v>
      </c>
      <c r="O32" s="9">
        <f>IF('Upto Month Current'!$F$16="",0,'Upto Month Current'!$F$16)</f>
        <v>457</v>
      </c>
      <c r="P32" s="9">
        <f>IF('Upto Month Current'!$F$17="",0,'Upto Month Current'!$F$17)</f>
        <v>32979</v>
      </c>
      <c r="Q32" s="9">
        <f>IF('Upto Month Current'!$F$18="",0,'Upto Month Current'!$F$18)</f>
        <v>0</v>
      </c>
      <c r="R32" s="9">
        <f>IF('Upto Month Current'!$F$21="",0,'Upto Month Current'!$F$21)</f>
        <v>276</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1193</v>
      </c>
      <c r="Z32" s="9">
        <f>IF('Upto Month Current'!$F$43="",0,'Upto Month Current'!$F$43)</f>
        <v>347</v>
      </c>
      <c r="AA32" s="9">
        <f>IF('Upto Month Current'!$F$44="",0,'Upto Month Current'!$F$44)</f>
        <v>152</v>
      </c>
      <c r="AB32" s="9">
        <f>IF('Upto Month Current'!$F$51="",0,'Upto Month Current'!$F$51)</f>
        <v>561</v>
      </c>
      <c r="AC32" s="121">
        <f t="shared" si="32"/>
        <v>453213</v>
      </c>
      <c r="AD32" s="9">
        <f>IF('Upto Month Current'!$F$19="",0,'Upto Month Current'!$F$19)</f>
        <v>412</v>
      </c>
      <c r="AE32" s="9">
        <f>IF('Upto Month Current'!$F$20="",0,'Upto Month Current'!$F$20)</f>
        <v>284</v>
      </c>
      <c r="AF32" s="9">
        <f>IF('Upto Month Current'!$F$22="",0,'Upto Month Current'!$F$22)</f>
        <v>2985</v>
      </c>
      <c r="AG32" s="9">
        <f>IF('Upto Month Current'!$F$23="",0,'Upto Month Current'!$F$23)</f>
        <v>0</v>
      </c>
      <c r="AH32" s="9">
        <f>IF('Upto Month Current'!$F$24="",0,'Upto Month Current'!$F$24)</f>
        <v>0</v>
      </c>
      <c r="AI32" s="9">
        <f>IF('Upto Month Current'!$F$25="",0,'Upto Month Current'!$F$25)</f>
        <v>0</v>
      </c>
      <c r="AJ32" s="9">
        <f>IF('Upto Month Current'!$F$28="",0,'Upto Month Current'!$F$28)</f>
        <v>41211</v>
      </c>
      <c r="AK32" s="9">
        <f>IF('Upto Month Current'!$F$29="",0,'Upto Month Current'!$F$29)</f>
        <v>56596</v>
      </c>
      <c r="AL32" s="9">
        <f>IF('Upto Month Current'!$F$31="",0,'Upto Month Current'!$F$31)</f>
        <v>0</v>
      </c>
      <c r="AM32" s="9">
        <f>IF('Upto Month Current'!$F$32="",0,'Upto Month Current'!$F$32)</f>
        <v>321</v>
      </c>
      <c r="AN32" s="9">
        <f>IF('Upto Month Current'!$F$33="",0,'Upto Month Current'!$F$33)</f>
        <v>146935</v>
      </c>
      <c r="AO32" s="9">
        <f>IF('Upto Month Current'!$F$34="",0,'Upto Month Current'!$F$34)</f>
        <v>42785</v>
      </c>
      <c r="AP32" s="9">
        <f>IF('Upto Month Current'!$F$36="",0,'Upto Month Current'!$F$36)</f>
        <v>2</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532</v>
      </c>
      <c r="BB32" s="9">
        <f>IF('Upto Month Current'!$F$53="",0,'Upto Month Current'!$F$53)</f>
        <v>4938</v>
      </c>
      <c r="BC32" s="9">
        <f>IF('Upto Month Current'!$F$54="",0,'Upto Month Current'!$F$54)</f>
        <v>4938</v>
      </c>
      <c r="BD32" s="9">
        <f>IF('Upto Month Current'!$F$55="",0,'Upto Month Current'!$F$55)</f>
        <v>0</v>
      </c>
      <c r="BE32" s="9">
        <f>IF('Upto Month Current'!$F$56="",0,'Upto Month Current'!$F$56)</f>
        <v>17941</v>
      </c>
      <c r="BF32" s="9">
        <f>IF('Upto Month Current'!$F$58="",0,'Upto Month Current'!$F$58)</f>
        <v>228791</v>
      </c>
      <c r="BG32" s="122">
        <f t="shared" si="34"/>
        <v>548671</v>
      </c>
      <c r="BH32" s="123">
        <f t="shared" si="35"/>
        <v>1001884</v>
      </c>
      <c r="BI32" s="9">
        <f>IF('Upto Month Current'!$F$60="",0,'Upto Month Current'!$F$60)</f>
        <v>17613</v>
      </c>
      <c r="BJ32" s="124">
        <f t="shared" si="33"/>
        <v>984271</v>
      </c>
      <c r="BK32">
        <f>'Upto Month Current'!$F$61</f>
        <v>984270</v>
      </c>
    </row>
    <row r="33" spans="1:63" ht="15.75">
      <c r="A33" s="128"/>
      <c r="B33" s="5" t="s">
        <v>207</v>
      </c>
      <c r="C33" s="126">
        <f t="shared" ref="C33:AH33" si="38">C32/C29</f>
        <v>9.047381983137319E-2</v>
      </c>
      <c r="D33" s="126">
        <f t="shared" si="38"/>
        <v>0.35461398306598552</v>
      </c>
      <c r="E33" s="126">
        <f t="shared" si="38"/>
        <v>4.7925832809553738E-4</v>
      </c>
      <c r="F33" s="126">
        <f t="shared" si="38"/>
        <v>0.10869920109377711</v>
      </c>
      <c r="G33" s="126">
        <f t="shared" si="38"/>
        <v>0.13765134247061958</v>
      </c>
      <c r="H33" s="126" t="e">
        <f t="shared" si="38"/>
        <v>#DIV/0!</v>
      </c>
      <c r="I33" s="126" t="e">
        <f t="shared" si="38"/>
        <v>#DIV/0!</v>
      </c>
      <c r="J33" s="126">
        <f t="shared" si="38"/>
        <v>0.60581289736603083</v>
      </c>
      <c r="K33" s="126">
        <f t="shared" si="38"/>
        <v>1.7277125086385625E-2</v>
      </c>
      <c r="L33" s="126">
        <f t="shared" si="38"/>
        <v>0.19777411653945731</v>
      </c>
      <c r="M33" s="126">
        <f t="shared" si="38"/>
        <v>9.2976602321344498E-2</v>
      </c>
      <c r="N33" s="126">
        <f t="shared" si="38"/>
        <v>0.13008130081300814</v>
      </c>
      <c r="O33" s="126">
        <f t="shared" si="38"/>
        <v>7.4991795208401713E-2</v>
      </c>
      <c r="P33" s="126">
        <f t="shared" si="38"/>
        <v>0.20679082016553799</v>
      </c>
      <c r="Q33" s="126" t="e">
        <f t="shared" si="38"/>
        <v>#DIV/0!</v>
      </c>
      <c r="R33" s="126">
        <f t="shared" si="38"/>
        <v>7.1484071484071487E-2</v>
      </c>
      <c r="S33" s="126" t="e">
        <f t="shared" si="38"/>
        <v>#DIV/0!</v>
      </c>
      <c r="T33" s="126" t="e">
        <f t="shared" si="38"/>
        <v>#DIV/0!</v>
      </c>
      <c r="U33" s="126" t="e">
        <f t="shared" si="38"/>
        <v>#DIV/0!</v>
      </c>
      <c r="V33" s="126">
        <f t="shared" si="38"/>
        <v>0</v>
      </c>
      <c r="W33" s="126" t="e">
        <f t="shared" si="38"/>
        <v>#DIV/0!</v>
      </c>
      <c r="X33" s="126" t="e">
        <f t="shared" si="38"/>
        <v>#DIV/0!</v>
      </c>
      <c r="Y33" s="126">
        <f t="shared" si="38"/>
        <v>1.9654036243822075</v>
      </c>
      <c r="Z33" s="126" t="e">
        <f t="shared" si="38"/>
        <v>#DIV/0!</v>
      </c>
      <c r="AA33" s="126">
        <f t="shared" si="38"/>
        <v>38</v>
      </c>
      <c r="AB33" s="126" t="e">
        <f t="shared" si="38"/>
        <v>#DIV/0!</v>
      </c>
      <c r="AC33" s="126">
        <f t="shared" si="38"/>
        <v>0.12482321579117113</v>
      </c>
      <c r="AD33" s="126">
        <f t="shared" si="38"/>
        <v>8.1342546890424486E-2</v>
      </c>
      <c r="AE33" s="126">
        <f t="shared" si="38"/>
        <v>1.1516159117635132E-2</v>
      </c>
      <c r="AF33" s="126">
        <f t="shared" si="38"/>
        <v>0.54560409431548162</v>
      </c>
      <c r="AG33" s="126" t="e">
        <f t="shared" si="38"/>
        <v>#DIV/0!</v>
      </c>
      <c r="AH33" s="126" t="e">
        <f t="shared" si="38"/>
        <v>#DIV/0!</v>
      </c>
      <c r="AI33" s="126">
        <f t="shared" ref="AI33:BJ33" si="39">AI32/AI29</f>
        <v>0</v>
      </c>
      <c r="AJ33" s="126">
        <f t="shared" si="39"/>
        <v>0.18336455334617729</v>
      </c>
      <c r="AK33" s="126">
        <f t="shared" si="39"/>
        <v>0.14566962573644288</v>
      </c>
      <c r="AL33" s="126" t="e">
        <f t="shared" si="39"/>
        <v>#DIV/0!</v>
      </c>
      <c r="AM33" s="126">
        <f t="shared" si="39"/>
        <v>0.24806800618238023</v>
      </c>
      <c r="AN33" s="126">
        <f t="shared" si="39"/>
        <v>0.28779465483640354</v>
      </c>
      <c r="AO33" s="126">
        <f t="shared" si="39"/>
        <v>0.22609334376122936</v>
      </c>
      <c r="AP33" s="126">
        <f t="shared" si="39"/>
        <v>1.2416190712689348E-4</v>
      </c>
      <c r="AQ33" s="126" t="e">
        <f t="shared" si="39"/>
        <v>#DIV/0!</v>
      </c>
      <c r="AR33" s="126" t="e">
        <f t="shared" si="39"/>
        <v>#DIV/0!</v>
      </c>
      <c r="AS33" s="126" t="e">
        <f t="shared" si="39"/>
        <v>#DIV/0!</v>
      </c>
      <c r="AT33" s="126" t="e">
        <f t="shared" si="39"/>
        <v>#DIV/0!</v>
      </c>
      <c r="AU33" s="126" t="e">
        <f t="shared" si="39"/>
        <v>#DIV/0!</v>
      </c>
      <c r="AV33" s="126">
        <f t="shared" si="39"/>
        <v>0</v>
      </c>
      <c r="AW33" s="126">
        <f t="shared" si="39"/>
        <v>0</v>
      </c>
      <c r="AX33" s="126" t="e">
        <f t="shared" si="39"/>
        <v>#DIV/0!</v>
      </c>
      <c r="AY33" s="126" t="e">
        <f t="shared" si="39"/>
        <v>#DIV/0!</v>
      </c>
      <c r="AZ33" s="126" t="e">
        <f t="shared" si="39"/>
        <v>#DIV/0!</v>
      </c>
      <c r="BA33" s="126" t="e">
        <f t="shared" si="39"/>
        <v>#DIV/0!</v>
      </c>
      <c r="BB33" s="126">
        <f t="shared" si="39"/>
        <v>0.45075308078502968</v>
      </c>
      <c r="BC33" s="126">
        <f t="shared" si="39"/>
        <v>0.45062967694834821</v>
      </c>
      <c r="BD33" s="126" t="e">
        <f t="shared" si="39"/>
        <v>#DIV/0!</v>
      </c>
      <c r="BE33" s="126">
        <f t="shared" si="39"/>
        <v>3.6332523288780885</v>
      </c>
      <c r="BF33" s="126">
        <f t="shared" si="39"/>
        <v>0.84626452724945811</v>
      </c>
      <c r="BG33" s="126">
        <f t="shared" si="39"/>
        <v>0.32991872157705515</v>
      </c>
      <c r="BH33" s="126">
        <f t="shared" si="39"/>
        <v>0.18925296492861202</v>
      </c>
      <c r="BI33" s="126">
        <f t="shared" si="39"/>
        <v>0.2045430791206494</v>
      </c>
      <c r="BJ33" s="126">
        <f t="shared" si="39"/>
        <v>0.18900014766371614</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138</v>
      </c>
      <c r="B35" s="11" t="s">
        <v>211</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138</v>
      </c>
      <c r="B36" s="5" t="s">
        <v>208</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209</v>
      </c>
      <c r="C38" s="9">
        <f>IF('Upto Month Current'!$G$4="",0,'Upto Month Current'!$G$4)</f>
        <v>436108</v>
      </c>
      <c r="D38" s="9">
        <f>IF('Upto Month Current'!$G$5="",0,'Upto Month Current'!$G$5)</f>
        <v>335071</v>
      </c>
      <c r="E38" s="9">
        <f>IF('Upto Month Current'!$G$6="",0,'Upto Month Current'!$G$6)</f>
        <v>140</v>
      </c>
      <c r="F38" s="9">
        <f>IF('Upto Month Current'!$G$7="",0,'Upto Month Current'!$G$7)</f>
        <v>84387</v>
      </c>
      <c r="G38" s="9">
        <f>IF('Upto Month Current'!$G$8="",0,'Upto Month Current'!$G$8)</f>
        <v>35443</v>
      </c>
      <c r="H38" s="9">
        <f>IF('Upto Month Current'!$G$9="",0,'Upto Month Current'!$G$9)</f>
        <v>0</v>
      </c>
      <c r="I38" s="9">
        <f>IF('Upto Month Current'!$G$10="",0,'Upto Month Current'!$G$10)</f>
        <v>0</v>
      </c>
      <c r="J38" s="9">
        <f>IF('Upto Month Current'!$G$11="",0,'Upto Month Current'!$G$11)</f>
        <v>180984</v>
      </c>
      <c r="K38" s="9">
        <f>IF('Upto Month Current'!$G$12="",0,'Upto Month Current'!$G$12)</f>
        <v>3614</v>
      </c>
      <c r="L38" s="9">
        <f>IF('Upto Month Current'!$G$13="",0,'Upto Month Current'!$G$13)</f>
        <v>22513</v>
      </c>
      <c r="M38" s="9">
        <f>IF('Upto Month Current'!$G$14="",0,'Upto Month Current'!$G$14)</f>
        <v>30546</v>
      </c>
      <c r="N38" s="9">
        <f>IF('Upto Month Current'!$G$15="",0,'Upto Month Current'!$G$15)</f>
        <v>76</v>
      </c>
      <c r="O38" s="9">
        <f>IF('Upto Month Current'!$G$16="",0,'Upto Month Current'!$G$16)</f>
        <v>1147</v>
      </c>
      <c r="P38" s="9">
        <f>IF('Upto Month Current'!$G$17="",0,'Upto Month Current'!$G$17)</f>
        <v>1323</v>
      </c>
      <c r="Q38" s="9">
        <f>IF('Upto Month Current'!$G$18="",0,'Upto Month Current'!$G$18)</f>
        <v>0</v>
      </c>
      <c r="R38" s="9">
        <f>IF('Upto Month Current'!$G$21="",0,'Upto Month Current'!$G$21)</f>
        <v>467</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2205</v>
      </c>
      <c r="Z38" s="9">
        <f>IF('Upto Month Current'!$G$43="",0,'Upto Month Current'!$G$43)</f>
        <v>886</v>
      </c>
      <c r="AA38" s="9">
        <f>IF('Upto Month Current'!$G$44="",0,'Upto Month Current'!$G$44)</f>
        <v>623</v>
      </c>
      <c r="AB38" s="9">
        <f>IF('Upto Month Current'!$G$51="",0,'Upto Month Current'!$G$51)</f>
        <v>0</v>
      </c>
      <c r="AC38" s="121">
        <f t="shared" si="40"/>
        <v>1135533</v>
      </c>
      <c r="AD38" s="9">
        <f>IF('Upto Month Current'!$G$19="",0,'Upto Month Current'!$G$19)</f>
        <v>392</v>
      </c>
      <c r="AE38" s="9">
        <f>IF('Upto Month Current'!$G$20="",0,'Upto Month Current'!$G$20)</f>
        <v>344</v>
      </c>
      <c r="AF38" s="9">
        <f>IF('Upto Month Current'!$G$22="",0,'Upto Month Current'!$G$22)</f>
        <v>887</v>
      </c>
      <c r="AG38" s="9">
        <f>IF('Upto Month Current'!$G$23="",0,'Upto Month Current'!$G$23)</f>
        <v>0</v>
      </c>
      <c r="AH38" s="9">
        <f>IF('Upto Month Current'!$G$24="",0,'Upto Month Current'!$G$24)</f>
        <v>0</v>
      </c>
      <c r="AI38" s="9">
        <f>IF('Upto Month Current'!$G$25="",0,'Upto Month Current'!$G$25)</f>
        <v>0</v>
      </c>
      <c r="AJ38" s="9">
        <f>IF('Upto Month Current'!$G$28="",0,'Upto Month Current'!$G$28)</f>
        <v>3458</v>
      </c>
      <c r="AK38" s="9">
        <f>IF('Upto Month Current'!$G$29="",0,'Upto Month Current'!$G$29)</f>
        <v>9620</v>
      </c>
      <c r="AL38" s="9">
        <f>IF('Upto Month Current'!$G$31="",0,'Upto Month Current'!$G$31)</f>
        <v>49108</v>
      </c>
      <c r="AM38" s="9">
        <f>IF('Upto Month Current'!$G$32="",0,'Upto Month Current'!$G$32)</f>
        <v>8827</v>
      </c>
      <c r="AN38" s="9">
        <f>IF('Upto Month Current'!$G$33="",0,'Upto Month Current'!$G$33)</f>
        <v>173860</v>
      </c>
      <c r="AO38" s="9">
        <f>IF('Upto Month Current'!$G$34="",0,'Upto Month Current'!$G$34)</f>
        <v>151</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5791</v>
      </c>
      <c r="BC38" s="9">
        <f>IF('Upto Month Current'!$G$54="",0,'Upto Month Current'!$G$54)</f>
        <v>5791</v>
      </c>
      <c r="BD38" s="9">
        <f>IF('Upto Month Current'!$G$55="",0,'Upto Month Current'!$G$55)</f>
        <v>0</v>
      </c>
      <c r="BE38" s="9">
        <f>IF('Upto Month Current'!$G$56="",0,'Upto Month Current'!$G$56)</f>
        <v>15920</v>
      </c>
      <c r="BF38" s="9">
        <f>IF('Upto Month Current'!$G$58="",0,'Upto Month Current'!$G$58)</f>
        <v>0</v>
      </c>
      <c r="BG38" s="122">
        <f t="shared" si="42"/>
        <v>274149</v>
      </c>
      <c r="BH38" s="123">
        <f t="shared" si="43"/>
        <v>1409682</v>
      </c>
      <c r="BI38" s="9">
        <f>IF('Upto Month Current'!$G$60="",0,'Upto Month Current'!$G$60)</f>
        <v>3126</v>
      </c>
      <c r="BJ38" s="124">
        <f t="shared" si="41"/>
        <v>1406556</v>
      </c>
      <c r="BK38">
        <f>'Upto Month Current'!$G$61</f>
        <v>1406558</v>
      </c>
    </row>
    <row r="39" spans="1:63" ht="15.75">
      <c r="A39" s="128"/>
      <c r="B39" s="5" t="s">
        <v>207</v>
      </c>
      <c r="C39" s="126">
        <f t="shared" ref="C39:AH39" si="46">C38/C35</f>
        <v>0.10153361606702167</v>
      </c>
      <c r="D39" s="126">
        <f t="shared" si="46"/>
        <v>0.36676218705943137</v>
      </c>
      <c r="E39" s="126">
        <f t="shared" si="46"/>
        <v>8.8023741260499972E-4</v>
      </c>
      <c r="F39" s="126">
        <f t="shared" si="46"/>
        <v>0.13043720196922506</v>
      </c>
      <c r="G39" s="126">
        <f t="shared" si="46"/>
        <v>0.16299604041444582</v>
      </c>
      <c r="H39" s="126" t="e">
        <f t="shared" si="46"/>
        <v>#DIV/0!</v>
      </c>
      <c r="I39" s="126" t="e">
        <f t="shared" si="46"/>
        <v>#DIV/0!</v>
      </c>
      <c r="J39" s="126">
        <f t="shared" si="46"/>
        <v>0.20292484277540512</v>
      </c>
      <c r="K39" s="126">
        <f t="shared" si="46"/>
        <v>3.5960199004975123E-2</v>
      </c>
      <c r="L39" s="126">
        <f t="shared" si="46"/>
        <v>0.17152631218047862</v>
      </c>
      <c r="M39" s="126">
        <f t="shared" si="46"/>
        <v>0.14670342336804088</v>
      </c>
      <c r="N39" s="126">
        <f t="shared" si="46"/>
        <v>0.21468926553672316</v>
      </c>
      <c r="O39" s="126">
        <f t="shared" si="46"/>
        <v>0.2115455551457027</v>
      </c>
      <c r="P39" s="126">
        <f t="shared" si="46"/>
        <v>0.15063190253899578</v>
      </c>
      <c r="Q39" s="126" t="e">
        <f t="shared" si="46"/>
        <v>#DIV/0!</v>
      </c>
      <c r="R39" s="126">
        <f t="shared" si="46"/>
        <v>4.1629523979318954E-2</v>
      </c>
      <c r="S39" s="126" t="e">
        <f t="shared" si="46"/>
        <v>#DIV/0!</v>
      </c>
      <c r="T39" s="126" t="e">
        <f t="shared" si="46"/>
        <v>#DIV/0!</v>
      </c>
      <c r="U39" s="126" t="e">
        <f t="shared" si="46"/>
        <v>#DIV/0!</v>
      </c>
      <c r="V39" s="126" t="e">
        <f t="shared" si="46"/>
        <v>#DIV/0!</v>
      </c>
      <c r="W39" s="126" t="e">
        <f t="shared" si="46"/>
        <v>#DIV/0!</v>
      </c>
      <c r="X39" s="126" t="e">
        <f t="shared" si="46"/>
        <v>#DIV/0!</v>
      </c>
      <c r="Y39" s="126">
        <f t="shared" si="46"/>
        <v>6.1592178770949717</v>
      </c>
      <c r="Z39" s="126">
        <f t="shared" si="46"/>
        <v>18.851063829787233</v>
      </c>
      <c r="AA39" s="126">
        <f t="shared" si="46"/>
        <v>1.429718875502008E-2</v>
      </c>
      <c r="AB39" s="126" t="e">
        <f t="shared" si="46"/>
        <v>#DIV/0!</v>
      </c>
      <c r="AC39" s="126">
        <f t="shared" si="46"/>
        <v>0.14874969396180251</v>
      </c>
      <c r="AD39" s="126">
        <f t="shared" si="46"/>
        <v>0.16484440706476031</v>
      </c>
      <c r="AE39" s="126">
        <f t="shared" si="46"/>
        <v>13.23076923076923</v>
      </c>
      <c r="AF39" s="126">
        <f t="shared" si="46"/>
        <v>0.15640980426732498</v>
      </c>
      <c r="AG39" s="126" t="e">
        <f t="shared" si="46"/>
        <v>#DIV/0!</v>
      </c>
      <c r="AH39" s="126" t="e">
        <f t="shared" si="46"/>
        <v>#DIV/0!</v>
      </c>
      <c r="AI39" s="126">
        <f t="shared" ref="AI39:BJ39" si="47">AI38/AI35</f>
        <v>0</v>
      </c>
      <c r="AJ39" s="126">
        <f t="shared" si="47"/>
        <v>3.6875893104698527E-2</v>
      </c>
      <c r="AK39" s="126">
        <f t="shared" si="47"/>
        <v>8.259921350437037E-2</v>
      </c>
      <c r="AL39" s="126">
        <f t="shared" si="47"/>
        <v>8.836935612447433E-2</v>
      </c>
      <c r="AM39" s="126">
        <f t="shared" si="47"/>
        <v>0.11751627547827939</v>
      </c>
      <c r="AN39" s="126">
        <f t="shared" si="47"/>
        <v>0.44317559042071858</v>
      </c>
      <c r="AO39" s="126">
        <f t="shared" si="47"/>
        <v>-4.1307618656818493E-3</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v>
      </c>
      <c r="AX39" s="126" t="e">
        <f t="shared" si="47"/>
        <v>#DIV/0!</v>
      </c>
      <c r="AY39" s="126" t="e">
        <f t="shared" si="47"/>
        <v>#DIV/0!</v>
      </c>
      <c r="AZ39" s="126" t="e">
        <f t="shared" si="47"/>
        <v>#DIV/0!</v>
      </c>
      <c r="BA39" s="126" t="e">
        <f t="shared" si="47"/>
        <v>#DIV/0!</v>
      </c>
      <c r="BB39" s="126">
        <f t="shared" si="47"/>
        <v>2.1416420118343193</v>
      </c>
      <c r="BC39" s="126">
        <f t="shared" si="47"/>
        <v>2.1376891842008119</v>
      </c>
      <c r="BD39" s="126" t="e">
        <f t="shared" si="47"/>
        <v>#DIV/0!</v>
      </c>
      <c r="BE39" s="126">
        <f t="shared" si="47"/>
        <v>35.936794582392778</v>
      </c>
      <c r="BF39" s="126">
        <f t="shared" si="47"/>
        <v>0</v>
      </c>
      <c r="BG39" s="126">
        <f t="shared" si="47"/>
        <v>0.22625341465226254</v>
      </c>
      <c r="BH39" s="126">
        <f t="shared" si="47"/>
        <v>0.15936639714857465</v>
      </c>
      <c r="BI39" s="126">
        <f t="shared" si="47"/>
        <v>8.9419033725220975E-2</v>
      </c>
      <c r="BJ39" s="126">
        <f t="shared" si="47"/>
        <v>0.15964393725635831</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139</v>
      </c>
      <c r="B41" s="11" t="s">
        <v>211</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139</v>
      </c>
      <c r="B42" s="5" t="s">
        <v>208</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209</v>
      </c>
      <c r="C44" s="9">
        <f>IF('Upto Month Current'!$H$4="",0,'Upto Month Current'!$H$4)</f>
        <v>519504</v>
      </c>
      <c r="D44" s="9">
        <f>IF('Upto Month Current'!$H$5="",0,'Upto Month Current'!$H$5)</f>
        <v>341626</v>
      </c>
      <c r="E44" s="9">
        <f>IF('Upto Month Current'!$H$6="",0,'Upto Month Current'!$H$6)</f>
        <v>18</v>
      </c>
      <c r="F44" s="9">
        <f>IF('Upto Month Current'!$H$7="",0,'Upto Month Current'!$H$7)</f>
        <v>68791</v>
      </c>
      <c r="G44" s="9">
        <f>IF('Upto Month Current'!$H$8="",0,'Upto Month Current'!$H$8)</f>
        <v>37839</v>
      </c>
      <c r="H44" s="9">
        <f>IF('Upto Month Current'!$H$9="",0,'Upto Month Current'!$H$9)</f>
        <v>0</v>
      </c>
      <c r="I44" s="9">
        <f>IF('Upto Month Current'!$H$10="",0,'Upto Month Current'!$H$10)</f>
        <v>0</v>
      </c>
      <c r="J44" s="9">
        <f>IF('Upto Month Current'!$H$11="",0,'Upto Month Current'!$H$11)</f>
        <v>80167</v>
      </c>
      <c r="K44" s="9">
        <f>IF('Upto Month Current'!$H$12="",0,'Upto Month Current'!$H$12)</f>
        <v>6824</v>
      </c>
      <c r="L44" s="9">
        <f>IF('Upto Month Current'!$H$13="",0,'Upto Month Current'!$H$13)</f>
        <v>39592</v>
      </c>
      <c r="M44" s="9">
        <f>IF('Upto Month Current'!$H$14="",0,'Upto Month Current'!$H$14)</f>
        <v>21195</v>
      </c>
      <c r="N44" s="9">
        <f>IF('Upto Month Current'!$H$15="",0,'Upto Month Current'!$H$15)</f>
        <v>108</v>
      </c>
      <c r="O44" s="9">
        <f>IF('Upto Month Current'!$H$16="",0,'Upto Month Current'!$H$16)</f>
        <v>2532</v>
      </c>
      <c r="P44" s="9">
        <f>IF('Upto Month Current'!$H$17="",0,'Upto Month Current'!$H$17)</f>
        <v>42958</v>
      </c>
      <c r="Q44" s="9">
        <f>IF('Upto Month Current'!$H$18="",0,'Upto Month Current'!$H$18)</f>
        <v>0</v>
      </c>
      <c r="R44" s="9">
        <f>IF('Upto Month Current'!$H$21="",0,'Upto Month Current'!$H$21)</f>
        <v>628</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2986</v>
      </c>
      <c r="Z44" s="9">
        <f>IF('Upto Month Current'!$H$43="",0,'Upto Month Current'!$H$43)</f>
        <v>1355</v>
      </c>
      <c r="AA44" s="9">
        <f>IF('Upto Month Current'!$H$44="",0,'Upto Month Current'!$H$44)</f>
        <v>1638</v>
      </c>
      <c r="AB44" s="9">
        <f>IF('Upto Month Current'!$H$51="",0,'Upto Month Current'!$H$51)</f>
        <v>0</v>
      </c>
      <c r="AC44" s="121">
        <f t="shared" si="48"/>
        <v>1167761</v>
      </c>
      <c r="AD44" s="9">
        <f>IF('Upto Month Current'!$H$19="",0,'Upto Month Current'!$H$19)</f>
        <v>1857</v>
      </c>
      <c r="AE44" s="9">
        <f>IF('Upto Month Current'!$H$20="",0,'Upto Month Current'!$H$20)</f>
        <v>132</v>
      </c>
      <c r="AF44" s="9">
        <f>IF('Upto Month Current'!$H$22="",0,'Upto Month Current'!$H$22)</f>
        <v>6504</v>
      </c>
      <c r="AG44" s="9">
        <f>IF('Upto Month Current'!$H$23="",0,'Upto Month Current'!$H$23)</f>
        <v>0</v>
      </c>
      <c r="AH44" s="9">
        <f>IF('Upto Month Current'!$H$24="",0,'Upto Month Current'!$H$24)</f>
        <v>0</v>
      </c>
      <c r="AI44" s="9">
        <f>IF('Upto Month Current'!$H$25="",0,'Upto Month Current'!$H$25)</f>
        <v>2560</v>
      </c>
      <c r="AJ44" s="9">
        <f>IF('Upto Month Current'!$H$28="",0,'Upto Month Current'!$H$28)</f>
        <v>4364</v>
      </c>
      <c r="AK44" s="9">
        <f>IF('Upto Month Current'!$H$29="",0,'Upto Month Current'!$H$29)</f>
        <v>7327</v>
      </c>
      <c r="AL44" s="9">
        <f>IF('Upto Month Current'!$H$31="",0,'Upto Month Current'!$H$31)</f>
        <v>0</v>
      </c>
      <c r="AM44" s="9">
        <f>IF('Upto Month Current'!$H$32="",0,'Upto Month Current'!$H$32)</f>
        <v>0</v>
      </c>
      <c r="AN44" s="9">
        <f>IF('Upto Month Current'!$H$33="",0,'Upto Month Current'!$H$33)</f>
        <v>89793</v>
      </c>
      <c r="AO44" s="9">
        <f>IF('Upto Month Current'!$H$34="",0,'Upto Month Current'!$H$34)</f>
        <v>-5118163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723</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3484</v>
      </c>
      <c r="BC44" s="9">
        <f>IF('Upto Month Current'!$H$54="",0,'Upto Month Current'!$H$54)</f>
        <v>3484</v>
      </c>
      <c r="BD44" s="9">
        <f>IF('Upto Month Current'!$H$55="",0,'Upto Month Current'!$H$55)</f>
        <v>0</v>
      </c>
      <c r="BE44" s="9">
        <f>IF('Upto Month Current'!$H$56="",0,'Upto Month Current'!$H$56)</f>
        <v>3689</v>
      </c>
      <c r="BF44" s="9">
        <f>IF('Upto Month Current'!$H$58="",0,'Upto Month Current'!$H$58)</f>
        <v>3535</v>
      </c>
      <c r="BG44" s="122">
        <f t="shared" si="50"/>
        <v>-4990711</v>
      </c>
      <c r="BH44" s="123">
        <f t="shared" si="51"/>
        <v>-3822950</v>
      </c>
      <c r="BI44" s="9">
        <f>IF('Upto Month Current'!$H$60="",0,'Upto Month Current'!$H$60)</f>
        <v>11</v>
      </c>
      <c r="BJ44" s="124">
        <f t="shared" si="49"/>
        <v>-3822961</v>
      </c>
      <c r="BK44">
        <f>'Upto Month Current'!$H$61</f>
        <v>-3822961</v>
      </c>
    </row>
    <row r="45" spans="1:63" ht="15.75">
      <c r="A45" s="128"/>
      <c r="B45" s="5" t="s">
        <v>207</v>
      </c>
      <c r="C45" s="126">
        <f t="shared" ref="C45:AH45" si="54">C44/C41</f>
        <v>8.9452410822917966E-2</v>
      </c>
      <c r="D45" s="126">
        <f t="shared" si="54"/>
        <v>0.34070405482763644</v>
      </c>
      <c r="E45" s="126">
        <f t="shared" si="54"/>
        <v>8.3033107144998876E-5</v>
      </c>
      <c r="F45" s="126">
        <f t="shared" si="54"/>
        <v>0.11027927712736198</v>
      </c>
      <c r="G45" s="126">
        <f t="shared" si="54"/>
        <v>0.12077715642714877</v>
      </c>
      <c r="H45" s="126" t="e">
        <f t="shared" si="54"/>
        <v>#DIV/0!</v>
      </c>
      <c r="I45" s="126" t="e">
        <f t="shared" si="54"/>
        <v>#DIV/0!</v>
      </c>
      <c r="J45" s="126">
        <f t="shared" si="54"/>
        <v>0.22930604936400015</v>
      </c>
      <c r="K45" s="126">
        <f t="shared" si="54"/>
        <v>8.0340008712134592E-2</v>
      </c>
      <c r="L45" s="126">
        <f t="shared" si="54"/>
        <v>0.21606400279411925</v>
      </c>
      <c r="M45" s="126">
        <f t="shared" si="54"/>
        <v>0.13278993565687006</v>
      </c>
      <c r="N45" s="126">
        <f t="shared" si="54"/>
        <v>0.10975609756097561</v>
      </c>
      <c r="O45" s="126">
        <f t="shared" si="54"/>
        <v>0.13679092382495947</v>
      </c>
      <c r="P45" s="126">
        <f t="shared" si="54"/>
        <v>0.31351856311898352</v>
      </c>
      <c r="Q45" s="126" t="e">
        <f t="shared" si="54"/>
        <v>#DIV/0!</v>
      </c>
      <c r="R45" s="126">
        <f t="shared" si="54"/>
        <v>9.5746302790059454E-2</v>
      </c>
      <c r="S45" s="126" t="e">
        <f t="shared" si="54"/>
        <v>#DIV/0!</v>
      </c>
      <c r="T45" s="126" t="e">
        <f t="shared" si="54"/>
        <v>#DIV/0!</v>
      </c>
      <c r="U45" s="126" t="e">
        <f t="shared" si="54"/>
        <v>#DIV/0!</v>
      </c>
      <c r="V45" s="126" t="e">
        <f t="shared" si="54"/>
        <v>#DIV/0!</v>
      </c>
      <c r="W45" s="126" t="e">
        <f t="shared" si="54"/>
        <v>#DIV/0!</v>
      </c>
      <c r="X45" s="126" t="e">
        <f t="shared" si="54"/>
        <v>#DIV/0!</v>
      </c>
      <c r="Y45" s="126">
        <f t="shared" si="54"/>
        <v>0.6984795321637427</v>
      </c>
      <c r="Z45" s="126">
        <f t="shared" si="54"/>
        <v>2.1205007824726136</v>
      </c>
      <c r="AA45" s="126">
        <f t="shared" si="54"/>
        <v>2.6166134185303513</v>
      </c>
      <c r="AB45" s="126" t="e">
        <f t="shared" si="54"/>
        <v>#DIV/0!</v>
      </c>
      <c r="AC45" s="126">
        <f t="shared" si="54"/>
        <v>0.13105909000563062</v>
      </c>
      <c r="AD45" s="126">
        <f t="shared" si="54"/>
        <v>0.1880506329113924</v>
      </c>
      <c r="AE45" s="126">
        <f t="shared" si="54"/>
        <v>0.34285714285714286</v>
      </c>
      <c r="AF45" s="126">
        <f t="shared" si="54"/>
        <v>0.91309841358977961</v>
      </c>
      <c r="AG45" s="126" t="e">
        <f t="shared" si="54"/>
        <v>#DIV/0!</v>
      </c>
      <c r="AH45" s="126" t="e">
        <f t="shared" si="54"/>
        <v>#DIV/0!</v>
      </c>
      <c r="AI45" s="126">
        <f t="shared" ref="AI45:BJ45" si="55">AI44/AI41</f>
        <v>0.24922118380062305</v>
      </c>
      <c r="AJ45" s="126">
        <f t="shared" si="55"/>
        <v>0.40343903115466395</v>
      </c>
      <c r="AK45" s="126">
        <f t="shared" si="55"/>
        <v>0.25509173832816906</v>
      </c>
      <c r="AL45" s="126" t="e">
        <f t="shared" si="55"/>
        <v>#DIV/0!</v>
      </c>
      <c r="AM45" s="126">
        <f t="shared" si="55"/>
        <v>0</v>
      </c>
      <c r="AN45" s="126">
        <f t="shared" si="55"/>
        <v>0.3154671772621076</v>
      </c>
      <c r="AO45" s="126">
        <f t="shared" si="55"/>
        <v>-0.30453991600963787</v>
      </c>
      <c r="AP45" s="126" t="e">
        <f t="shared" si="55"/>
        <v>#DIV/0!</v>
      </c>
      <c r="AQ45" s="126" t="e">
        <f t="shared" si="55"/>
        <v>#DIV/0!</v>
      </c>
      <c r="AR45" s="126" t="e">
        <f t="shared" si="55"/>
        <v>#DIV/0!</v>
      </c>
      <c r="AS45" s="126" t="e">
        <f t="shared" si="55"/>
        <v>#DIV/0!</v>
      </c>
      <c r="AT45" s="126" t="e">
        <f t="shared" si="55"/>
        <v>#DIV/0!</v>
      </c>
      <c r="AU45" s="126" t="e">
        <f t="shared" si="55"/>
        <v>#DIV/0!</v>
      </c>
      <c r="AV45" s="126">
        <f t="shared" si="55"/>
        <v>0</v>
      </c>
      <c r="AW45" s="126">
        <f t="shared" si="55"/>
        <v>0.72590361445783136</v>
      </c>
      <c r="AX45" s="126">
        <f t="shared" si="55"/>
        <v>0</v>
      </c>
      <c r="AY45" s="126" t="e">
        <f t="shared" si="55"/>
        <v>#DIV/0!</v>
      </c>
      <c r="AZ45" s="126" t="e">
        <f t="shared" si="55"/>
        <v>#DIV/0!</v>
      </c>
      <c r="BA45" s="126" t="e">
        <f t="shared" si="55"/>
        <v>#DIV/0!</v>
      </c>
      <c r="BB45" s="126">
        <f t="shared" si="55"/>
        <v>0.90729166666666672</v>
      </c>
      <c r="BC45" s="126">
        <f t="shared" si="55"/>
        <v>0.90729166666666672</v>
      </c>
      <c r="BD45" s="126" t="e">
        <f t="shared" si="55"/>
        <v>#DIV/0!</v>
      </c>
      <c r="BE45" s="126">
        <f t="shared" si="55"/>
        <v>0.37349397590361444</v>
      </c>
      <c r="BF45" s="126">
        <f t="shared" si="55"/>
        <v>1.2706685837526959</v>
      </c>
      <c r="BG45" s="126">
        <f t="shared" si="55"/>
        <v>-0.29050028839251135</v>
      </c>
      <c r="BH45" s="126">
        <f t="shared" si="55"/>
        <v>-0.14652989444420211</v>
      </c>
      <c r="BI45" s="126" t="e">
        <f t="shared" si="55"/>
        <v>#DIV/0!</v>
      </c>
      <c r="BJ45" s="126">
        <f t="shared" si="55"/>
        <v>-0.14653031606332842</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33</v>
      </c>
      <c r="B47" s="11" t="s">
        <v>211</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33</v>
      </c>
      <c r="B48" s="5" t="s">
        <v>208</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209</v>
      </c>
      <c r="C50" s="9">
        <f>IF('Upto Month Current'!$I$4="",0,'Upto Month Current'!$I$4)</f>
        <v>855</v>
      </c>
      <c r="D50" s="9">
        <f>IF('Upto Month Current'!$I$5="",0,'Upto Month Current'!$I$5)</f>
        <v>530</v>
      </c>
      <c r="E50" s="9">
        <f>IF('Upto Month Current'!$I$6="",0,'Upto Month Current'!$I$6)</f>
        <v>0</v>
      </c>
      <c r="F50" s="9">
        <f>IF('Upto Month Current'!$I$7="",0,'Upto Month Current'!$I$7)</f>
        <v>91</v>
      </c>
      <c r="G50" s="9">
        <f>IF('Upto Month Current'!$I$8="",0,'Upto Month Current'!$I$8)</f>
        <v>63</v>
      </c>
      <c r="H50" s="9">
        <f>IF('Upto Month Current'!$I$9="",0,'Upto Month Current'!$I$9)</f>
        <v>0</v>
      </c>
      <c r="I50" s="9">
        <f>IF('Upto Month Current'!$I$10="",0,'Upto Month Current'!$I$10)</f>
        <v>0</v>
      </c>
      <c r="J50" s="9">
        <f>IF('Upto Month Current'!$I$11="",0,'Upto Month Current'!$I$11)</f>
        <v>0</v>
      </c>
      <c r="K50" s="9">
        <f>IF('Upto Month Current'!$I$12="",0,'Upto Month Current'!$I$12)</f>
        <v>1</v>
      </c>
      <c r="L50" s="9">
        <f>IF('Upto Month Current'!$I$13="",0,'Upto Month Current'!$I$13)</f>
        <v>37</v>
      </c>
      <c r="M50" s="9">
        <f>IF('Upto Month Current'!$I$14="",0,'Upto Month Current'!$I$14)</f>
        <v>30</v>
      </c>
      <c r="N50" s="9">
        <f>IF('Upto Month Current'!$I$15="",0,'Upto Month Current'!$I$15)</f>
        <v>0</v>
      </c>
      <c r="O50" s="9">
        <f>IF('Upto Month Current'!$I$16="",0,'Upto Month Current'!$I$16)</f>
        <v>21</v>
      </c>
      <c r="P50" s="9">
        <f>IF('Upto Month Current'!$I$17="",0,'Upto Month Current'!$I$17)</f>
        <v>17</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3</v>
      </c>
      <c r="AB50" s="9">
        <f>IF('Upto Month Current'!$I$51="",0,'Upto Month Current'!$I$51)</f>
        <v>0</v>
      </c>
      <c r="AC50" s="121">
        <f t="shared" si="56"/>
        <v>1648</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20309</v>
      </c>
      <c r="AK50" s="9">
        <f>IF('Upto Month Current'!$I$29="",0,'Upto Month Current'!$I$29)</f>
        <v>0</v>
      </c>
      <c r="AL50" s="9">
        <f>IF('Upto Month Current'!$I$31="",0,'Upto Month Current'!$I$31)</f>
        <v>1639170</v>
      </c>
      <c r="AM50" s="9">
        <f>IF('Upto Month Current'!$I$32="",0,'Upto Month Current'!$I$32)</f>
        <v>0</v>
      </c>
      <c r="AN50" s="9">
        <f>IF('Upto Month Current'!$I$33="",0,'Upto Month Current'!$I$33)</f>
        <v>0</v>
      </c>
      <c r="AO50" s="9">
        <f>IF('Upto Month Current'!$I$34="",0,'Upto Month Current'!$I$34)</f>
        <v>2677</v>
      </c>
      <c r="AP50" s="9">
        <f>IF('Upto Month Current'!$I$36="",0,'Upto Month Current'!$I$36)</f>
        <v>0</v>
      </c>
      <c r="AQ50" s="9">
        <f>IF('Upto Month Current'!$I$37="",0,'Upto Month Current'!$I$37)</f>
        <v>4280</v>
      </c>
      <c r="AR50" s="9">
        <v>0</v>
      </c>
      <c r="AS50" s="9">
        <f>IF('Upto Month Current'!$I$38="",0,'Upto Month Current'!$I$38)</f>
        <v>0</v>
      </c>
      <c r="AT50" s="9">
        <f>IF('Upto Month Current'!$I$41="",0,'Upto Month Current'!$I$41)</f>
        <v>3240</v>
      </c>
      <c r="AU50" s="9">
        <v>0</v>
      </c>
      <c r="AV50" s="9">
        <f>IF('Upto Month Current'!$I$45="",0,'Upto Month Current'!$I$45)</f>
        <v>0</v>
      </c>
      <c r="AW50" s="9">
        <f>IF('Upto Month Current'!$I$46="",0,'Upto Month Current'!$I$46)</f>
        <v>0</v>
      </c>
      <c r="AX50" s="9">
        <f>IF('Upto Month Current'!$I$47="",0,'Upto Month Current'!$I$47)</f>
        <v>0</v>
      </c>
      <c r="AY50" s="9">
        <f>IF('Upto Month Current'!$I$49="",0,'Upto Month Current'!$I$49)</f>
        <v>5136</v>
      </c>
      <c r="AZ50" s="9">
        <f>IF('Upto Month Current'!$I$50="",0,'Upto Month Current'!$I$50)</f>
        <v>62529</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265</v>
      </c>
      <c r="BF50" s="9">
        <f>IF('Upto Month Current'!$I$58="",0,'Upto Month Current'!$I$58)</f>
        <v>332</v>
      </c>
      <c r="BG50" s="122">
        <f t="shared" si="58"/>
        <v>1737938</v>
      </c>
      <c r="BH50" s="123">
        <f t="shared" si="59"/>
        <v>1739586</v>
      </c>
      <c r="BI50" s="9">
        <f>IF('Upto Month Current'!$I$60="",0,'Upto Month Current'!$I$60)-'Upto Month Current'!I57</f>
        <v>216921</v>
      </c>
      <c r="BJ50" s="124">
        <f t="shared" si="57"/>
        <v>1522665</v>
      </c>
      <c r="BK50" s="99">
        <f>'Upto Month Current'!$I$61</f>
        <v>1522665</v>
      </c>
    </row>
    <row r="51" spans="1:64" ht="15.75">
      <c r="A51" s="128"/>
      <c r="B51" s="5" t="s">
        <v>207</v>
      </c>
      <c r="C51" s="126">
        <f t="shared" ref="C51:AH51" si="62">C50/C47</f>
        <v>5.7844530140044655E-2</v>
      </c>
      <c r="D51" s="126">
        <f t="shared" si="62"/>
        <v>0.20735524256651017</v>
      </c>
      <c r="E51" s="126">
        <f t="shared" si="62"/>
        <v>0</v>
      </c>
      <c r="F51" s="126">
        <f t="shared" si="62"/>
        <v>5.1354401805869074E-2</v>
      </c>
      <c r="G51" s="126">
        <f t="shared" si="62"/>
        <v>9.9526066350710901E-2</v>
      </c>
      <c r="H51" s="126" t="e">
        <f t="shared" si="62"/>
        <v>#DIV/0!</v>
      </c>
      <c r="I51" s="126" t="e">
        <f t="shared" si="62"/>
        <v>#DIV/0!</v>
      </c>
      <c r="J51" s="126">
        <f t="shared" si="62"/>
        <v>0</v>
      </c>
      <c r="K51" s="126" t="e">
        <f t="shared" si="62"/>
        <v>#DIV/0!</v>
      </c>
      <c r="L51" s="126">
        <f t="shared" si="62"/>
        <v>9.3198992443324941E-2</v>
      </c>
      <c r="M51" s="126">
        <f t="shared" si="62"/>
        <v>0.25210084033613445</v>
      </c>
      <c r="N51" s="126" t="e">
        <f t="shared" si="62"/>
        <v>#DIV/0!</v>
      </c>
      <c r="O51" s="126" t="e">
        <f t="shared" si="62"/>
        <v>#DIV/0!</v>
      </c>
      <c r="P51" s="126">
        <f t="shared" si="62"/>
        <v>0.15596330275229359</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7.6897951565489245E-2</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0.10486069518164357</v>
      </c>
      <c r="AK51" s="126">
        <f t="shared" si="63"/>
        <v>0</v>
      </c>
      <c r="AL51" s="126">
        <f t="shared" si="63"/>
        <v>0.25960058281334136</v>
      </c>
      <c r="AM51" s="126" t="e">
        <f t="shared" si="63"/>
        <v>#DIV/0!</v>
      </c>
      <c r="AN51" s="126" t="e">
        <f t="shared" si="63"/>
        <v>#DIV/0!</v>
      </c>
      <c r="AO51" s="126" t="e">
        <f t="shared" si="63"/>
        <v>#DIV/0!</v>
      </c>
      <c r="AP51" s="126" t="e">
        <f t="shared" si="63"/>
        <v>#DIV/0!</v>
      </c>
      <c r="AQ51" s="126">
        <f t="shared" si="63"/>
        <v>4.7106162762798462E-3</v>
      </c>
      <c r="AR51" s="126" t="e">
        <f t="shared" si="63"/>
        <v>#DIV/0!</v>
      </c>
      <c r="AS51" s="126" t="e">
        <f t="shared" si="63"/>
        <v>#DIV/0!</v>
      </c>
      <c r="AT51" s="126">
        <f t="shared" si="63"/>
        <v>5.6673476812851582E-3</v>
      </c>
      <c r="AU51" s="126" t="e">
        <f t="shared" si="63"/>
        <v>#DIV/0!</v>
      </c>
      <c r="AV51" s="126" t="e">
        <f t="shared" si="63"/>
        <v>#DIV/0!</v>
      </c>
      <c r="AW51" s="126" t="e">
        <f t="shared" si="63"/>
        <v>#DIV/0!</v>
      </c>
      <c r="AX51" s="126" t="e">
        <f t="shared" si="63"/>
        <v>#DIV/0!</v>
      </c>
      <c r="AY51" s="126">
        <f t="shared" si="63"/>
        <v>3.5229720274923521E-2</v>
      </c>
      <c r="AZ51" s="126">
        <f t="shared" si="63"/>
        <v>6.3301660062725626E-2</v>
      </c>
      <c r="BA51" s="126" t="e">
        <f t="shared" si="63"/>
        <v>#DIV/0!</v>
      </c>
      <c r="BB51" s="126" t="e">
        <f t="shared" si="63"/>
        <v>#DIV/0!</v>
      </c>
      <c r="BC51" s="126" t="e">
        <f t="shared" si="63"/>
        <v>#DIV/0!</v>
      </c>
      <c r="BD51" s="126" t="e">
        <f t="shared" si="63"/>
        <v>#DIV/0!</v>
      </c>
      <c r="BE51" s="126" t="e">
        <f t="shared" si="63"/>
        <v>#DIV/0!</v>
      </c>
      <c r="BF51" s="126">
        <f t="shared" si="63"/>
        <v>3.853385640335198E-3</v>
      </c>
      <c r="BG51" s="126">
        <f t="shared" si="63"/>
        <v>0.18853742677370364</v>
      </c>
      <c r="BH51" s="126">
        <f t="shared" si="63"/>
        <v>0.18827847732181777</v>
      </c>
      <c r="BI51" s="126">
        <f t="shared" si="63"/>
        <v>0.35839841652471455</v>
      </c>
      <c r="BJ51" s="126">
        <f t="shared" si="63"/>
        <v>0.1763531684537501</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140</v>
      </c>
      <c r="B53" s="11" t="s">
        <v>211</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140</v>
      </c>
      <c r="B54" s="5" t="s">
        <v>208</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209</v>
      </c>
      <c r="C56" s="9">
        <f>IF('Upto Month Current'!$J$4="",0,'Upto Month Current'!$J$4)</f>
        <v>65318</v>
      </c>
      <c r="D56" s="9">
        <f>IF('Upto Month Current'!$J$5="",0,'Upto Month Current'!$J$5)</f>
        <v>39986</v>
      </c>
      <c r="E56" s="9">
        <f>IF('Upto Month Current'!$J$6="",0,'Upto Month Current'!$J$6)</f>
        <v>0</v>
      </c>
      <c r="F56" s="9">
        <f>IF('Upto Month Current'!$J$7="",0,'Upto Month Current'!$J$7)</f>
        <v>6812</v>
      </c>
      <c r="G56" s="9">
        <f>IF('Upto Month Current'!$J$8="",0,'Upto Month Current'!$J$8)</f>
        <v>5084</v>
      </c>
      <c r="H56" s="9">
        <f>IF('Upto Month Current'!$J$9="",0,'Upto Month Current'!$J$9)</f>
        <v>0</v>
      </c>
      <c r="I56" s="9">
        <f>IF('Upto Month Current'!$J$10="",0,'Upto Month Current'!$J$10)</f>
        <v>0</v>
      </c>
      <c r="J56" s="9">
        <f>IF('Upto Month Current'!$J$11="",0,'Upto Month Current'!$J$11)</f>
        <v>0</v>
      </c>
      <c r="K56" s="9">
        <f>IF('Upto Month Current'!$J$12="",0,'Upto Month Current'!$J$12)</f>
        <v>196</v>
      </c>
      <c r="L56" s="9">
        <f>IF('Upto Month Current'!$J$13="",0,'Upto Month Current'!$J$13)</f>
        <v>230</v>
      </c>
      <c r="M56" s="9">
        <f>IF('Upto Month Current'!$J$14="",0,'Upto Month Current'!$J$14)</f>
        <v>5751</v>
      </c>
      <c r="N56" s="9">
        <f>IF('Upto Month Current'!$J$15="",0,'Upto Month Current'!$J$15)</f>
        <v>1158</v>
      </c>
      <c r="O56" s="9">
        <f>IF('Upto Month Current'!$J$16="",0,'Upto Month Current'!$J$16)</f>
        <v>215</v>
      </c>
      <c r="P56" s="9">
        <f>IF('Upto Month Current'!$J$17="",0,'Upto Month Current'!$J$17)</f>
        <v>1459</v>
      </c>
      <c r="Q56" s="9">
        <f>IF('Upto Month Current'!$J$18="",0,'Upto Month Current'!$J$18)</f>
        <v>0</v>
      </c>
      <c r="R56" s="9">
        <f>IF('Upto Month Current'!$J$21="",0,'Upto Month Current'!$J$21)</f>
        <v>457</v>
      </c>
      <c r="S56" s="9">
        <f>IF('Upto Month Current'!$J$26="",0,'Upto Month Current'!$J$26)</f>
        <v>43575</v>
      </c>
      <c r="T56" s="9">
        <f>IF('Upto Month Current'!$J$27="",0,'Upto Month Current'!$J$27)</f>
        <v>530399</v>
      </c>
      <c r="U56" s="9">
        <f>IF('Upto Month Current'!$J$30="",0,'Upto Month Current'!$J$30)</f>
        <v>0</v>
      </c>
      <c r="V56" s="9">
        <f>IF('Upto Month Current'!$J$35="",0,'Upto Month Current'!$J$35)</f>
        <v>0</v>
      </c>
      <c r="W56" s="9">
        <f>IF('Upto Month Current'!$J$39="",0,'Upto Month Current'!$J$39)</f>
        <v>14</v>
      </c>
      <c r="X56" s="9">
        <f>IF('Upto Month Current'!$J$40="",0,'Upto Month Current'!$J$40)</f>
        <v>0</v>
      </c>
      <c r="Y56" s="9">
        <f>IF('Upto Month Current'!$J$42="",0,'Upto Month Current'!$J$42)</f>
        <v>97</v>
      </c>
      <c r="Z56" s="9">
        <f>IF('Upto Month Current'!$J$43="",0,'Upto Month Current'!$J$43)</f>
        <v>44</v>
      </c>
      <c r="AA56" s="9">
        <f>IF('Upto Month Current'!$J$44="",0,'Upto Month Current'!$J$44)</f>
        <v>24</v>
      </c>
      <c r="AB56" s="9">
        <f>IF('Upto Month Current'!$J$51="",0,'Upto Month Current'!$J$51)</f>
        <v>0</v>
      </c>
      <c r="AC56" s="121">
        <f t="shared" si="64"/>
        <v>700819</v>
      </c>
      <c r="AD56" s="9">
        <f>IF('Upto Month Current'!$J$19="",0,'Upto Month Current'!$J$19)</f>
        <v>77</v>
      </c>
      <c r="AE56" s="9">
        <f>IF('Upto Month Current'!$J$20="",0,'Upto Month Current'!$J$20)</f>
        <v>21</v>
      </c>
      <c r="AF56" s="9">
        <f>IF('Upto Month Current'!$J$22="",0,'Upto Month Current'!$J$22)</f>
        <v>979</v>
      </c>
      <c r="AG56" s="9">
        <f>IF('Upto Month Current'!$J$23="",0,'Upto Month Current'!$J$23)</f>
        <v>0</v>
      </c>
      <c r="AH56" s="9">
        <f>IF('Upto Month Current'!$J$24="",0,'Upto Month Current'!$J$24)</f>
        <v>0</v>
      </c>
      <c r="AI56" s="9">
        <f>IF('Upto Month Current'!$J$25="",0,'Upto Month Current'!$J$25)</f>
        <v>0</v>
      </c>
      <c r="AJ56" s="9">
        <f>IF('Upto Month Current'!$J$28="",0,'Upto Month Current'!$J$28)</f>
        <v>90</v>
      </c>
      <c r="AK56" s="9">
        <f>IF('Upto Month Current'!$J$29="",0,'Upto Month Current'!$J$29)</f>
        <v>36140</v>
      </c>
      <c r="AL56" s="9">
        <f>IF('Upto Month Current'!$J$31="",0,'Upto Month Current'!$J$31)</f>
        <v>-743</v>
      </c>
      <c r="AM56" s="9">
        <f>IF('Upto Month Current'!$J$32="",0,'Upto Month Current'!$J$32)</f>
        <v>4</v>
      </c>
      <c r="AN56" s="9">
        <f>IF('Upto Month Current'!$J$33="",0,'Upto Month Current'!$J$33)</f>
        <v>98237</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14</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8690</v>
      </c>
      <c r="BC56" s="9">
        <f>IF('Upto Month Current'!$J$54="",0,'Upto Month Current'!$J$54)</f>
        <v>8690</v>
      </c>
      <c r="BD56" s="9">
        <f>IF('Upto Month Current'!$J$55="",0,'Upto Month Current'!$J$55)</f>
        <v>0</v>
      </c>
      <c r="BE56" s="9">
        <f>IF('Upto Month Current'!$J$56="",0,'Upto Month Current'!$J$56)</f>
        <v>709</v>
      </c>
      <c r="BF56" s="9">
        <f>IF('Upto Month Current'!$J$58="",0,'Upto Month Current'!$J$58)</f>
        <v>-1518</v>
      </c>
      <c r="BG56" s="122">
        <f t="shared" si="66"/>
        <v>151390</v>
      </c>
      <c r="BH56" s="123">
        <f t="shared" si="67"/>
        <v>852209</v>
      </c>
      <c r="BI56" s="9">
        <f>IF('Upto Month Current'!$J$60="",0,'Upto Month Current'!$J$60)</f>
        <v>0</v>
      </c>
      <c r="BJ56" s="124">
        <f t="shared" si="65"/>
        <v>852209</v>
      </c>
      <c r="BK56">
        <f>'Upto Month Current'!$J$61</f>
        <v>852207</v>
      </c>
      <c r="BL56" s="30"/>
    </row>
    <row r="57" spans="1:64" ht="15.75">
      <c r="A57" s="128"/>
      <c r="B57" s="5" t="s">
        <v>207</v>
      </c>
      <c r="C57" s="126">
        <f t="shared" ref="C57:AH57" si="69">C56/C53</f>
        <v>7.3939409032611536E-2</v>
      </c>
      <c r="D57" s="126">
        <f t="shared" si="69"/>
        <v>0.27975149369639135</v>
      </c>
      <c r="E57" s="126">
        <f t="shared" si="69"/>
        <v>0</v>
      </c>
      <c r="F57" s="126">
        <f t="shared" si="69"/>
        <v>9.8546112115732373E-2</v>
      </c>
      <c r="G57" s="126">
        <f t="shared" si="69"/>
        <v>8.0098311066296946E-2</v>
      </c>
      <c r="H57" s="126" t="e">
        <f t="shared" si="69"/>
        <v>#DIV/0!</v>
      </c>
      <c r="I57" s="126" t="e">
        <f t="shared" si="69"/>
        <v>#DIV/0!</v>
      </c>
      <c r="J57" s="126" t="e">
        <f t="shared" si="69"/>
        <v>#DIV/0!</v>
      </c>
      <c r="K57" s="126">
        <f t="shared" si="69"/>
        <v>1.4</v>
      </c>
      <c r="L57" s="126">
        <f t="shared" si="69"/>
        <v>0.15593220338983052</v>
      </c>
      <c r="M57" s="126">
        <f t="shared" si="69"/>
        <v>9.1551650031042556E-2</v>
      </c>
      <c r="N57" s="126">
        <f t="shared" si="69"/>
        <v>0.20090215128383068</v>
      </c>
      <c r="O57" s="126">
        <f t="shared" si="69"/>
        <v>0.10472479298587432</v>
      </c>
      <c r="P57" s="126">
        <f t="shared" si="69"/>
        <v>0.17820935629656773</v>
      </c>
      <c r="Q57" s="126" t="e">
        <f t="shared" si="69"/>
        <v>#DIV/0!</v>
      </c>
      <c r="R57" s="126">
        <f t="shared" si="69"/>
        <v>0.46775844421699081</v>
      </c>
      <c r="S57" s="126">
        <f t="shared" si="69"/>
        <v>5.7133679041806253E-2</v>
      </c>
      <c r="T57" s="126">
        <f t="shared" si="69"/>
        <v>0.52852432422198459</v>
      </c>
      <c r="U57" s="126" t="e">
        <f t="shared" si="69"/>
        <v>#DIV/0!</v>
      </c>
      <c r="V57" s="126" t="e">
        <f t="shared" si="69"/>
        <v>#DIV/0!</v>
      </c>
      <c r="W57" s="126" t="e">
        <f t="shared" si="69"/>
        <v>#DIV/0!</v>
      </c>
      <c r="X57" s="126" t="e">
        <f t="shared" si="69"/>
        <v>#DIV/0!</v>
      </c>
      <c r="Y57" s="126">
        <f t="shared" si="69"/>
        <v>0.46634615384615385</v>
      </c>
      <c r="Z57" s="126">
        <f t="shared" si="69"/>
        <v>3.1428571428571428</v>
      </c>
      <c r="AA57" s="126">
        <f t="shared" si="69"/>
        <v>0.10526315789473684</v>
      </c>
      <c r="AB57" s="126" t="e">
        <f t="shared" si="69"/>
        <v>#DIV/0!</v>
      </c>
      <c r="AC57" s="126">
        <f t="shared" si="69"/>
        <v>0.23014865663230841</v>
      </c>
      <c r="AD57" s="126">
        <f t="shared" si="69"/>
        <v>4.64975845410628E-2</v>
      </c>
      <c r="AE57" s="126">
        <f t="shared" si="69"/>
        <v>0.21428571428571427</v>
      </c>
      <c r="AF57" s="126">
        <f t="shared" si="69"/>
        <v>0.79723127035830621</v>
      </c>
      <c r="AG57" s="126" t="e">
        <f t="shared" si="69"/>
        <v>#DIV/0!</v>
      </c>
      <c r="AH57" s="126" t="e">
        <f t="shared" si="69"/>
        <v>#DIV/0!</v>
      </c>
      <c r="AI57" s="126">
        <f t="shared" ref="AI57:BJ57" si="70">AI56/AI53</f>
        <v>0</v>
      </c>
      <c r="AJ57" s="126">
        <f t="shared" si="70"/>
        <v>1.6137708445400752E-2</v>
      </c>
      <c r="AK57" s="126">
        <f t="shared" si="70"/>
        <v>0.16255116268609723</v>
      </c>
      <c r="AL57" s="126">
        <f t="shared" si="70"/>
        <v>-3.9806912365859277E-3</v>
      </c>
      <c r="AM57" s="126" t="e">
        <f t="shared" si="70"/>
        <v>#DIV/0!</v>
      </c>
      <c r="AN57" s="126">
        <f t="shared" si="70"/>
        <v>0.30310519527802976</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0</v>
      </c>
      <c r="AW57" s="126">
        <f t="shared" si="70"/>
        <v>5.7142857142857141E-2</v>
      </c>
      <c r="AX57" s="126">
        <f t="shared" si="70"/>
        <v>0</v>
      </c>
      <c r="AY57" s="126" t="e">
        <f t="shared" si="70"/>
        <v>#DIV/0!</v>
      </c>
      <c r="AZ57" s="126" t="e">
        <f t="shared" si="70"/>
        <v>#DIV/0!</v>
      </c>
      <c r="BA57" s="126" t="e">
        <f t="shared" si="70"/>
        <v>#DIV/0!</v>
      </c>
      <c r="BB57" s="126">
        <f t="shared" si="70"/>
        <v>0.40892193308550184</v>
      </c>
      <c r="BC57" s="126">
        <f t="shared" si="70"/>
        <v>0.40892193308550184</v>
      </c>
      <c r="BD57" s="126">
        <f t="shared" si="70"/>
        <v>0</v>
      </c>
      <c r="BE57" s="126">
        <f t="shared" si="70"/>
        <v>0.37692716640085061</v>
      </c>
      <c r="BF57" s="126">
        <f t="shared" si="70"/>
        <v>1.4718430034129693E-2</v>
      </c>
      <c r="BG57" s="126">
        <f t="shared" si="70"/>
        <v>0.22126829895701791</v>
      </c>
      <c r="BH57" s="126">
        <f t="shared" si="70"/>
        <v>0.22851941523030153</v>
      </c>
      <c r="BI57" s="126">
        <f t="shared" si="70"/>
        <v>0</v>
      </c>
      <c r="BJ57" s="126">
        <f t="shared" si="70"/>
        <v>0.22852554313126028</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40</v>
      </c>
      <c r="B59" s="11" t="s">
        <v>211</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208</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209</v>
      </c>
      <c r="C62" s="9">
        <f>IF('Upto Month Current'!$K$4="",0,'Upto Month Current'!$K$4)</f>
        <v>139940</v>
      </c>
      <c r="D62" s="9">
        <f>IF('Upto Month Current'!$K$5="",0,'Upto Month Current'!$K$5)</f>
        <v>82636</v>
      </c>
      <c r="E62" s="9">
        <f>IF('Upto Month Current'!$K$6="",0,'Upto Month Current'!$K$6)</f>
        <v>102</v>
      </c>
      <c r="F62" s="9">
        <f>IF('Upto Month Current'!$K$7="",0,'Upto Month Current'!$K$7)</f>
        <v>15477</v>
      </c>
      <c r="G62" s="9">
        <f>IF('Upto Month Current'!$K$8="",0,'Upto Month Current'!$K$8)</f>
        <v>10121</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26</v>
      </c>
      <c r="M62" s="9">
        <f>IF('Upto Month Current'!$K$14="",0,'Upto Month Current'!$K$14)</f>
        <v>11074</v>
      </c>
      <c r="N62" s="9">
        <f>IF('Upto Month Current'!$K$15="",0,'Upto Month Current'!$K$15)</f>
        <v>59</v>
      </c>
      <c r="O62" s="9">
        <f>IF('Upto Month Current'!$K$16="",0,'Upto Month Current'!$K$16)</f>
        <v>1406</v>
      </c>
      <c r="P62" s="9">
        <f>IF('Upto Month Current'!$K$17="",0,'Upto Month Current'!$K$17)</f>
        <v>20388</v>
      </c>
      <c r="Q62" s="9">
        <f>IF('Upto Month Current'!$K$18="",0,'Upto Month Current'!$K$18)</f>
        <v>0</v>
      </c>
      <c r="R62" s="9">
        <f>IF('Upto Month Current'!$K$21="",0,'Upto Month Current'!$K$21)</f>
        <v>385</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454</v>
      </c>
      <c r="Z62" s="9">
        <f>IF('Upto Month Current'!$K$43="",0,'Upto Month Current'!$K$43)</f>
        <v>140</v>
      </c>
      <c r="AA62" s="9">
        <f>IF('Upto Month Current'!$K$44="",0,'Upto Month Current'!$K$44)</f>
        <v>74</v>
      </c>
      <c r="AB62" s="9">
        <f>IF('Upto Month Current'!$K$51="",0,'Upto Month Current'!$K$51)</f>
        <v>0</v>
      </c>
      <c r="AC62" s="121">
        <f t="shared" si="71"/>
        <v>282282</v>
      </c>
      <c r="AD62" s="9">
        <f>IF('Upto Month Current'!$K$19="",0,'Upto Month Current'!$K$19)</f>
        <v>700</v>
      </c>
      <c r="AE62" s="9">
        <f>IF('Upto Month Current'!$K$20="",0,'Upto Month Current'!$K$20)</f>
        <v>98</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-11</v>
      </c>
      <c r="AK62" s="9">
        <f>IF('Upto Month Current'!$K$29="",0,'Upto Month Current'!$K$29)</f>
        <v>2854</v>
      </c>
      <c r="AL62" s="9">
        <f>IF('Upto Month Current'!$K$31="",0,'Upto Month Current'!$K$31)</f>
        <v>13</v>
      </c>
      <c r="AM62" s="9">
        <f>IF('Upto Month Current'!$K$32="",0,'Upto Month Current'!$K$32)</f>
        <v>102</v>
      </c>
      <c r="AN62" s="9">
        <f>IF('Upto Month Current'!$K$33="",0,'Upto Month Current'!$K$33)</f>
        <v>10854</v>
      </c>
      <c r="AO62" s="9">
        <f>IF('Upto Month Current'!$K$34="",0,'Upto Month Current'!$K$34)</f>
        <v>28513</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30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269</v>
      </c>
      <c r="BC62" s="9">
        <f>IF('Upto Month Current'!$K$54="",0,'Upto Month Current'!$K$54)</f>
        <v>269</v>
      </c>
      <c r="BD62" s="9">
        <f>IF('Upto Month Current'!$K$55="",0,'Upto Month Current'!$K$55)</f>
        <v>0</v>
      </c>
      <c r="BE62" s="9">
        <f>IF('Upto Month Current'!$K$56="",0,'Upto Month Current'!$K$56)</f>
        <v>63</v>
      </c>
      <c r="BF62" s="9">
        <f>IF('Upto Month Current'!$K$58="",0,'Upto Month Current'!$K$58)</f>
        <v>49473</v>
      </c>
      <c r="BG62" s="122">
        <f t="shared" si="73"/>
        <v>93227</v>
      </c>
      <c r="BH62" s="123">
        <f t="shared" si="74"/>
        <v>375509</v>
      </c>
      <c r="BI62" s="9">
        <f>IF('Upto Month Current'!$K$60="",0,'Upto Month Current'!$K$60)</f>
        <v>0</v>
      </c>
      <c r="BJ62" s="124">
        <f t="shared" si="72"/>
        <v>375509</v>
      </c>
      <c r="BK62">
        <f>'Upto Month Current'!$K$61</f>
        <v>375507</v>
      </c>
    </row>
    <row r="63" spans="1:64" ht="15.75">
      <c r="A63" s="128"/>
      <c r="B63" s="5" t="s">
        <v>207</v>
      </c>
      <c r="C63" s="126">
        <f t="shared" ref="C63:AH63" si="77">C62/C59</f>
        <v>0.10613865831755739</v>
      </c>
      <c r="D63" s="126">
        <f t="shared" si="77"/>
        <v>0.32414791337331772</v>
      </c>
      <c r="E63" s="126">
        <f t="shared" si="77"/>
        <v>4.0532485595072519E-3</v>
      </c>
      <c r="F63" s="126">
        <f t="shared" si="77"/>
        <v>0.11975672601499571</v>
      </c>
      <c r="G63" s="126">
        <f t="shared" si="77"/>
        <v>0.11725656027341713</v>
      </c>
      <c r="H63" s="126" t="e">
        <f t="shared" si="77"/>
        <v>#DIV/0!</v>
      </c>
      <c r="I63" s="126" t="e">
        <f t="shared" si="77"/>
        <v>#DIV/0!</v>
      </c>
      <c r="J63" s="126">
        <f t="shared" si="77"/>
        <v>0</v>
      </c>
      <c r="K63" s="126">
        <f t="shared" si="77"/>
        <v>0</v>
      </c>
      <c r="L63" s="126">
        <f t="shared" si="77"/>
        <v>2.1035598705501618E-2</v>
      </c>
      <c r="M63" s="126">
        <f t="shared" si="77"/>
        <v>9.6604787493893507E-2</v>
      </c>
      <c r="N63" s="126">
        <f t="shared" si="77"/>
        <v>8.137931034482758E-2</v>
      </c>
      <c r="O63" s="126">
        <f t="shared" si="77"/>
        <v>6.9576405384006335E-2</v>
      </c>
      <c r="P63" s="126">
        <f t="shared" si="77"/>
        <v>0.19213117843848654</v>
      </c>
      <c r="Q63" s="126" t="e">
        <f t="shared" si="77"/>
        <v>#DIV/0!</v>
      </c>
      <c r="R63" s="126">
        <f t="shared" si="77"/>
        <v>0.12902144772117963</v>
      </c>
      <c r="S63" s="126" t="e">
        <f t="shared" si="77"/>
        <v>#DIV/0!</v>
      </c>
      <c r="T63" s="126" t="e">
        <f t="shared" si="77"/>
        <v>#DIV/0!</v>
      </c>
      <c r="U63" s="126" t="e">
        <f t="shared" si="77"/>
        <v>#DIV/0!</v>
      </c>
      <c r="V63" s="126" t="e">
        <f t="shared" si="77"/>
        <v>#DIV/0!</v>
      </c>
      <c r="W63" s="126" t="e">
        <f t="shared" si="77"/>
        <v>#DIV/0!</v>
      </c>
      <c r="X63" s="126" t="e">
        <f t="shared" si="77"/>
        <v>#DIV/0!</v>
      </c>
      <c r="Y63" s="126">
        <f t="shared" si="77"/>
        <v>0.24620390455531455</v>
      </c>
      <c r="Z63" s="126">
        <f t="shared" si="77"/>
        <v>0.20057306590257878</v>
      </c>
      <c r="AA63" s="126">
        <f t="shared" si="77"/>
        <v>0.16629213483146069</v>
      </c>
      <c r="AB63" s="126" t="e">
        <f t="shared" si="77"/>
        <v>#DIV/0!</v>
      </c>
      <c r="AC63" s="126">
        <f t="shared" si="77"/>
        <v>0.13518255837452603</v>
      </c>
      <c r="AD63" s="126">
        <f t="shared" si="77"/>
        <v>5.7674878470791793E-2</v>
      </c>
      <c r="AE63" s="126">
        <f t="shared" si="77"/>
        <v>1.3066666666666666</v>
      </c>
      <c r="AF63" s="126">
        <f t="shared" si="77"/>
        <v>0</v>
      </c>
      <c r="AG63" s="126" t="e">
        <f t="shared" si="77"/>
        <v>#DIV/0!</v>
      </c>
      <c r="AH63" s="126" t="e">
        <f t="shared" si="77"/>
        <v>#DIV/0!</v>
      </c>
      <c r="AI63" s="126">
        <f t="shared" ref="AI63:BJ63" si="78">AI62/AI59</f>
        <v>0</v>
      </c>
      <c r="AJ63" s="126">
        <f t="shared" si="78"/>
        <v>-2.9883183917413748E-3</v>
      </c>
      <c r="AK63" s="126">
        <f t="shared" si="78"/>
        <v>0.27972165049495246</v>
      </c>
      <c r="AL63" s="126">
        <f t="shared" si="78"/>
        <v>5.5793991416309016E-2</v>
      </c>
      <c r="AM63" s="126">
        <f t="shared" si="78"/>
        <v>20.399999999999999</v>
      </c>
      <c r="AN63" s="126">
        <f t="shared" si="78"/>
        <v>0.11469814331455866</v>
      </c>
      <c r="AO63" s="126">
        <f t="shared" si="78"/>
        <v>0.14622726177105611</v>
      </c>
      <c r="AP63" s="126" t="e">
        <f t="shared" si="78"/>
        <v>#DIV/0!</v>
      </c>
      <c r="AQ63" s="126" t="e">
        <f t="shared" si="78"/>
        <v>#DIV/0!</v>
      </c>
      <c r="AR63" s="126" t="e">
        <f t="shared" si="78"/>
        <v>#DIV/0!</v>
      </c>
      <c r="AS63" s="126" t="e">
        <f t="shared" si="78"/>
        <v>#DIV/0!</v>
      </c>
      <c r="AT63" s="126" t="e">
        <f t="shared" si="78"/>
        <v>#DIV/0!</v>
      </c>
      <c r="AU63" s="126" t="e">
        <f t="shared" si="78"/>
        <v>#DIV/0!</v>
      </c>
      <c r="AV63" s="126">
        <f t="shared" si="78"/>
        <v>0</v>
      </c>
      <c r="AW63" s="126">
        <f t="shared" si="78"/>
        <v>3.0181086519114688E-2</v>
      </c>
      <c r="AX63" s="126">
        <f t="shared" si="78"/>
        <v>0</v>
      </c>
      <c r="AY63" s="126" t="e">
        <f t="shared" si="78"/>
        <v>#DIV/0!</v>
      </c>
      <c r="AZ63" s="126" t="e">
        <f t="shared" si="78"/>
        <v>#DIV/0!</v>
      </c>
      <c r="BA63" s="126" t="e">
        <f t="shared" si="78"/>
        <v>#DIV/0!</v>
      </c>
      <c r="BB63" s="126">
        <f t="shared" si="78"/>
        <v>7.8586035641250371E-2</v>
      </c>
      <c r="BC63" s="126">
        <f t="shared" si="78"/>
        <v>7.8586035641250371E-2</v>
      </c>
      <c r="BD63" s="126">
        <f t="shared" si="78"/>
        <v>0</v>
      </c>
      <c r="BE63" s="126">
        <f t="shared" si="78"/>
        <v>1.1454545454545455</v>
      </c>
      <c r="BF63" s="126">
        <f t="shared" si="78"/>
        <v>5.3594816556944966E-2</v>
      </c>
      <c r="BG63" s="126">
        <f t="shared" si="78"/>
        <v>7.4639101964153187E-2</v>
      </c>
      <c r="BH63" s="126">
        <f t="shared" si="78"/>
        <v>0.11252247773651552</v>
      </c>
      <c r="BI63" s="126">
        <f t="shared" si="78"/>
        <v>0</v>
      </c>
      <c r="BJ63" s="126">
        <f t="shared" si="78"/>
        <v>0.11935641259140241</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141</v>
      </c>
      <c r="B65" s="11" t="s">
        <v>211</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141</v>
      </c>
      <c r="B66" s="5" t="s">
        <v>208</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209</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409923</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409923</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10114697</v>
      </c>
      <c r="BG68" s="122">
        <f t="shared" si="81"/>
        <v>10114697</v>
      </c>
      <c r="BH68" s="123">
        <f t="shared" si="82"/>
        <v>10524620</v>
      </c>
      <c r="BI68" s="9">
        <f>IF('Upto Month Current'!$L$60="",0,'Upto Month Current'!$L$60)</f>
        <v>10113272</v>
      </c>
      <c r="BJ68" s="124">
        <f t="shared" si="80"/>
        <v>411348</v>
      </c>
      <c r="BK68">
        <f>'Upto Month Current'!$L$61</f>
        <v>411348</v>
      </c>
    </row>
    <row r="69" spans="1:63" ht="15.75">
      <c r="A69" s="128"/>
      <c r="B69" s="5" t="s">
        <v>207</v>
      </c>
      <c r="C69" s="126" t="e">
        <f t="shared" ref="C69:AH69" si="85">C68/C65</f>
        <v>#DIV/0!</v>
      </c>
      <c r="D69" s="126" t="e">
        <f t="shared" si="85"/>
        <v>#DIV/0!</v>
      </c>
      <c r="E69" s="126" t="e">
        <f t="shared" si="85"/>
        <v>#DIV/0!</v>
      </c>
      <c r="F69" s="126" t="e">
        <f t="shared" si="85"/>
        <v>#DIV/0!</v>
      </c>
      <c r="G69" s="126" t="e">
        <f t="shared" si="85"/>
        <v>#DIV/0!</v>
      </c>
      <c r="H69" s="126">
        <f t="shared" si="85"/>
        <v>0.15378488805921156</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0.15378488805921156</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0.14068050457231596</v>
      </c>
      <c r="BG69" s="126">
        <f t="shared" si="86"/>
        <v>0.14068050457231596</v>
      </c>
      <c r="BH69" s="126">
        <f t="shared" si="86"/>
        <v>0.14114896887726538</v>
      </c>
      <c r="BI69" s="126">
        <f t="shared" si="86"/>
        <v>0.14074242310379284</v>
      </c>
      <c r="BJ69" s="126">
        <f t="shared" si="86"/>
        <v>0.15193935545782042</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128</v>
      </c>
      <c r="B71" s="11" t="s">
        <v>211</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2496542</v>
      </c>
      <c r="D74" s="5">
        <f t="shared" ref="D74:AB74" si="95">D8+D14+D20+D26+D32+D38+D44+D50+D56+D62+D68</f>
        <v>1533045</v>
      </c>
      <c r="E74" s="5">
        <f t="shared" si="95"/>
        <v>559</v>
      </c>
      <c r="F74" s="5">
        <f t="shared" si="95"/>
        <v>306455</v>
      </c>
      <c r="G74" s="5">
        <f t="shared" si="95"/>
        <v>185020</v>
      </c>
      <c r="H74" s="5">
        <f t="shared" si="95"/>
        <v>409923</v>
      </c>
      <c r="I74" s="5">
        <f t="shared" si="95"/>
        <v>0</v>
      </c>
      <c r="J74" s="5">
        <f t="shared" si="95"/>
        <v>262695</v>
      </c>
      <c r="K74" s="5">
        <f t="shared" si="95"/>
        <v>11440</v>
      </c>
      <c r="L74" s="5">
        <f t="shared" si="95"/>
        <v>96716</v>
      </c>
      <c r="M74" s="5">
        <f t="shared" si="95"/>
        <v>121316</v>
      </c>
      <c r="N74" s="5">
        <f t="shared" si="95"/>
        <v>1644</v>
      </c>
      <c r="O74" s="5">
        <f t="shared" si="95"/>
        <v>7855</v>
      </c>
      <c r="P74" s="5">
        <f t="shared" si="95"/>
        <v>154508</v>
      </c>
      <c r="Q74" s="5">
        <f t="shared" si="95"/>
        <v>0</v>
      </c>
      <c r="R74" s="5">
        <f t="shared" si="95"/>
        <v>5330</v>
      </c>
      <c r="S74" s="5">
        <f t="shared" si="95"/>
        <v>43575</v>
      </c>
      <c r="T74" s="5">
        <f t="shared" si="95"/>
        <v>530399</v>
      </c>
      <c r="U74" s="5">
        <f t="shared" si="95"/>
        <v>0</v>
      </c>
      <c r="V74" s="5">
        <f t="shared" si="95"/>
        <v>21973</v>
      </c>
      <c r="W74" s="5">
        <f t="shared" si="95"/>
        <v>46</v>
      </c>
      <c r="X74" s="5">
        <f t="shared" si="95"/>
        <v>0</v>
      </c>
      <c r="Y74" s="5">
        <f t="shared" si="95"/>
        <v>10408</v>
      </c>
      <c r="Z74" s="5">
        <f t="shared" si="95"/>
        <v>4250</v>
      </c>
      <c r="AA74" s="5">
        <f t="shared" si="95"/>
        <v>3712</v>
      </c>
      <c r="AB74" s="5">
        <f t="shared" si="95"/>
        <v>148659</v>
      </c>
      <c r="AC74" s="121">
        <f t="shared" si="88"/>
        <v>6356070</v>
      </c>
      <c r="AD74" s="5">
        <f>AD8+AD14+AD20+AD26+AD32+AD38+AD44+AD50+AD56+AD62+AD68</f>
        <v>7121</v>
      </c>
      <c r="AE74" s="5">
        <f t="shared" ref="AE74:BF74" si="96">AE8+AE14+AE20+AE26+AE32+AE38+AE44+AE50+AE56+AE62+AE68</f>
        <v>2553</v>
      </c>
      <c r="AF74" s="5">
        <f t="shared" si="96"/>
        <v>55283</v>
      </c>
      <c r="AG74" s="5">
        <f t="shared" si="96"/>
        <v>0</v>
      </c>
      <c r="AH74" s="5">
        <f t="shared" si="96"/>
        <v>0</v>
      </c>
      <c r="AI74" s="5">
        <f t="shared" si="96"/>
        <v>3024</v>
      </c>
      <c r="AJ74" s="5">
        <f t="shared" si="96"/>
        <v>225685</v>
      </c>
      <c r="AK74" s="5">
        <f t="shared" si="96"/>
        <v>179620</v>
      </c>
      <c r="AL74" s="5">
        <f t="shared" si="96"/>
        <v>1687648</v>
      </c>
      <c r="AM74" s="5">
        <f t="shared" si="96"/>
        <v>27180</v>
      </c>
      <c r="AN74" s="5">
        <f t="shared" si="96"/>
        <v>682844</v>
      </c>
      <c r="AO74" s="5">
        <f t="shared" si="96"/>
        <v>-5162252</v>
      </c>
      <c r="AP74" s="5">
        <f t="shared" si="96"/>
        <v>36574</v>
      </c>
      <c r="AQ74" s="5">
        <f t="shared" si="96"/>
        <v>4280</v>
      </c>
      <c r="AR74" s="5">
        <f t="shared" si="96"/>
        <v>0</v>
      </c>
      <c r="AS74" s="5">
        <f t="shared" si="96"/>
        <v>0</v>
      </c>
      <c r="AT74" s="5">
        <f t="shared" si="96"/>
        <v>3240</v>
      </c>
      <c r="AU74" s="5">
        <f t="shared" si="96"/>
        <v>0</v>
      </c>
      <c r="AV74" s="5">
        <f t="shared" si="96"/>
        <v>0</v>
      </c>
      <c r="AW74" s="5">
        <f t="shared" si="96"/>
        <v>2022</v>
      </c>
      <c r="AX74" s="5">
        <f t="shared" si="96"/>
        <v>0</v>
      </c>
      <c r="AY74" s="5">
        <f t="shared" si="96"/>
        <v>5136</v>
      </c>
      <c r="AZ74" s="5">
        <f t="shared" si="96"/>
        <v>62529</v>
      </c>
      <c r="BA74" s="5">
        <f t="shared" si="96"/>
        <v>170631</v>
      </c>
      <c r="BB74" s="5">
        <f t="shared" si="96"/>
        <v>34208</v>
      </c>
      <c r="BC74" s="5">
        <f t="shared" si="96"/>
        <v>34208</v>
      </c>
      <c r="BD74" s="5">
        <f t="shared" si="96"/>
        <v>0</v>
      </c>
      <c r="BE74" s="5">
        <f t="shared" si="96"/>
        <v>46106</v>
      </c>
      <c r="BF74" s="5">
        <f t="shared" si="96"/>
        <v>10403046</v>
      </c>
      <c r="BG74" s="6">
        <f>BG8+BG14+BG20+BG26+BG32+BG38+BG44+BG50+BG56+BG62+BG68</f>
        <v>8510686</v>
      </c>
      <c r="BH74" s="125">
        <f>AC74+BG74</f>
        <v>14866756</v>
      </c>
      <c r="BI74" s="5">
        <f t="shared" si="92"/>
        <v>10401231</v>
      </c>
      <c r="BJ74" s="49">
        <f t="shared" si="92"/>
        <v>4465525</v>
      </c>
      <c r="BK74" s="30">
        <f>'Upto Month Current'!N61-'Upto Month Current'!M61</f>
        <v>4465597</v>
      </c>
    </row>
    <row r="75" spans="1:63" ht="15.75">
      <c r="A75" s="128"/>
      <c r="B75" s="5" t="s">
        <v>207</v>
      </c>
      <c r="C75" s="126">
        <f t="shared" ref="C75:AH75" si="97">C74/C71</f>
        <v>0.10342492516577537</v>
      </c>
      <c r="D75" s="126">
        <f t="shared" si="97"/>
        <v>0.3568955884064719</v>
      </c>
      <c r="E75" s="126">
        <f t="shared" si="97"/>
        <v>5.4185200945672306E-4</v>
      </c>
      <c r="F75" s="126">
        <f t="shared" si="97"/>
        <v>0.11960708474537904</v>
      </c>
      <c r="G75" s="126">
        <f t="shared" si="97"/>
        <v>0.13863766130808852</v>
      </c>
      <c r="H75" s="126">
        <f t="shared" si="97"/>
        <v>0.15378488805921156</v>
      </c>
      <c r="I75" s="126" t="e">
        <f t="shared" si="97"/>
        <v>#DIV/0!</v>
      </c>
      <c r="J75" s="126">
        <f t="shared" si="97"/>
        <v>0.20715882610392836</v>
      </c>
      <c r="K75" s="126">
        <f t="shared" si="97"/>
        <v>6.008403361344538E-2</v>
      </c>
      <c r="L75" s="126">
        <f t="shared" si="97"/>
        <v>0.21899135727272934</v>
      </c>
      <c r="M75" s="126">
        <f t="shared" si="97"/>
        <v>0.12984096846661236</v>
      </c>
      <c r="N75" s="126">
        <f t="shared" si="97"/>
        <v>0.11411911703456892</v>
      </c>
      <c r="O75" s="126">
        <f t="shared" si="97"/>
        <v>9.9105464363668475E-2</v>
      </c>
      <c r="P75" s="126">
        <f t="shared" si="97"/>
        <v>0.20437566137566138</v>
      </c>
      <c r="Q75" s="126" t="e">
        <f t="shared" si="97"/>
        <v>#DIV/0!</v>
      </c>
      <c r="R75" s="126">
        <f t="shared" si="97"/>
        <v>0.11844444444444445</v>
      </c>
      <c r="S75" s="126">
        <f t="shared" si="97"/>
        <v>5.7133679041806253E-2</v>
      </c>
      <c r="T75" s="126">
        <f t="shared" si="97"/>
        <v>0.52852432422198459</v>
      </c>
      <c r="U75" s="126" t="e">
        <f t="shared" si="97"/>
        <v>#DIV/0!</v>
      </c>
      <c r="V75" s="126">
        <f t="shared" si="97"/>
        <v>6.8965841930654373E-2</v>
      </c>
      <c r="W75" s="126">
        <f t="shared" si="97"/>
        <v>8.2882882882882883E-2</v>
      </c>
      <c r="X75" s="126">
        <f t="shared" si="97"/>
        <v>0</v>
      </c>
      <c r="Y75" s="126">
        <f t="shared" si="97"/>
        <v>1.2756465253094742</v>
      </c>
      <c r="Z75" s="126">
        <f t="shared" si="97"/>
        <v>2.992957746478873</v>
      </c>
      <c r="AA75" s="126">
        <f t="shared" si="97"/>
        <v>8.2619243695608621E-2</v>
      </c>
      <c r="AB75" s="126">
        <f t="shared" si="97"/>
        <v>8.7833454455217397E-2</v>
      </c>
      <c r="AC75" s="126">
        <f t="shared" si="97"/>
        <v>0.14581469184758028</v>
      </c>
      <c r="AD75" s="126">
        <f t="shared" si="97"/>
        <v>5.7664121271995529E-2</v>
      </c>
      <c r="AE75" s="126">
        <f t="shared" si="97"/>
        <v>5.2767558182795257E-2</v>
      </c>
      <c r="AF75" s="126">
        <f t="shared" si="97"/>
        <v>0.89184829077064542</v>
      </c>
      <c r="AG75" s="126" t="e">
        <f t="shared" si="97"/>
        <v>#DIV/0!</v>
      </c>
      <c r="AH75" s="126">
        <f t="shared" si="97"/>
        <v>0</v>
      </c>
      <c r="AI75" s="126">
        <f t="shared" ref="AI75:BJ75" si="98">AI74/AI71</f>
        <v>0.27453472537448931</v>
      </c>
      <c r="AJ75" s="126">
        <f t="shared" si="98"/>
        <v>0.17966033422068245</v>
      </c>
      <c r="AK75" s="126">
        <f t="shared" si="98"/>
        <v>0.14142148989374098</v>
      </c>
      <c r="AL75" s="126">
        <f t="shared" si="98"/>
        <v>0.23910323253388946</v>
      </c>
      <c r="AM75" s="126">
        <f t="shared" si="98"/>
        <v>0.24530685920577616</v>
      </c>
      <c r="AN75" s="126">
        <f t="shared" si="98"/>
        <v>0.24333439289344008</v>
      </c>
      <c r="AO75" s="126">
        <f t="shared" si="98"/>
        <v>-0.29964275643483623</v>
      </c>
      <c r="AP75" s="126">
        <f t="shared" si="98"/>
        <v>0.43723176607012637</v>
      </c>
      <c r="AQ75" s="126">
        <f t="shared" si="98"/>
        <v>4.7106162762798462E-3</v>
      </c>
      <c r="AR75" s="126" t="e">
        <f t="shared" si="98"/>
        <v>#DIV/0!</v>
      </c>
      <c r="AS75" s="126" t="e">
        <f t="shared" si="98"/>
        <v>#DIV/0!</v>
      </c>
      <c r="AT75" s="126">
        <f t="shared" si="98"/>
        <v>5.6673476812851582E-3</v>
      </c>
      <c r="AU75" s="126">
        <f t="shared" si="98"/>
        <v>0</v>
      </c>
      <c r="AV75" s="126">
        <f t="shared" si="98"/>
        <v>0</v>
      </c>
      <c r="AW75" s="126">
        <f t="shared" si="98"/>
        <v>0.14972232506479083</v>
      </c>
      <c r="AX75" s="126">
        <f t="shared" si="98"/>
        <v>0</v>
      </c>
      <c r="AY75" s="126">
        <f t="shared" si="98"/>
        <v>3.5229720274923521E-2</v>
      </c>
      <c r="AZ75" s="126">
        <f t="shared" si="98"/>
        <v>6.3301660062725626E-2</v>
      </c>
      <c r="BA75" s="126">
        <f t="shared" si="98"/>
        <v>0.22570238095238096</v>
      </c>
      <c r="BB75" s="126">
        <f t="shared" si="98"/>
        <v>0.47451138144844712</v>
      </c>
      <c r="BC75" s="126">
        <f t="shared" si="98"/>
        <v>0.47397882835448651</v>
      </c>
      <c r="BD75" s="126">
        <f t="shared" si="98"/>
        <v>0</v>
      </c>
      <c r="BE75" s="126">
        <f t="shared" si="98"/>
        <v>1.3624704491725768</v>
      </c>
      <c r="BF75" s="126">
        <f t="shared" si="98"/>
        <v>0.14213576716201187</v>
      </c>
      <c r="BG75" s="126">
        <f t="shared" si="98"/>
        <v>7.9666799827117316E-2</v>
      </c>
      <c r="BH75" s="126">
        <f t="shared" si="98"/>
        <v>9.8835909673066422E-2</v>
      </c>
      <c r="BI75" s="126">
        <f t="shared" si="98"/>
        <v>0.14241839939678705</v>
      </c>
      <c r="BJ75" s="126">
        <f t="shared" si="98"/>
        <v>5.7704818459111774E-2</v>
      </c>
    </row>
    <row r="76" spans="1:63">
      <c r="BF76" s="30">
        <f>BF74-BF68</f>
        <v>288349</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Sheet6</vt:lpstr>
      <vt:lpstr>MR PPT</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2024-05-14T07:16:22Z</cp:lastPrinted>
  <dcterms:created xsi:type="dcterms:W3CDTF">2015-06-05T18:17:20Z</dcterms:created>
  <dcterms:modified xsi:type="dcterms:W3CDTF">2024-05-14T07:16:54Z</dcterms:modified>
</cp:coreProperties>
</file>