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 name="Sheet6" sheetId="13" r:id="rId13"/>
    <sheet name="MR PPT" sheetId="14" r:id="rId14"/>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9" i="4"/>
  <c r="BH94" i="2"/>
  <c r="E38" i="14"/>
  <c r="E36"/>
  <c r="E41"/>
  <c r="D41"/>
  <c r="E42"/>
  <c r="D42"/>
  <c r="E43"/>
  <c r="D43"/>
  <c r="E45"/>
  <c r="D45"/>
  <c r="J37"/>
  <c r="K37" s="1"/>
  <c r="L37"/>
  <c r="J39"/>
  <c r="K39" s="1"/>
  <c r="L39"/>
  <c r="J40"/>
  <c r="K40" s="1"/>
  <c r="L40"/>
  <c r="E44"/>
  <c r="D44"/>
  <c r="D24"/>
  <c r="L24" s="1"/>
  <c r="D23"/>
  <c r="L23" s="1"/>
  <c r="D38"/>
  <c r="D37"/>
  <c r="D36"/>
  <c r="C34"/>
  <c r="D34"/>
  <c r="E34"/>
  <c r="F34"/>
  <c r="G34"/>
  <c r="H34"/>
  <c r="I34"/>
  <c r="J34"/>
  <c r="K34"/>
  <c r="L34"/>
  <c r="B34"/>
  <c r="L25"/>
  <c r="L14"/>
  <c r="J16"/>
  <c r="K16" s="1"/>
  <c r="J17"/>
  <c r="K17" s="1"/>
  <c r="J18"/>
  <c r="K18" s="1"/>
  <c r="J19"/>
  <c r="K19" s="1"/>
  <c r="J20"/>
  <c r="K20" s="1"/>
  <c r="J21"/>
  <c r="K21" s="1"/>
  <c r="J22"/>
  <c r="K22" s="1"/>
  <c r="J23"/>
  <c r="K23" s="1"/>
  <c r="J24"/>
  <c r="K24" s="1"/>
  <c r="J25"/>
  <c r="K25" s="1"/>
  <c r="J26"/>
  <c r="K26" s="1"/>
  <c r="J27"/>
  <c r="K27" s="1"/>
  <c r="J28"/>
  <c r="K28" s="1"/>
  <c r="J29"/>
  <c r="K29" s="1"/>
  <c r="J15"/>
  <c r="K15" s="1"/>
  <c r="J14"/>
  <c r="K14" s="1"/>
  <c r="G30"/>
  <c r="F30"/>
  <c r="D30"/>
  <c r="E29"/>
  <c r="E28"/>
  <c r="E27"/>
  <c r="E26"/>
  <c r="E25"/>
  <c r="E22"/>
  <c r="E21"/>
  <c r="E20"/>
  <c r="E19"/>
  <c r="E18"/>
  <c r="E17"/>
  <c r="E16"/>
  <c r="E15"/>
  <c r="E14"/>
  <c r="D29"/>
  <c r="L29" s="1"/>
  <c r="D26"/>
  <c r="L26" s="1"/>
  <c r="D27"/>
  <c r="L27" s="1"/>
  <c r="D28"/>
  <c r="L28" s="1"/>
  <c r="D25"/>
  <c r="D20"/>
  <c r="L20" s="1"/>
  <c r="D21"/>
  <c r="L21" s="1"/>
  <c r="D22"/>
  <c r="L22" s="1"/>
  <c r="D19"/>
  <c r="L19" s="1"/>
  <c r="D15"/>
  <c r="L15" s="1"/>
  <c r="D16"/>
  <c r="L16" s="1"/>
  <c r="D17"/>
  <c r="L17" s="1"/>
  <c r="D18"/>
  <c r="L18" s="1"/>
  <c r="D14"/>
  <c r="D12"/>
  <c r="E8"/>
  <c r="D8"/>
  <c r="F7"/>
  <c r="F6"/>
  <c r="F8" s="1"/>
  <c r="C8"/>
  <c r="C7"/>
  <c r="C6"/>
  <c r="E30" l="1"/>
  <c r="D21" i="13"/>
  <c r="E21"/>
  <c r="C21"/>
  <c r="H26"/>
  <c r="I26" s="1"/>
  <c r="J26" s="1"/>
  <c r="F26"/>
  <c r="D26"/>
  <c r="C26"/>
  <c r="H25"/>
  <c r="L25" s="1"/>
  <c r="F25"/>
  <c r="D25"/>
  <c r="C25"/>
  <c r="H24"/>
  <c r="I24" s="1"/>
  <c r="J24" s="1"/>
  <c r="F24"/>
  <c r="D24"/>
  <c r="C24"/>
  <c r="E23"/>
  <c r="D23"/>
  <c r="C23"/>
  <c r="E22"/>
  <c r="D22"/>
  <c r="C22"/>
  <c r="E20"/>
  <c r="D20"/>
  <c r="C20"/>
  <c r="E19"/>
  <c r="D19"/>
  <c r="C19"/>
  <c r="E18"/>
  <c r="D18"/>
  <c r="C18"/>
  <c r="E17"/>
  <c r="D17"/>
  <c r="C17"/>
  <c r="E16"/>
  <c r="D16"/>
  <c r="C16"/>
  <c r="E15"/>
  <c r="D15"/>
  <c r="C15"/>
  <c r="E14"/>
  <c r="D14"/>
  <c r="C14"/>
  <c r="E13"/>
  <c r="D13"/>
  <c r="C13"/>
  <c r="D9"/>
  <c r="D8"/>
  <c r="D7"/>
  <c r="D6"/>
  <c r="D5"/>
  <c r="D4"/>
  <c r="D3"/>
  <c r="C9"/>
  <c r="C8"/>
  <c r="C7"/>
  <c r="C6"/>
  <c r="C5"/>
  <c r="C4"/>
  <c r="C3"/>
  <c r="D2"/>
  <c r="D12" s="1"/>
  <c r="I25"/>
  <c r="J25" s="1"/>
  <c r="L24"/>
  <c r="G14"/>
  <c r="F49" i="4"/>
  <c r="C95" i="2"/>
  <c r="K25" i="13" l="1"/>
  <c r="K24"/>
  <c r="L26"/>
  <c r="K26"/>
  <c r="E9"/>
  <c r="E8"/>
  <c r="E6"/>
  <c r="E5"/>
  <c r="E4"/>
  <c r="E7"/>
  <c r="E3"/>
  <c r="D126" i="2"/>
  <c r="E126"/>
  <c r="F126"/>
  <c r="G126"/>
  <c r="H126"/>
  <c r="I126"/>
  <c r="J126"/>
  <c r="K126"/>
  <c r="L126"/>
  <c r="M126"/>
  <c r="N126"/>
  <c r="O126"/>
  <c r="P126"/>
  <c r="Q126"/>
  <c r="R126"/>
  <c r="S126"/>
  <c r="T126"/>
  <c r="U126"/>
  <c r="V126"/>
  <c r="W126"/>
  <c r="X126"/>
  <c r="Y126"/>
  <c r="Z126"/>
  <c r="AA126"/>
  <c r="AB126"/>
  <c r="AC126"/>
  <c r="C126"/>
  <c r="BH61"/>
  <c r="E127"/>
  <c r="M8"/>
  <c r="BL129"/>
  <c r="F3" i="4"/>
  <c r="AS124" i="2"/>
  <c r="AV124"/>
  <c r="AS113"/>
  <c r="AV113"/>
  <c r="AS102"/>
  <c r="AV102"/>
  <c r="AS91"/>
  <c r="AV91"/>
  <c r="AS80"/>
  <c r="AV80"/>
  <c r="AS69"/>
  <c r="AV69"/>
  <c r="AS58"/>
  <c r="AV58"/>
  <c r="AS47"/>
  <c r="AV47"/>
  <c r="AS36"/>
  <c r="AV36"/>
  <c r="AS25"/>
  <c r="AV25"/>
  <c r="BH50"/>
  <c r="AD28"/>
  <c r="BJ127"/>
  <c r="F90" i="4" l="1"/>
  <c r="C37"/>
  <c r="AD105" i="2"/>
  <c r="BH6"/>
  <c r="BH115"/>
  <c r="AD115"/>
  <c r="AD50"/>
  <c r="BI115" l="1"/>
  <c r="BK115" s="1"/>
  <c r="BI50"/>
  <c r="BK50" s="1"/>
  <c r="BH49" l="1"/>
  <c r="AD49"/>
  <c r="BH104"/>
  <c r="AD104"/>
  <c r="BH93"/>
  <c r="AD93"/>
  <c r="BH82"/>
  <c r="AD82"/>
  <c r="BH71"/>
  <c r="AD71"/>
  <c r="BH60"/>
  <c r="AD60"/>
  <c r="BH38"/>
  <c r="AD38"/>
  <c r="BH27"/>
  <c r="AD27"/>
  <c r="BH16"/>
  <c r="AD16"/>
  <c r="BH5"/>
  <c r="AD5"/>
  <c r="BI82" l="1"/>
  <c r="BK82" s="1"/>
  <c r="BI16"/>
  <c r="BK16" s="1"/>
  <c r="BI93"/>
  <c r="BK93" s="1"/>
  <c r="BI49"/>
  <c r="BK49" s="1"/>
  <c r="BI5"/>
  <c r="BK5" s="1"/>
  <c r="BI71"/>
  <c r="BK71" s="1"/>
  <c r="BI60"/>
  <c r="BI27"/>
  <c r="BI38"/>
  <c r="BI104"/>
  <c r="BK104" s="1"/>
  <c r="BK27" l="1"/>
  <c r="BK60"/>
  <c r="BK38"/>
  <c r="E13" i="12"/>
  <c r="F13"/>
  <c r="G5"/>
  <c r="G6"/>
  <c r="G7"/>
  <c r="G13" s="1"/>
  <c r="G8"/>
  <c r="G9"/>
  <c r="G10"/>
  <c r="G11"/>
  <c r="G12"/>
  <c r="G4"/>
  <c r="I44" i="4" l="1"/>
  <c r="BJ95" i="2"/>
  <c r="BJ84"/>
  <c r="BJ73"/>
  <c r="BJ62"/>
  <c r="F44" i="4"/>
  <c r="F43"/>
  <c r="AD72" i="2"/>
  <c r="BH72"/>
  <c r="BH116"/>
  <c r="D96"/>
  <c r="D102" s="1"/>
  <c r="C18"/>
  <c r="D18"/>
  <c r="BI72" l="1"/>
  <c r="BJ106"/>
  <c r="BG106"/>
  <c r="AD39"/>
  <c r="F104" i="4"/>
  <c r="F103"/>
  <c r="F101"/>
  <c r="F100"/>
  <c r="F98"/>
  <c r="F97"/>
  <c r="F96"/>
  <c r="F94"/>
  <c r="F93"/>
  <c r="F92"/>
  <c r="BN84" i="2"/>
  <c r="F102" i="4" l="1"/>
  <c r="F95"/>
  <c r="AS84" i="2"/>
  <c r="L40"/>
  <c r="BG40"/>
  <c r="BH83"/>
  <c r="AD94"/>
  <c r="AD116"/>
  <c r="BI116" s="1"/>
  <c r="BH105"/>
  <c r="BI105" s="1"/>
  <c r="AD83"/>
  <c r="AD61"/>
  <c r="BH39"/>
  <c r="BH28"/>
  <c r="BH17"/>
  <c r="AD17"/>
  <c r="AD6"/>
  <c r="BI17" l="1"/>
  <c r="BK17" s="1"/>
  <c r="BI94"/>
  <c r="BK94" s="1"/>
  <c r="BH127"/>
  <c r="BK116"/>
  <c r="BK105"/>
  <c r="BK72"/>
  <c r="BI61"/>
  <c r="BK61" s="1"/>
  <c r="BI39"/>
  <c r="BK39" s="1"/>
  <c r="BI28"/>
  <c r="BK28" s="1"/>
  <c r="BI83"/>
  <c r="BK83" s="1"/>
  <c r="BI6"/>
  <c r="BK6" s="1"/>
  <c r="K117" i="4"/>
  <c r="L117" s="1"/>
  <c r="K116"/>
  <c r="L116" s="1"/>
  <c r="K115"/>
  <c r="L115" s="1"/>
  <c r="K111"/>
  <c r="L111" s="1"/>
  <c r="K110"/>
  <c r="L110" s="1"/>
  <c r="K109"/>
  <c r="L109" s="1"/>
  <c r="H118"/>
  <c r="H112"/>
  <c r="H107"/>
  <c r="H77"/>
  <c r="H90" s="1"/>
  <c r="H40"/>
  <c r="H32"/>
  <c r="H11"/>
  <c r="H3"/>
  <c r="BK127" i="2" l="1"/>
  <c r="J77" i="4"/>
  <c r="I90" s="1"/>
  <c r="I107" s="1"/>
  <c r="I77"/>
  <c r="F77"/>
  <c r="I118"/>
  <c r="K118" s="1"/>
  <c r="L118" s="1"/>
  <c r="F118"/>
  <c r="C118"/>
  <c r="M117"/>
  <c r="M116"/>
  <c r="M115"/>
  <c r="I112"/>
  <c r="K112" s="1"/>
  <c r="L112" s="1"/>
  <c r="F112"/>
  <c r="C112"/>
  <c r="M111"/>
  <c r="M110"/>
  <c r="M109"/>
  <c r="F107"/>
  <c r="F105"/>
  <c r="E105"/>
  <c r="C105"/>
  <c r="E102"/>
  <c r="C102"/>
  <c r="F99"/>
  <c r="E99"/>
  <c r="C99"/>
  <c r="E95"/>
  <c r="C95"/>
  <c r="C85"/>
  <c r="C74"/>
  <c r="C69"/>
  <c r="C64"/>
  <c r="C55"/>
  <c r="C50"/>
  <c r="C28"/>
  <c r="C7"/>
  <c r="D87" s="1"/>
  <c r="B83" i="11"/>
  <c r="B69"/>
  <c r="B64"/>
  <c r="B54"/>
  <c r="B28"/>
  <c r="C28" i="5"/>
  <c r="C7"/>
  <c r="B7" i="11"/>
  <c r="C102" i="5"/>
  <c r="C96"/>
  <c r="C92"/>
  <c r="C109"/>
  <c r="C115"/>
  <c r="D50" i="4" l="1"/>
  <c r="D55"/>
  <c r="D57"/>
  <c r="D44"/>
  <c r="D74"/>
  <c r="D85"/>
  <c r="D95"/>
  <c r="D69"/>
  <c r="D102"/>
  <c r="D118"/>
  <c r="D110"/>
  <c r="D93"/>
  <c r="D97"/>
  <c r="D101"/>
  <c r="D81"/>
  <c r="D79"/>
  <c r="D68"/>
  <c r="D62"/>
  <c r="D54"/>
  <c r="D43"/>
  <c r="D48"/>
  <c r="D35"/>
  <c r="D15"/>
  <c r="D19"/>
  <c r="D23"/>
  <c r="D27"/>
  <c r="D115"/>
  <c r="D109"/>
  <c r="D96"/>
  <c r="D100"/>
  <c r="D104"/>
  <c r="D80"/>
  <c r="D84"/>
  <c r="D72"/>
  <c r="D61"/>
  <c r="D60"/>
  <c r="D47"/>
  <c r="D37"/>
  <c r="D14"/>
  <c r="D18"/>
  <c r="D22"/>
  <c r="D26"/>
  <c r="D5"/>
  <c r="D116"/>
  <c r="D103"/>
  <c r="D83"/>
  <c r="D73"/>
  <c r="D67"/>
  <c r="D53"/>
  <c r="D46"/>
  <c r="D42"/>
  <c r="D34"/>
  <c r="D17"/>
  <c r="D21"/>
  <c r="D25"/>
  <c r="D6"/>
  <c r="D117"/>
  <c r="D111"/>
  <c r="D94"/>
  <c r="D98"/>
  <c r="D92"/>
  <c r="D82"/>
  <c r="D63"/>
  <c r="D45"/>
  <c r="D49"/>
  <c r="D36"/>
  <c r="D16"/>
  <c r="D20"/>
  <c r="D24"/>
  <c r="D13"/>
  <c r="D64"/>
  <c r="D99"/>
  <c r="D105"/>
  <c r="D112"/>
  <c r="M118"/>
  <c r="M112"/>
  <c r="AB118" i="2"/>
  <c r="AB124" s="1"/>
  <c r="AB117"/>
  <c r="AB107"/>
  <c r="AB113" s="1"/>
  <c r="AB106"/>
  <c r="AB96"/>
  <c r="AB95"/>
  <c r="AB85"/>
  <c r="AB84"/>
  <c r="AB74"/>
  <c r="AB80" s="1"/>
  <c r="AB73"/>
  <c r="AB63"/>
  <c r="AB62"/>
  <c r="AB52"/>
  <c r="AB51"/>
  <c r="AB41"/>
  <c r="AB47" s="1"/>
  <c r="AB40"/>
  <c r="AB30"/>
  <c r="AB36" s="1"/>
  <c r="AB29"/>
  <c r="AB19"/>
  <c r="AB25" s="1"/>
  <c r="AB18"/>
  <c r="AB127"/>
  <c r="AB8"/>
  <c r="AB14" s="1"/>
  <c r="AB7"/>
  <c r="BG126"/>
  <c r="AB57" l="1"/>
  <c r="AB58"/>
  <c r="AB101"/>
  <c r="AB102"/>
  <c r="AB68"/>
  <c r="AB69"/>
  <c r="AB90"/>
  <c r="AB91"/>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I102" i="4" l="1"/>
  <c r="K102" s="1"/>
  <c r="L102" s="1"/>
  <c r="M100"/>
  <c r="I27" i="11"/>
  <c r="Q27" s="1"/>
  <c r="R27" s="1"/>
  <c r="K101" i="4"/>
  <c r="L101" s="1"/>
  <c r="M101"/>
  <c r="C27" i="11"/>
  <c r="H27" i="4"/>
  <c r="AV21" i="2"/>
  <c r="AS21"/>
  <c r="AC21"/>
  <c r="AC130"/>
  <c r="AC131" s="1"/>
  <c r="AC134"/>
  <c r="D27" i="5"/>
  <c r="I27"/>
  <c r="M27" s="1"/>
  <c r="J27" i="4"/>
  <c r="AC132" i="2"/>
  <c r="AC133" s="1"/>
  <c r="I42" i="4"/>
  <c r="F42"/>
  <c r="I50" l="1"/>
  <c r="G13" i="13"/>
  <c r="M102" i="4"/>
  <c r="O27" i="11"/>
  <c r="K27"/>
  <c r="L27" s="1"/>
  <c r="M27"/>
  <c r="N27" s="1"/>
  <c r="M27" i="4"/>
  <c r="N27" s="1"/>
  <c r="K27"/>
  <c r="L27" s="1"/>
  <c r="O27"/>
  <c r="K27" i="5"/>
  <c r="L27" s="1"/>
  <c r="F50" i="4"/>
  <c r="I84"/>
  <c r="G23" i="13" s="1"/>
  <c r="BH126" i="2" l="1"/>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14"/>
  <c r="L8"/>
  <c r="L14" s="1"/>
  <c r="K8"/>
  <c r="K14" s="1"/>
  <c r="J8"/>
  <c r="J14" s="1"/>
  <c r="I8"/>
  <c r="I14" s="1"/>
  <c r="H8"/>
  <c r="H14" s="1"/>
  <c r="G8"/>
  <c r="G14" s="1"/>
  <c r="F8"/>
  <c r="F14" s="1"/>
  <c r="E8"/>
  <c r="E14" s="1"/>
  <c r="D8"/>
  <c r="D14" s="1"/>
  <c r="C8"/>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C14" l="1"/>
  <c r="C13"/>
  <c r="AO14"/>
  <c r="AO129"/>
  <c r="AO130" s="1"/>
  <c r="AO80"/>
  <c r="AO79"/>
  <c r="R69"/>
  <c r="R68"/>
  <c r="C112"/>
  <c r="C113"/>
  <c r="J44" i="4"/>
  <c r="K44" s="1"/>
  <c r="L44" s="1"/>
  <c r="AP91" i="2"/>
  <c r="D57"/>
  <c r="D58"/>
  <c r="I92" i="4"/>
  <c r="W36" i="2"/>
  <c r="I98" i="4"/>
  <c r="AQ58" i="2"/>
  <c r="I93" i="4"/>
  <c r="M93" s="1"/>
  <c r="V47" i="2"/>
  <c r="I103" i="4"/>
  <c r="M103" s="1"/>
  <c r="BB36" i="2"/>
  <c r="I94" i="4"/>
  <c r="M94" s="1"/>
  <c r="V58" i="2"/>
  <c r="I104" i="4"/>
  <c r="M104" s="1"/>
  <c r="BB47" i="2"/>
  <c r="J49" i="4"/>
  <c r="J67"/>
  <c r="O67" s="1"/>
  <c r="I96"/>
  <c r="I97"/>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Q79"/>
  <c r="AT79"/>
  <c r="AW79"/>
  <c r="AY79"/>
  <c r="BA79"/>
  <c r="BC79"/>
  <c r="BE79"/>
  <c r="BG79"/>
  <c r="D68"/>
  <c r="F68"/>
  <c r="H68"/>
  <c r="J68"/>
  <c r="L68"/>
  <c r="N68"/>
  <c r="P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F14" i="13"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H103" i="4" s="1"/>
  <c r="BA29" i="2"/>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O49" i="4" l="1"/>
  <c r="H14" i="13"/>
  <c r="K14" s="1"/>
  <c r="BH69" i="2"/>
  <c r="BH68"/>
  <c r="M45" i="4"/>
  <c r="N45" s="1"/>
  <c r="O44"/>
  <c r="I99"/>
  <c r="I42" i="14" s="1"/>
  <c r="L42" s="1"/>
  <c r="I95" i="4"/>
  <c r="I105"/>
  <c r="I43" i="14" s="1"/>
  <c r="L43"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73" i="4"/>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23" i="13" l="1"/>
  <c r="I44" i="14"/>
  <c r="L44" s="1"/>
  <c r="O42" i="4"/>
  <c r="H13" i="13"/>
  <c r="L23"/>
  <c r="I23"/>
  <c r="J23" s="1"/>
  <c r="M95" i="4"/>
  <c r="H21" i="13"/>
  <c r="M105" i="4"/>
  <c r="H22" i="13"/>
  <c r="M99" i="4"/>
  <c r="H20" i="13"/>
  <c r="L14"/>
  <c r="I14"/>
  <c r="J14" s="1"/>
  <c r="K82" i="11"/>
  <c r="L82" s="1"/>
  <c r="BH134" i="2"/>
  <c r="H105" i="4"/>
  <c r="H43" i="14" s="1"/>
  <c r="J43" s="1"/>
  <c r="K43" s="1"/>
  <c r="K97" i="4"/>
  <c r="L97" s="1"/>
  <c r="H99"/>
  <c r="H42" i="14" s="1"/>
  <c r="J42" s="1"/>
  <c r="K42" s="1"/>
  <c r="H74" i="4"/>
  <c r="M74" s="1"/>
  <c r="N74" s="1"/>
  <c r="K103"/>
  <c r="L103" s="1"/>
  <c r="H95"/>
  <c r="K92"/>
  <c r="H42"/>
  <c r="F13" i="13" s="1"/>
  <c r="K13" s="1"/>
  <c r="M64" i="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L20" i="13" l="1"/>
  <c r="I20"/>
  <c r="J20" s="1"/>
  <c r="L22"/>
  <c r="I22"/>
  <c r="J22" s="1"/>
  <c r="L21"/>
  <c r="I21"/>
  <c r="J21" s="1"/>
  <c r="L13"/>
  <c r="I13"/>
  <c r="J13" s="1"/>
  <c r="K99" i="4"/>
  <c r="L99" s="1"/>
  <c r="F20" i="13"/>
  <c r="K20" s="1"/>
  <c r="K105" i="4"/>
  <c r="L105" s="1"/>
  <c r="F22" i="13"/>
  <c r="K22" s="1"/>
  <c r="K95" i="4"/>
  <c r="L95" s="1"/>
  <c r="F21" i="13"/>
  <c r="K21" s="1"/>
  <c r="C82" i="11"/>
  <c r="M82" s="1"/>
  <c r="N82" s="1"/>
  <c r="H84" i="4"/>
  <c r="H44" i="14" s="1"/>
  <c r="J44" s="1"/>
  <c r="K44" s="1"/>
  <c r="H50" i="4"/>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M84" l="1"/>
  <c r="N84" s="1"/>
  <c r="F23" i="13"/>
  <c r="K23" s="1"/>
  <c r="BK76" i="2"/>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N129"/>
  <c r="AM129"/>
  <c r="AL129"/>
  <c r="AK129"/>
  <c r="J53" i="4" s="1"/>
  <c r="H16" i="13" s="1"/>
  <c r="L16" s="1"/>
  <c r="AJ129" i="2"/>
  <c r="AI129"/>
  <c r="AH129"/>
  <c r="AG129"/>
  <c r="AF129"/>
  <c r="AE129"/>
  <c r="AA129"/>
  <c r="Z129"/>
  <c r="Y129"/>
  <c r="X129"/>
  <c r="W129"/>
  <c r="V129"/>
  <c r="T129"/>
  <c r="S129"/>
  <c r="R129"/>
  <c r="Q129"/>
  <c r="P129"/>
  <c r="O129"/>
  <c r="N129"/>
  <c r="M129"/>
  <c r="L129"/>
  <c r="K129"/>
  <c r="J129"/>
  <c r="I129"/>
  <c r="I135" s="1"/>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D127"/>
  <c r="H14" i="11" s="1"/>
  <c r="C127" i="2"/>
  <c r="BJ126"/>
  <c r="BF126"/>
  <c r="F81" i="11" s="1"/>
  <c r="BE126" i="2"/>
  <c r="BD126"/>
  <c r="F80" i="11" s="1"/>
  <c r="BC126" i="2"/>
  <c r="F79" i="11" s="1"/>
  <c r="BB126" i="2"/>
  <c r="BA126"/>
  <c r="AZ126"/>
  <c r="AY126"/>
  <c r="AX126"/>
  <c r="AW126"/>
  <c r="AV126"/>
  <c r="AV135" s="1"/>
  <c r="AU126"/>
  <c r="AT126"/>
  <c r="AS126"/>
  <c r="AS135" s="1"/>
  <c r="AR126"/>
  <c r="AQ126"/>
  <c r="AP126"/>
  <c r="AO126"/>
  <c r="AN126"/>
  <c r="AM126"/>
  <c r="AL126"/>
  <c r="AK126"/>
  <c r="AJ126"/>
  <c r="F36" i="11" s="1"/>
  <c r="AI126" i="2"/>
  <c r="AH126"/>
  <c r="AG126"/>
  <c r="F35" i="11" s="1"/>
  <c r="AF126" i="2"/>
  <c r="AE126"/>
  <c r="F26" i="11"/>
  <c r="F25"/>
  <c r="F24"/>
  <c r="Q24" s="1"/>
  <c r="R24" s="1"/>
  <c r="F23"/>
  <c r="F22"/>
  <c r="F21"/>
  <c r="F20"/>
  <c r="F19"/>
  <c r="F18"/>
  <c r="F17"/>
  <c r="F16"/>
  <c r="F15"/>
  <c r="Q15" s="1"/>
  <c r="R15" s="1"/>
  <c r="F14"/>
  <c r="BK9" i="2"/>
  <c r="AH135" l="1"/>
  <c r="AI135"/>
  <c r="AT135"/>
  <c r="BA135"/>
  <c r="BE135"/>
  <c r="Z135"/>
  <c r="X135"/>
  <c r="E135"/>
  <c r="S135"/>
  <c r="AZ135"/>
  <c r="AU135"/>
  <c r="AR135"/>
  <c r="H135"/>
  <c r="Q135"/>
  <c r="M135"/>
  <c r="AQ135"/>
  <c r="V135"/>
  <c r="BB135"/>
  <c r="AG135"/>
  <c r="AW135"/>
  <c r="BJ135"/>
  <c r="BF135"/>
  <c r="BD135"/>
  <c r="BC135"/>
  <c r="AY135"/>
  <c r="AX135"/>
  <c r="AN135"/>
  <c r="AM135"/>
  <c r="AJ135"/>
  <c r="AF135"/>
  <c r="AA135"/>
  <c r="Y135"/>
  <c r="W135"/>
  <c r="K135"/>
  <c r="R135"/>
  <c r="P135"/>
  <c r="O135"/>
  <c r="N135"/>
  <c r="L135"/>
  <c r="J135"/>
  <c r="G135"/>
  <c r="F135"/>
  <c r="D135"/>
  <c r="C135"/>
  <c r="T135"/>
  <c r="AP135"/>
  <c r="AE135"/>
  <c r="F56" i="11"/>
  <c r="AO135" i="2"/>
  <c r="F53" i="11"/>
  <c r="AL135" i="2"/>
  <c r="F52" i="11"/>
  <c r="AK135" i="2"/>
  <c r="I19" i="11"/>
  <c r="Q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R18" s="1"/>
  <c r="I13"/>
  <c r="Q13" s="1"/>
  <c r="I17"/>
  <c r="Q17" s="1"/>
  <c r="R17" s="1"/>
  <c r="I20"/>
  <c r="Q20" s="1"/>
  <c r="R20" s="1"/>
  <c r="I24"/>
  <c r="K24" s="1"/>
  <c r="L24" s="1"/>
  <c r="I79"/>
  <c r="Q79" s="1"/>
  <c r="R79" s="1"/>
  <c r="I16"/>
  <c r="Q16" s="1"/>
  <c r="R16" s="1"/>
  <c r="I53"/>
  <c r="Q53" s="1"/>
  <c r="J68" i="4"/>
  <c r="K68" s="1"/>
  <c r="I78" i="11"/>
  <c r="Q78" s="1"/>
  <c r="I81"/>
  <c r="Q81" s="1"/>
  <c r="R81" s="1"/>
  <c r="F68"/>
  <c r="F69" s="1"/>
  <c r="F68" i="4"/>
  <c r="F69" s="1"/>
  <c r="I68" i="11"/>
  <c r="Q68" s="1"/>
  <c r="F77"/>
  <c r="F78"/>
  <c r="K19"/>
  <c r="L19" s="1"/>
  <c r="BM21" i="2"/>
  <c r="H34" i="11"/>
  <c r="R19"/>
  <c r="BK10" i="2"/>
  <c r="BM9"/>
  <c r="BM10" s="1"/>
  <c r="I34" i="11"/>
  <c r="Q34" s="1"/>
  <c r="BK89" i="2"/>
  <c r="BM88"/>
  <c r="BM89" s="1"/>
  <c r="BK122"/>
  <c r="BM121"/>
  <c r="BM122" s="1"/>
  <c r="BK78"/>
  <c r="BM77"/>
  <c r="BM78" s="1"/>
  <c r="G13" i="5"/>
  <c r="F13" i="11"/>
  <c r="BG134" i="2"/>
  <c r="F82" i="11"/>
  <c r="H13"/>
  <c r="AD127" i="2"/>
  <c r="I15" i="4"/>
  <c r="H15" i="11"/>
  <c r="I17" i="4"/>
  <c r="H17" i="11"/>
  <c r="I22" i="4"/>
  <c r="G6" i="13" s="1"/>
  <c r="H22" i="11"/>
  <c r="I35" i="4"/>
  <c r="G15" i="13" s="1"/>
  <c r="H35" i="11"/>
  <c r="I53" i="4"/>
  <c r="G16" i="13" s="1"/>
  <c r="I16" s="1"/>
  <c r="J16" s="1"/>
  <c r="H52" i="11"/>
  <c r="I57" i="4"/>
  <c r="G18" i="13" s="1"/>
  <c r="H56" i="11"/>
  <c r="I79" i="4"/>
  <c r="H77" i="11"/>
  <c r="I81" i="4"/>
  <c r="H79" i="11"/>
  <c r="O14"/>
  <c r="F34"/>
  <c r="I16" i="4"/>
  <c r="H16" i="11"/>
  <c r="I36" i="4"/>
  <c r="H36" i="11"/>
  <c r="I54" i="4"/>
  <c r="G17" i="13" s="1"/>
  <c r="H53" i="11"/>
  <c r="I69" i="4"/>
  <c r="G19" i="13" s="1"/>
  <c r="H68" i="11"/>
  <c r="I80" i="4"/>
  <c r="H78" i="11"/>
  <c r="I82" i="4"/>
  <c r="H80" i="11"/>
  <c r="I83" i="4"/>
  <c r="H81" i="11"/>
  <c r="O15"/>
  <c r="O22"/>
  <c r="Y134" i="2"/>
  <c r="AF134"/>
  <c r="AJ134"/>
  <c r="AN134"/>
  <c r="AR134"/>
  <c r="AV134"/>
  <c r="AZ134"/>
  <c r="BD134"/>
  <c r="F134"/>
  <c r="N134"/>
  <c r="R134"/>
  <c r="W134"/>
  <c r="AA134"/>
  <c r="AH134"/>
  <c r="AL134"/>
  <c r="AP134"/>
  <c r="AT134"/>
  <c r="AX134"/>
  <c r="BB134"/>
  <c r="BF134"/>
  <c r="AD126"/>
  <c r="F5" i="4" s="1"/>
  <c r="C134" i="2"/>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H6" i="13" s="1"/>
  <c r="L6" s="1"/>
  <c r="I26" i="5"/>
  <c r="J26" i="4"/>
  <c r="I35" i="5"/>
  <c r="J35" i="4"/>
  <c r="I52" i="5"/>
  <c r="I80"/>
  <c r="J82" i="4"/>
  <c r="G36" i="5"/>
  <c r="F36" i="4"/>
  <c r="G79" i="5"/>
  <c r="F81" i="4"/>
  <c r="G82" i="5"/>
  <c r="M82" s="1"/>
  <c r="F84" i="4"/>
  <c r="O84" s="1"/>
  <c r="G35" i="5"/>
  <c r="F35" i="4"/>
  <c r="G52" i="5"/>
  <c r="F53" i="4"/>
  <c r="G80" i="5"/>
  <c r="F82" i="4"/>
  <c r="G53" i="5"/>
  <c r="F54" i="4"/>
  <c r="G56" i="5"/>
  <c r="F57" i="4"/>
  <c r="G77" i="5"/>
  <c r="F79" i="4"/>
  <c r="G34" i="5"/>
  <c r="F34" i="4"/>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G3" i="13" s="1"/>
  <c r="N130" i="2"/>
  <c r="N131" s="1"/>
  <c r="R130"/>
  <c r="R131" s="1"/>
  <c r="W130"/>
  <c r="W131" s="1"/>
  <c r="AA130"/>
  <c r="AA131" s="1"/>
  <c r="AH130"/>
  <c r="AH131" s="1"/>
  <c r="AL130"/>
  <c r="AL131" s="1"/>
  <c r="AO131"/>
  <c r="AS130"/>
  <c r="AS131" s="1"/>
  <c r="AW130"/>
  <c r="AW131" s="1"/>
  <c r="BA130"/>
  <c r="BA131" s="1"/>
  <c r="BD130"/>
  <c r="BD131" s="1"/>
  <c r="J13" i="4"/>
  <c r="J20"/>
  <c r="H4" i="13" s="1"/>
  <c r="L4" s="1"/>
  <c r="J24" i="4"/>
  <c r="H8" i="13" s="1"/>
  <c r="L8" s="1"/>
  <c r="S130" i="2"/>
  <c r="S131" s="1"/>
  <c r="I24" i="4"/>
  <c r="G8" i="13" s="1"/>
  <c r="I8" s="1"/>
  <c r="J8" s="1"/>
  <c r="J14" i="4"/>
  <c r="J18"/>
  <c r="J21"/>
  <c r="H5" i="13" s="1"/>
  <c r="L5" s="1"/>
  <c r="J23" i="4"/>
  <c r="H7" i="13" s="1"/>
  <c r="L7" s="1"/>
  <c r="J25" i="4"/>
  <c r="H9" i="13" s="1"/>
  <c r="L9" s="1"/>
  <c r="K130" i="2"/>
  <c r="K131" s="1"/>
  <c r="I20" i="4"/>
  <c r="G4" i="13" s="1"/>
  <c r="I4" s="1"/>
  <c r="J4" s="1"/>
  <c r="D130" i="2"/>
  <c r="D131" s="1"/>
  <c r="I14" i="4"/>
  <c r="H130" i="2"/>
  <c r="H131" s="1"/>
  <c r="I18" i="4"/>
  <c r="L130" i="2"/>
  <c r="L131" s="1"/>
  <c r="I21" i="4"/>
  <c r="G5" i="13" s="1"/>
  <c r="I5" s="1"/>
  <c r="J5" s="1"/>
  <c r="P130" i="2"/>
  <c r="P131" s="1"/>
  <c r="I23" i="4"/>
  <c r="G7" i="13" s="1"/>
  <c r="T130" i="2"/>
  <c r="T131" s="1"/>
  <c r="I25" i="4"/>
  <c r="G9" i="13" s="1"/>
  <c r="I9" s="1"/>
  <c r="J9" s="1"/>
  <c r="Y130" i="2"/>
  <c r="Y131" s="1"/>
  <c r="AF130"/>
  <c r="AF131" s="1"/>
  <c r="AJ130"/>
  <c r="AJ131" s="1"/>
  <c r="AM130"/>
  <c r="AM131" s="1"/>
  <c r="AQ130"/>
  <c r="AQ131" s="1"/>
  <c r="AU130"/>
  <c r="AU131" s="1"/>
  <c r="AY130"/>
  <c r="AY131" s="1"/>
  <c r="BB130"/>
  <c r="BB131" s="1"/>
  <c r="BF130"/>
  <c r="BF131" s="1"/>
  <c r="AV132"/>
  <c r="AV133" s="1"/>
  <c r="AK130"/>
  <c r="AK131" s="1"/>
  <c r="AN130"/>
  <c r="AN131" s="1"/>
  <c r="J19" i="4"/>
  <c r="H3" i="13" s="1"/>
  <c r="L3" s="1"/>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F6" i="13" s="1"/>
  <c r="V128" i="2"/>
  <c r="H26" i="4"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H15" i="13" l="1"/>
  <c r="L15" s="1"/>
  <c r="I36" i="14"/>
  <c r="L36" s="1"/>
  <c r="H18" i="13"/>
  <c r="L18" s="1"/>
  <c r="I41" i="14"/>
  <c r="L41" s="1"/>
  <c r="H17" i="13"/>
  <c r="L17" s="1"/>
  <c r="I38" i="14"/>
  <c r="L38" s="1"/>
  <c r="F15" i="13"/>
  <c r="H36" i="14"/>
  <c r="J36" s="1"/>
  <c r="K36" s="1"/>
  <c r="I3" i="13"/>
  <c r="J3" s="1"/>
  <c r="I18"/>
  <c r="J18" s="1"/>
  <c r="I15"/>
  <c r="J15" s="1"/>
  <c r="I6"/>
  <c r="J6" s="1"/>
  <c r="K6"/>
  <c r="K15"/>
  <c r="I7"/>
  <c r="J7" s="1"/>
  <c r="O34" i="4"/>
  <c r="O35" i="11"/>
  <c r="O19"/>
  <c r="K56"/>
  <c r="L56" s="1"/>
  <c r="K35"/>
  <c r="L35" s="1"/>
  <c r="AD135" i="2"/>
  <c r="O26" i="11"/>
  <c r="K22"/>
  <c r="L22" s="1"/>
  <c r="M26" i="4"/>
  <c r="N26" s="1"/>
  <c r="O23" i="11"/>
  <c r="O56"/>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R28" s="1"/>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H38" i="14" s="1"/>
  <c r="J38" s="1"/>
  <c r="K38" s="1"/>
  <c r="C25" i="11"/>
  <c r="H25" i="4"/>
  <c r="C21" i="11"/>
  <c r="M21" s="1"/>
  <c r="N21" s="1"/>
  <c r="H21" i="4"/>
  <c r="H69"/>
  <c r="F19" i="13" s="1"/>
  <c r="M68" i="4"/>
  <c r="N68" s="1"/>
  <c r="C18" i="11"/>
  <c r="H18" i="4"/>
  <c r="M18" s="1"/>
  <c r="N18" s="1"/>
  <c r="C52" i="11"/>
  <c r="M52" s="1"/>
  <c r="N52" s="1"/>
  <c r="H53" i="4"/>
  <c r="F16" i="13" s="1"/>
  <c r="K16" s="1"/>
  <c r="C19" i="11"/>
  <c r="M19" s="1"/>
  <c r="N19" s="1"/>
  <c r="H19" i="4"/>
  <c r="H85"/>
  <c r="M79"/>
  <c r="N79" s="1"/>
  <c r="C23" i="11"/>
  <c r="M23" s="1"/>
  <c r="N23" s="1"/>
  <c r="H23" i="4"/>
  <c r="C13" i="11"/>
  <c r="M13" s="1"/>
  <c r="N13" s="1"/>
  <c r="H13" i="4"/>
  <c r="C24" i="11"/>
  <c r="M24" s="1"/>
  <c r="N24" s="1"/>
  <c r="H24" i="4"/>
  <c r="C20" i="11"/>
  <c r="M20" s="1"/>
  <c r="N20" s="1"/>
  <c r="H20" i="4"/>
  <c r="C56" i="11"/>
  <c r="M56" s="1"/>
  <c r="N56" s="1"/>
  <c r="H57" i="4"/>
  <c r="H41" i="14" s="1"/>
  <c r="J41" s="1"/>
  <c r="K41" s="1"/>
  <c r="O16" i="4"/>
  <c r="O25"/>
  <c r="O54"/>
  <c r="O36"/>
  <c r="O83"/>
  <c r="O18"/>
  <c r="O13"/>
  <c r="O79"/>
  <c r="O81"/>
  <c r="O57"/>
  <c r="O19"/>
  <c r="O35"/>
  <c r="O15"/>
  <c r="O68"/>
  <c r="O82"/>
  <c r="O26"/>
  <c r="O80"/>
  <c r="O17"/>
  <c r="O53"/>
  <c r="O22"/>
  <c r="I37"/>
  <c r="I5" i="11"/>
  <c r="K16" i="4"/>
  <c r="K81"/>
  <c r="K80"/>
  <c r="K17"/>
  <c r="K57"/>
  <c r="O13" i="11"/>
  <c r="K34"/>
  <c r="L34" s="1"/>
  <c r="I55" i="4"/>
  <c r="K54"/>
  <c r="F83" i="11"/>
  <c r="R82"/>
  <c r="I85" i="4"/>
  <c r="Q37" i="11"/>
  <c r="Q85" s="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O82"/>
  <c r="H37"/>
  <c r="M24" i="5"/>
  <c r="M23"/>
  <c r="M14"/>
  <c r="M20"/>
  <c r="M19"/>
  <c r="M18"/>
  <c r="M21"/>
  <c r="BI129" i="2"/>
  <c r="AD134"/>
  <c r="I5" i="5"/>
  <c r="D13"/>
  <c r="K13" s="1"/>
  <c r="L13" s="1"/>
  <c r="AD128" i="2"/>
  <c r="H5" i="4" s="1"/>
  <c r="G6" i="14" s="1"/>
  <c r="F37" i="4"/>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H19" i="13" s="1"/>
  <c r="L19" s="1"/>
  <c r="J55" i="4"/>
  <c r="K53"/>
  <c r="J85"/>
  <c r="K79"/>
  <c r="L79" s="1"/>
  <c r="J37"/>
  <c r="K34"/>
  <c r="I54" i="5"/>
  <c r="I83"/>
  <c r="I37"/>
  <c r="G83"/>
  <c r="G54"/>
  <c r="F85" i="4"/>
  <c r="F55"/>
  <c r="F28"/>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O5" i="4" l="1"/>
  <c r="H6" i="14"/>
  <c r="K5" i="4"/>
  <c r="L5" s="1"/>
  <c r="I17" i="13"/>
  <c r="J17" s="1"/>
  <c r="H30" i="14"/>
  <c r="I6"/>
  <c r="J6" s="1"/>
  <c r="K19" i="13"/>
  <c r="I19"/>
  <c r="J19" s="1"/>
  <c r="M57" i="4"/>
  <c r="N57" s="1"/>
  <c r="F18" i="13"/>
  <c r="K18" s="1"/>
  <c r="M20" i="4"/>
  <c r="N20" s="1"/>
  <c r="F4" i="13"/>
  <c r="K4" s="1"/>
  <c r="M24" i="4"/>
  <c r="N24" s="1"/>
  <c r="F8" i="13"/>
  <c r="K8" s="1"/>
  <c r="M23" i="4"/>
  <c r="N23" s="1"/>
  <c r="F7" i="13"/>
  <c r="K7" s="1"/>
  <c r="M19" i="4"/>
  <c r="N19" s="1"/>
  <c r="F3" i="13"/>
  <c r="K3" s="1"/>
  <c r="M21" i="4"/>
  <c r="N21" s="1"/>
  <c r="F5" i="13"/>
  <c r="K5" s="1"/>
  <c r="M25" i="4"/>
  <c r="N25" s="1"/>
  <c r="F9" i="13"/>
  <c r="K9" s="1"/>
  <c r="M54" i="4"/>
  <c r="N54" s="1"/>
  <c r="F17" i="13"/>
  <c r="K17" s="1"/>
  <c r="K69" i="11"/>
  <c r="L69" s="1"/>
  <c r="K83"/>
  <c r="L83" s="1"/>
  <c r="R54"/>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5"/>
  <c r="G14"/>
  <c r="G96"/>
  <c r="G94"/>
  <c r="G97"/>
  <c r="G95"/>
  <c r="G93"/>
  <c r="G117"/>
  <c r="G116"/>
  <c r="G115"/>
  <c r="G111"/>
  <c r="G110"/>
  <c r="G109"/>
  <c r="G100"/>
  <c r="G98"/>
  <c r="G104"/>
  <c r="G103"/>
  <c r="G101"/>
  <c r="G92"/>
  <c r="G112"/>
  <c r="G102"/>
  <c r="G105"/>
  <c r="G99"/>
  <c r="G118"/>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I30" i="14" l="1"/>
  <c r="L30" s="1"/>
  <c r="K6"/>
  <c r="BK135" i="2"/>
  <c r="J7" i="4"/>
  <c r="K85" i="1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O7" i="4"/>
  <c r="J30" i="14" l="1"/>
  <c r="K30" s="1"/>
  <c r="M7" i="4"/>
  <c r="N7" s="1"/>
  <c r="H6"/>
  <c r="G7" i="14" s="1"/>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BK132" i="2"/>
  <c r="O6" i="4" l="1"/>
  <c r="H7" i="14"/>
  <c r="H45"/>
  <c r="I7"/>
  <c r="J7" s="1"/>
  <c r="G8"/>
  <c r="M6" i="4"/>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J45" i="14" l="1"/>
  <c r="K45" s="1"/>
  <c r="I45"/>
  <c r="L45" s="1"/>
  <c r="K7"/>
  <c r="H8"/>
  <c r="K8" s="1"/>
  <c r="D28" i="11"/>
  <c r="D6"/>
  <c r="D7" s="1"/>
  <c r="M6"/>
  <c r="N6" s="1"/>
  <c r="D7" i="4"/>
  <c r="D28"/>
  <c r="E6" i="5"/>
  <c r="E7" s="1"/>
  <c r="K6"/>
  <c r="L6" s="1"/>
  <c r="E28"/>
  <c r="K37" i="4"/>
  <c r="I8" i="14" l="1"/>
  <c r="J8" s="1"/>
  <c r="L37" i="4"/>
  <c r="K26"/>
  <c r="J28"/>
  <c r="O28" l="1"/>
  <c r="M28"/>
  <c r="N28" s="1"/>
  <c r="L26"/>
  <c r="K28"/>
  <c r="L28" s="1"/>
  <c r="BI119" i="2"/>
  <c r="BI120" s="1"/>
  <c r="BK119" l="1"/>
  <c r="BM119" s="1"/>
  <c r="I7" i="4"/>
  <c r="I6" l="1"/>
  <c r="K6" s="1"/>
  <c r="L6" s="1"/>
  <c r="J117"/>
  <c r="J116"/>
  <c r="J115"/>
  <c r="J111"/>
  <c r="J110"/>
  <c r="J109"/>
  <c r="J97"/>
  <c r="J100"/>
  <c r="J92"/>
  <c r="J96"/>
  <c r="J94"/>
  <c r="J98"/>
  <c r="J104"/>
  <c r="J103"/>
  <c r="J101"/>
  <c r="J93"/>
  <c r="J118"/>
  <c r="J95"/>
  <c r="J102"/>
  <c r="J99"/>
  <c r="J112"/>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<sst xmlns="http://schemas.openxmlformats.org/spreadsheetml/2006/main" count="1727" uniqueCount="440">
  <si>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</si>
  <si>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</si>
  <si>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</si>
  <si>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</si>
  <si>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</si>
  <si>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</si>
  <si>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</si>
  <si>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</si>
  <si>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</si>
  <si>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</si>
  <si>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</si>
  <si>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</si>
  <si>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</si>
  <si>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</si>
  <si>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</si>
  <si>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</si>
  <si>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</si>
  <si>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</si>
  <si>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</si>
  <si>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</si>
  <si>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</si>
  <si>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</si>
  <si>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</si>
  <si>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</si>
  <si>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</si>
  <si>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</si>
  <si>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</si>
  <si>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</si>
  <si>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</si>
  <si>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</si>
  <si>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</si>
  <si>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</si>
  <si>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</si>
  <si>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</si>
  <si>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</si>
  <si>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</si>
  <si>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</si>
  <si>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</si>
  <si>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</si>
  <si>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</si>
  <si>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</si>
  <si>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</si>
  <si>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</si>
  <si>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</si>
  <si>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</si>
  <si>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</si>
  <si>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</si>
  <si>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</si>
  <si>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</si>
  <si>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</si>
  <si>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</si>
  <si>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</si>
  <si>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</si>
  <si>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</si>
  <si>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</si>
  <si>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</si>
  <si>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</si>
  <si>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</si>
  <si>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</si>
  <si>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</si>
  <si>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</si>
  <si>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</si>
  <si>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</si>
  <si>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</si>
  <si>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</si>
  <si>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</si>
  <si>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</si>
  <si>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</si>
  <si>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</si>
  <si>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</si>
  <si>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</si>
  <si>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</si>
  <si>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</si>
  <si>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</si>
  <si>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</si>
  <si>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</si>
  <si>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</si>
  <si>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</si>
  <si>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</si>
  <si>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</si>
  <si>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</si>
  <si>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</si>
  <si>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</si>
  <si>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</si>
  <si>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</si>
  <si>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</si>
  <si>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</si>
  <si>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</si>
  <si>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</si>
  <si>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</si>
  <si>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</si>
  <si>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</si>
  <si>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</si>
  <si>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</si>
  <si>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</si>
  <si>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</si>
  <si>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</si>
  <si>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</si>
  <si>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</si>
  <si>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</si>
  <si>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</si>
  <si>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</si>
  <si>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</si>
  <si>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</si>
  <si>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</si>
  <si>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</si>
  <si>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</si>
  <si>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</si>
  <si>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</si>
  <si>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</si>
  <si>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</si>
  <si>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</si>
  <si>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</si>
  <si>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</si>
  <si>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</si>
  <si>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</si>
  <si>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</si>
  <si>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</si>
  <si>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</si>
  <si>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</si>
  <si>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</si>
  <si>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</si>
  <si>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</si>
  <si>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</si>
  <si>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</si>
  <si>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</si>
  <si>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</si>
  <si>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</si>
  <si>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</si>
  <si>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</si>
  <si>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</si>
  <si>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</si>
  <si>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</si>
  <si>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</si>
  <si>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</si>
  <si>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</si>
  <si>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</si>
  <si>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</si>
  <si>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</si>
  <si>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</si>
  <si>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</si>
  <si>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</si>
  <si>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</si>
  <si>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</si>
  <si>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</si>
  <si>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</si>
  <si>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</si>
  <si>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</si>
  <si>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</si>
  <si>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</si>
  <si>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</si>
  <si>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</si>
  <si>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</si>
  <si>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</si>
  <si>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</si>
  <si>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</si>
  <si>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</si>
  <si>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</si>
  <si>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</si>
  <si>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</si>
  <si>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</si>
  <si>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</si>
  <si>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</si>
  <si>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</si>
  <si>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</si>
  <si>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</si>
  <si>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</si>
  <si>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</si>
  <si>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</si>
  <si>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</si>
  <si>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</si>
  <si>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</si>
  <si>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</si>
  <si>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</si>
  <si>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</si>
  <si>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</si>
  <si>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</si>
  <si>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</si>
  <si>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</si>
  <si>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</si>
  <si>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</si>
  <si>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</si>
  <si>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</si>
  <si>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</si>
  <si>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</si>
  <si>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</si>
  <si>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</si>
  <si>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</si>
  <si>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</si>
  <si>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</si>
  <si>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</si>
  <si>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</si>
  <si>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</si>
  <si>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</si>
  <si>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</si>
  <si>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</si>
  <si>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</si>
  <si>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</si>
  <si>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</si>
  <si>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</si>
  <si>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</si>
  <si>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</si>
  <si>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</si>
  <si>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</si>
  <si>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</si>
  <si>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</si>
  <si>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</si>
  <si>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</si>
  <si>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</si>
  <si>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</si>
  <si>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</si>
  <si>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</si>
  <si>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</si>
  <si>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</si>
  <si>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</si>
  <si>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</si>
  <si>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</si>
  <si>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</si>
  <si>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</si>
  <si>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</si>
  <si>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</si>
  <si>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</si>
  <si>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</si>
  <si>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</si>
  <si>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</si>
  <si>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</si>
  <si>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</si>
  <si>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</si>
  <si>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</si>
  <si>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</si>
  <si>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</si>
  <si>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</si>
  <si>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</si>
  <si>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</si>
  <si>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</si>
  <si>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</si>
  <si>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</si>
  <si>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</si>
  <si>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</si>
  <si>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</si>
  <si>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</si>
  <si>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</si>
  <si>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</si>
  <si>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</si>
  <si>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</si>
  <si>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</si>
  <si>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</si>
  <si>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</si>
  <si>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</si>
  <si>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</si>
  <si>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</si>
  <si>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</si>
  <si>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</si>
  <si>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</si>
  <si>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</si>
  <si>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</si>
  <si>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</si>
  <si>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</si>
  <si>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</si>
  <si>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</si>
  <si>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</si>
  <si>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</si>
  <si>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</si>
  <si>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</si>
  <si>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</si>
  <si>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</si>
  <si>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</si>
  <si>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</si>
  <si>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</si>
  <si>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</si>
  <si>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</si>
  <si>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</si>
  <si>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</si>
  <si>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</si>
  <si>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</si>
  <si>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</si>
  <si>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</si>
  <si>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</si>
  <si>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</si>
  <si>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</si>
  <si>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</si>
  <si>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</si>
  <si>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</si>
  <si>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</si>
  <si>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</si>
  <si>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</si>
  <si>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</si>
  <si>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</si>
  <si>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</si>
  <si>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</si>
  <si>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</si>
  <si>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</si>
  <si>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</si>
  <si>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</si>
  <si>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</si>
  <si>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</si>
  <si>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</si>
  <si>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</si>
  <si>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</si>
  <si>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</si>
  <si>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</si>
  <si>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</si>
  <si>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</si>
  <si>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</si>
  <si>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</si>
  <si>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</si>
  <si>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</si>
  <si>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</si>
  <si>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</si>
  <si>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</si>
  <si>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</si>
  <si>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</si>
  <si>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</si>
  <si>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</si>
  <si>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</si>
  <si>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</si>
  <si>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</si>
  <si>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</si>
  <si>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</si>
  <si>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</si>
  <si>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</si>
  <si>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</si>
  <si>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</si>
  <si>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</si>
  <si>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</si>
  <si>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</si>
  <si>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</si>
  <si>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</si>
  <si>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</si>
  <si>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</si>
  <si>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Actuals 2022-23</t>
  </si>
  <si>
    <t>% of Total OWE 2022-23</t>
  </si>
  <si>
    <t>PU - 22</t>
  </si>
  <si>
    <t>PU - 23</t>
  </si>
  <si>
    <t>f</t>
  </si>
  <si>
    <t>PU - 29</t>
  </si>
  <si>
    <t>RG 2023-24</t>
  </si>
  <si>
    <t>% of Total RG 2023-24</t>
  </si>
  <si>
    <t>RG Utilization</t>
  </si>
  <si>
    <t>RG  Utilization</t>
  </si>
  <si>
    <t>% RG Utilization</t>
  </si>
  <si>
    <t>RG-AC</t>
  </si>
  <si>
    <t>Main PUs Under Staff Cost more Variation with COPPY and High Utilization</t>
  </si>
  <si>
    <t>Rs. In Crore</t>
  </si>
  <si>
    <t>Item/Particular</t>
  </si>
  <si>
    <t>Actual 2022-23</t>
  </si>
  <si>
    <t>Target Growth</t>
  </si>
  <si>
    <t>LAST YEAR</t>
  </si>
  <si>
    <t>BP THIS YEAR</t>
  </si>
  <si>
    <t>ACT. THIS YEAR</t>
  </si>
  <si>
    <t xml:space="preserve"> Var. over BP</t>
  </si>
  <si>
    <t xml:space="preserve">% Var. over BP </t>
  </si>
  <si>
    <t>% Var. wrt. COPPY</t>
  </si>
  <si>
    <t>% Utilisation</t>
  </si>
  <si>
    <t>OTA</t>
  </si>
  <si>
    <t>Other Allowance</t>
  </si>
  <si>
    <t>Medical Reimb.</t>
  </si>
  <si>
    <t>Main PUs Under Non-Staff Cost more/less Variation with COPPY and High Utilization</t>
  </si>
  <si>
    <t>DIESEL TRACTION</t>
  </si>
  <si>
    <t>ELECTRIC TRACTION</t>
  </si>
  <si>
    <t>Advertisement Exp.</t>
  </si>
  <si>
    <t>STOCK PURCHASE (Other than D-10 HSD Traction)</t>
  </si>
  <si>
    <t>DIRECT PURCHASE</t>
  </si>
  <si>
    <t>Contractual Payment</t>
  </si>
  <si>
    <t>LEASE CHARGES AND DEBIT</t>
  </si>
  <si>
    <t>POH (Material Home)</t>
  </si>
  <si>
    <t>POH (Material Foreign)</t>
  </si>
  <si>
    <t>Coach Sanitation and Linen Management etc</t>
  </si>
  <si>
    <t>Station Sanitation</t>
  </si>
  <si>
    <t>Sanitation in Railway colonies</t>
  </si>
  <si>
    <t>POH (Wages Home)</t>
  </si>
  <si>
    <t xml:space="preserve">SUMMARY (STAFF COST and OTHER THAN STAFF COST)  (in crores) </t>
  </si>
  <si>
    <t xml:space="preserve">MAIN HEAD </t>
  </si>
  <si>
    <t>RG</t>
  </si>
  <si>
    <t xml:space="preserve">Actual </t>
  </si>
  <si>
    <t>Variation</t>
  </si>
  <si>
    <t>2023-24</t>
  </si>
  <si>
    <t>EXP 2020-21</t>
  </si>
  <si>
    <t>EXP 2021-22</t>
  </si>
  <si>
    <t>EXP 2022-23</t>
  </si>
  <si>
    <t>Excess/ Saving over COPPY</t>
  </si>
  <si>
    <t xml:space="preserve">% Excess/ Saving over COPPY </t>
  </si>
  <si>
    <t>Col-1</t>
  </si>
  <si>
    <t>Col-2</t>
  </si>
  <si>
    <t>Col-3</t>
  </si>
  <si>
    <t>Col-4</t>
  </si>
  <si>
    <t>Col-5</t>
  </si>
  <si>
    <t>Col-6</t>
  </si>
  <si>
    <t>Col-7 (6-5)</t>
  </si>
  <si>
    <t>Col-8 (7 *100/5)</t>
  </si>
  <si>
    <t xml:space="preserve">Col-9 (6/1*100) </t>
  </si>
  <si>
    <t>Total Cost</t>
  </si>
  <si>
    <t>% Utilisation of BGSL</t>
  </si>
  <si>
    <r>
      <t>SUMMARY  PU WISE (STAFF COST) (i</t>
    </r>
    <r>
      <rPr>
        <sz val="28"/>
        <rFont val="Times New Roman"/>
        <family val="1"/>
      </rPr>
      <t>n Crores)</t>
    </r>
    <r>
      <rPr>
        <b/>
        <sz val="28"/>
        <rFont val="Times New Roman"/>
        <family val="1"/>
      </rPr>
      <t xml:space="preserve"> </t>
    </r>
  </si>
  <si>
    <t>PUs</t>
  </si>
  <si>
    <t>Exp. upto March-23</t>
  </si>
  <si>
    <t>Exp. upto March-22</t>
  </si>
  <si>
    <t>Exp. upto March-21</t>
  </si>
  <si>
    <t>Excess/Saving over COPPY</t>
  </si>
  <si>
    <t>Excess/Saving over COPPY in %</t>
  </si>
  <si>
    <t xml:space="preserve">% utilisation of BGSL </t>
  </si>
  <si>
    <t>Salary-</t>
  </si>
  <si>
    <t>D.A.-</t>
  </si>
  <si>
    <t>P.L.B.</t>
  </si>
  <si>
    <t>H.R.A.</t>
  </si>
  <si>
    <t>Tranp.  Allow.</t>
  </si>
  <si>
    <t>N.D.A</t>
  </si>
  <si>
    <t>Other Allow.</t>
  </si>
  <si>
    <t>Fee &amp; Hon.</t>
  </si>
  <si>
    <t>Transfer Allow.</t>
  </si>
  <si>
    <t>T.A.</t>
  </si>
  <si>
    <t>Medical reimbursement</t>
  </si>
  <si>
    <t>POH-wages Home</t>
  </si>
  <si>
    <t>POH-wages Foreign</t>
  </si>
  <si>
    <t>Total staff cost</t>
  </si>
  <si>
    <t>Primary Unit</t>
  </si>
  <si>
    <r>
      <t>SUMMARY  PU WISE (OTHER THAN STAFF COST) (i</t>
    </r>
    <r>
      <rPr>
        <sz val="28"/>
        <rFont val="Times New Roman"/>
        <family val="1"/>
      </rPr>
      <t>n Crores)</t>
    </r>
    <r>
      <rPr>
        <b/>
        <sz val="28"/>
        <rFont val="Times New Roman"/>
        <family val="1"/>
      </rPr>
      <t xml:space="preserve"> </t>
    </r>
  </si>
  <si>
    <t>Advrt. Exp.</t>
  </si>
  <si>
    <t>Mat.from stock</t>
  </si>
  <si>
    <t>Direct Purchase</t>
  </si>
  <si>
    <t>Fuel (Other than Traction)</t>
  </si>
  <si>
    <t>Contract. Payment.</t>
  </si>
  <si>
    <t>POH:Material-Home</t>
  </si>
  <si>
    <t>POH:Material-Foreign</t>
  </si>
  <si>
    <t>Misc. exp.</t>
  </si>
  <si>
    <t>Total  Other than Staff Cost</t>
  </si>
  <si>
    <t>FINANCE REGISTER - GRANT WISE AND PU WISE SUMMARY FROM MONTH :APRIL    22 TO FEBRUARY 23</t>
  </si>
  <si>
    <t>Report generated on : 27.02.2024 at 01:08:10 PM</t>
  </si>
  <si>
    <t>PU Wise  expenditure to end of Feb-24 on RG ZONAL</t>
  </si>
  <si>
    <t>BP to end Feb-24</t>
  </si>
  <si>
    <t>Actuals upto Feb-23</t>
  </si>
  <si>
    <t>Actuals upto Feb-24</t>
  </si>
  <si>
    <t>BP to end  Feb-24</t>
  </si>
  <si>
    <t>ORDINARY WORKING EXPENSES PU WISE ZONALFEB -24</t>
  </si>
  <si>
    <t>FINANCE REGISTER - GRANT WISE AND PU WISE SUMMARY FROM MONTH :APRIL    23 TO FEBRUARY 24</t>
  </si>
  <si>
    <t>Report generated on : 05.03.2024 at 05:28:52 PM</t>
  </si>
  <si>
    <t>PU - 74</t>
  </si>
  <si>
    <t>Exp. upto Feb for 2022-23</t>
  </si>
  <si>
    <t>Exp. upto Feb for 2023-24</t>
  </si>
  <si>
    <t>Exp. Upto Feb  for 2023-24</t>
  </si>
</sst>
</file>

<file path=xl/styles.xml><?xml version="1.0" encoding="utf-8"?>
<styleSheet xmlns="http://schemas.openxmlformats.org/spreadsheetml/2006/main">
  <numFmts count="2">
    <numFmt numFmtId="164" formatCode="0.0%"/>
    <numFmt numFmtId="165" formatCode="#####0.00"/>
  </numFmts>
  <fonts count="4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sz val="11"/>
      <color theme="1"/>
      <name val="Arial"/>
      <family val="2"/>
    </font>
    <font>
      <sz val="12"/>
      <color rgb="FFFF0000"/>
      <name val="Arial"/>
      <family val="2"/>
    </font>
    <font>
      <b/>
      <sz val="12"/>
      <color theme="1"/>
      <name val="Calibri"/>
      <family val="2"/>
      <scheme val="minor"/>
    </font>
    <font>
      <b/>
      <sz val="12"/>
      <color theme="8"/>
      <name val="Arial"/>
      <family val="2"/>
    </font>
    <font>
      <b/>
      <sz val="28"/>
      <name val="Times New Roman"/>
      <family val="1"/>
    </font>
    <font>
      <b/>
      <sz val="18"/>
      <color rgb="FF000000"/>
      <name val="Times New Roman"/>
      <family val="1"/>
    </font>
    <font>
      <b/>
      <sz val="16"/>
      <color rgb="FF000000"/>
      <name val="Times New Roman"/>
      <family val="1"/>
    </font>
    <font>
      <sz val="28"/>
      <name val="Times New Roman"/>
      <family val="1"/>
    </font>
    <font>
      <b/>
      <sz val="14"/>
      <color rgb="FF000000"/>
      <name val="Times New Roman"/>
      <family val="1"/>
    </font>
    <font>
      <sz val="16"/>
      <color rgb="FF000000"/>
      <name val="Times New Roman"/>
      <family val="1"/>
    </font>
    <font>
      <b/>
      <i/>
      <sz val="10"/>
      <name val="Arial"/>
    </font>
    <font>
      <sz val="16"/>
      <color theme="1"/>
      <name val="Times New Roman"/>
      <family val="1"/>
    </font>
  </fonts>
  <fills count="13">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6D9F1"/>
        <bgColor indexed="64"/>
      </patternFill>
    </fill>
    <fill>
      <patternFill patternType="solid">
        <fgColor rgb="FF9DC3E6"/>
        <bgColor indexed="64"/>
      </patternFill>
    </fill>
    <fill>
      <patternFill patternType="solid">
        <fgColor rgb="FFBDD7EE"/>
        <bgColor indexed="64"/>
      </patternFill>
    </fill>
    <fill>
      <patternFill patternType="solid">
        <fgColor rgb="FFD6DCE5"/>
        <bgColor indexed="64"/>
      </patternFill>
    </fill>
    <fill>
      <patternFill patternType="solid">
        <fgColor rgb="FFFF0000"/>
        <bgColor indexed="64"/>
      </patternFill>
    </fill>
  </fills>
  <borders count="2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s>
  <cellStyleXfs count="2">
    <xf numFmtId="0" fontId="0" fillId="0" borderId="0"/>
    <xf numFmtId="9" fontId="1" fillId="0" borderId="0" applyFont="0" applyFill="0" applyBorder="0" applyAlignment="0" applyProtection="0"/>
  </cellStyleXfs>
  <cellXfs count="463">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64" fontId="23" fillId="0" borderId="3" xfId="1" applyNumberFormat="1" applyFont="1" applyBorder="1"/>
    <xf numFmtId="10" fontId="23" fillId="0" borderId="3" xfId="1" applyNumberFormat="1" applyFont="1" applyBorder="1"/>
    <xf numFmtId="0" fontId="23" fillId="0" borderId="3" xfId="0" applyFont="1" applyBorder="1"/>
    <xf numFmtId="1" fontId="23" fillId="0" borderId="3" xfId="0" applyNumberFormat="1" applyFont="1" applyFill="1" applyBorder="1" applyAlignment="1">
      <alignment horizontal="right"/>
    </xf>
    <xf numFmtId="1" fontId="23" fillId="0" borderId="3" xfId="0" applyNumberFormat="1" applyFont="1" applyFill="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3" borderId="0" xfId="0" applyFont="1" applyFill="1"/>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0" fillId="5" borderId="0" xfId="0" applyFill="1" applyAlignment="1">
      <alignment wrapText="1"/>
    </xf>
    <xf numFmtId="0" fontId="15" fillId="0" borderId="0" xfId="0" applyFont="1"/>
    <xf numFmtId="0" fontId="22" fillId="0" borderId="0" xfId="0" applyFont="1"/>
    <xf numFmtId="0" fontId="25" fillId="0" borderId="0" xfId="0" applyFont="1"/>
    <xf numFmtId="0" fontId="26" fillId="0" borderId="0" xfId="0" applyFont="1"/>
    <xf numFmtId="0" fontId="9"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0" fillId="0" borderId="0" xfId="0"/>
    <xf numFmtId="0" fontId="29" fillId="0" borderId="3" xfId="0" applyFont="1" applyBorder="1"/>
    <xf numFmtId="0" fontId="22" fillId="0" borderId="3" xfId="0" applyFont="1" applyBorder="1"/>
    <xf numFmtId="1" fontId="2" fillId="0" borderId="3" xfId="0" applyNumberFormat="1" applyFont="1" applyFill="1" applyBorder="1"/>
    <xf numFmtId="1" fontId="15" fillId="0" borderId="3" xfId="0" applyNumberFormat="1" applyFont="1" applyBorder="1"/>
    <xf numFmtId="0" fontId="30" fillId="0" borderId="0" xfId="0" applyFont="1"/>
    <xf numFmtId="0" fontId="31" fillId="0" borderId="0" xfId="0" applyFont="1"/>
    <xf numFmtId="0" fontId="31"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1" fontId="32" fillId="0" borderId="3" xfId="0" applyNumberFormat="1" applyFont="1" applyFill="1" applyBorder="1"/>
    <xf numFmtId="1" fontId="4" fillId="0" borderId="3" xfId="0" applyNumberFormat="1" applyFont="1" applyFill="1" applyBorder="1"/>
    <xf numFmtId="0" fontId="0" fillId="0" borderId="0" xfId="0"/>
    <xf numFmtId="0" fontId="5" fillId="0" borderId="0" xfId="0" applyFont="1" applyAlignment="1">
      <alignment wrapText="1"/>
    </xf>
    <xf numFmtId="2" fontId="7" fillId="0" borderId="0" xfId="0" applyNumberFormat="1" applyFont="1" applyBorder="1"/>
    <xf numFmtId="0" fontId="7" fillId="2" borderId="0" xfId="0" applyFont="1" applyFill="1"/>
    <xf numFmtId="2" fontId="6" fillId="2" borderId="3" xfId="0" applyNumberFormat="1" applyFont="1" applyFill="1" applyBorder="1"/>
    <xf numFmtId="2" fontId="6" fillId="0" borderId="0" xfId="0" applyNumberFormat="1" applyFont="1" applyBorder="1" applyAlignment="1">
      <alignment wrapText="1"/>
    </xf>
    <xf numFmtId="2" fontId="6" fillId="3" borderId="3" xfId="0" applyNumberFormat="1" applyFont="1" applyFill="1" applyBorder="1" applyAlignment="1">
      <alignment wrapText="1"/>
    </xf>
    <xf numFmtId="2" fontId="7" fillId="0" borderId="0" xfId="0" applyNumberFormat="1" applyFont="1"/>
    <xf numFmtId="0" fontId="8" fillId="0" borderId="0" xfId="0" applyFont="1" applyBorder="1"/>
    <xf numFmtId="0" fontId="8" fillId="0" borderId="0" xfId="0" applyFont="1" applyBorder="1" applyAlignment="1">
      <alignment wrapText="1"/>
    </xf>
    <xf numFmtId="165" fontId="0" fillId="0" borderId="1" xfId="0" applyNumberFormat="1" applyFont="1" applyBorder="1" applyAlignment="1">
      <alignment horizontal="right" vertical="top"/>
    </xf>
    <xf numFmtId="2" fontId="0" fillId="0" borderId="3" xfId="0" applyNumberFormat="1" applyFont="1" applyBorder="1" applyAlignment="1">
      <alignment wrapText="1"/>
    </xf>
    <xf numFmtId="0" fontId="5" fillId="0" borderId="3" xfId="0" applyFont="1" applyBorder="1" applyAlignment="1">
      <alignment wrapText="1"/>
    </xf>
    <xf numFmtId="0" fontId="0" fillId="0" borderId="0" xfId="0"/>
    <xf numFmtId="0" fontId="5" fillId="0" borderId="3" xfId="0" applyFont="1" applyBorder="1" applyAlignment="1">
      <alignment horizontal="center" wrapText="1"/>
    </xf>
    <xf numFmtId="0" fontId="5" fillId="0" borderId="3" xfId="0" applyFont="1" applyBorder="1" applyAlignment="1">
      <alignment horizontal="center"/>
    </xf>
    <xf numFmtId="0" fontId="5" fillId="0" borderId="3" xfId="0" applyFont="1" applyBorder="1" applyAlignment="1">
      <alignment horizontal="right"/>
    </xf>
    <xf numFmtId="0" fontId="5" fillId="0" borderId="15" xfId="0" applyFont="1" applyBorder="1" applyAlignment="1">
      <alignment horizontal="center" vertical="center"/>
    </xf>
    <xf numFmtId="0" fontId="5" fillId="0" borderId="5" xfId="0" applyFont="1" applyBorder="1" applyAlignment="1">
      <alignment horizontal="center" vertical="center" wrapText="1"/>
    </xf>
    <xf numFmtId="0" fontId="5" fillId="4"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9" fontId="0" fillId="0" borderId="3" xfId="1" applyFont="1" applyBorder="1"/>
    <xf numFmtId="2" fontId="0" fillId="4" borderId="3" xfId="0" applyNumberFormat="1" applyFill="1" applyBorder="1"/>
    <xf numFmtId="10" fontId="0" fillId="6" borderId="3" xfId="1" applyNumberFormat="1" applyFont="1" applyFill="1" applyBorder="1"/>
    <xf numFmtId="0" fontId="5" fillId="0" borderId="3" xfId="0" applyFont="1" applyFill="1" applyBorder="1" applyAlignment="1">
      <alignment horizontal="center"/>
    </xf>
    <xf numFmtId="0" fontId="5" fillId="0" borderId="3" xfId="0" applyFont="1" applyFill="1" applyBorder="1" applyAlignment="1">
      <alignment wrapText="1"/>
    </xf>
    <xf numFmtId="0" fontId="6" fillId="0" borderId="3" xfId="0" applyFont="1" applyBorder="1" applyAlignment="1">
      <alignment horizontal="center" vertical="center"/>
    </xf>
    <xf numFmtId="0" fontId="5"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center"/>
    </xf>
    <xf numFmtId="1" fontId="5" fillId="0" borderId="5" xfId="0" applyNumberFormat="1" applyFont="1" applyBorder="1" applyAlignment="1">
      <alignment horizontal="center" vertical="center" wrapText="1"/>
    </xf>
    <xf numFmtId="165" fontId="0" fillId="4" borderId="1" xfId="0" applyNumberFormat="1" applyFill="1" applyBorder="1" applyAlignment="1">
      <alignment horizontal="right" vertical="top"/>
    </xf>
    <xf numFmtId="10" fontId="0" fillId="6" borderId="3" xfId="1" applyNumberFormat="1" applyFont="1" applyFill="1" applyBorder="1" applyAlignment="1">
      <alignment horizontal="right" vertical="center"/>
    </xf>
    <xf numFmtId="10" fontId="0" fillId="5" borderId="3" xfId="1" applyNumberFormat="1" applyFont="1" applyFill="1" applyBorder="1" applyAlignment="1">
      <alignment horizontal="right" vertical="center"/>
    </xf>
    <xf numFmtId="2" fontId="0" fillId="0" borderId="3" xfId="0" applyNumberFormat="1" applyBorder="1" applyAlignment="1">
      <alignment horizontal="right"/>
    </xf>
    <xf numFmtId="2" fontId="0" fillId="4" borderId="3" xfId="0" applyNumberFormat="1" applyFill="1" applyBorder="1" applyAlignment="1">
      <alignment horizontal="right"/>
    </xf>
    <xf numFmtId="10" fontId="0" fillId="0" borderId="3" xfId="1" applyNumberFormat="1" applyFont="1" applyBorder="1" applyAlignment="1">
      <alignment horizontal="right"/>
    </xf>
    <xf numFmtId="10" fontId="0" fillId="7" borderId="3" xfId="1" applyNumberFormat="1" applyFont="1" applyFill="1" applyBorder="1" applyAlignment="1">
      <alignment horizontal="right"/>
    </xf>
    <xf numFmtId="10" fontId="0" fillId="5" borderId="3" xfId="1" applyNumberFormat="1" applyFont="1" applyFill="1" applyBorder="1" applyAlignment="1">
      <alignment horizontal="right"/>
    </xf>
    <xf numFmtId="10" fontId="0" fillId="6" borderId="3" xfId="1" applyNumberFormat="1" applyFont="1" applyFill="1" applyBorder="1" applyAlignment="1">
      <alignment horizontal="right"/>
    </xf>
    <xf numFmtId="0" fontId="0" fillId="0" borderId="3" xfId="0" applyBorder="1" applyAlignment="1">
      <alignment horizontal="right"/>
    </xf>
    <xf numFmtId="2" fontId="8" fillId="4" borderId="3" xfId="0" applyNumberFormat="1" applyFont="1" applyFill="1" applyBorder="1" applyAlignment="1">
      <alignment horizontal="right"/>
    </xf>
    <xf numFmtId="2" fontId="7" fillId="4" borderId="3" xfId="0" applyNumberFormat="1" applyFont="1" applyFill="1" applyBorder="1" applyAlignment="1">
      <alignment horizontal="right"/>
    </xf>
    <xf numFmtId="0" fontId="7" fillId="4" borderId="3" xfId="0" applyFont="1" applyFill="1" applyBorder="1" applyAlignment="1">
      <alignment horizontal="right"/>
    </xf>
    <xf numFmtId="164" fontId="0" fillId="0" borderId="3" xfId="1" applyNumberFormat="1" applyFont="1" applyBorder="1" applyAlignment="1">
      <alignment horizontal="right"/>
    </xf>
    <xf numFmtId="2" fontId="0" fillId="0" borderId="3" xfId="0" applyNumberFormat="1" applyBorder="1" applyAlignment="1">
      <alignment horizontal="right" vertical="center"/>
    </xf>
    <xf numFmtId="0" fontId="0" fillId="0" borderId="3" xfId="0" applyBorder="1" applyAlignment="1">
      <alignment horizontal="right" vertical="center"/>
    </xf>
    <xf numFmtId="2" fontId="0" fillId="4" borderId="3" xfId="0" applyNumberFormat="1" applyFill="1" applyBorder="1" applyAlignment="1">
      <alignment horizontal="right" vertical="center"/>
    </xf>
    <xf numFmtId="0" fontId="0" fillId="4" borderId="3" xfId="0" applyFill="1" applyBorder="1" applyAlignment="1">
      <alignment horizontal="right" vertical="center"/>
    </xf>
    <xf numFmtId="10" fontId="0" fillId="0" borderId="3" xfId="1" applyNumberFormat="1" applyFont="1" applyBorder="1" applyAlignment="1">
      <alignment horizontal="right" vertical="center"/>
    </xf>
    <xf numFmtId="10" fontId="0" fillId="7" borderId="3" xfId="1" applyNumberFormat="1" applyFont="1" applyFill="1" applyBorder="1" applyAlignment="1">
      <alignment horizontal="right" vertical="center"/>
    </xf>
    <xf numFmtId="165" fontId="0" fillId="4" borderId="1" xfId="0" applyNumberFormat="1" applyFill="1" applyBorder="1" applyAlignment="1">
      <alignment horizontal="right" vertical="center"/>
    </xf>
    <xf numFmtId="0" fontId="0" fillId="0" borderId="0" xfId="0"/>
    <xf numFmtId="0" fontId="34" fillId="8" borderId="16" xfId="0" applyFont="1" applyFill="1" applyBorder="1" applyAlignment="1">
      <alignment horizontal="center" vertical="center" wrapText="1" readingOrder="1"/>
    </xf>
    <xf numFmtId="0" fontId="34" fillId="8" borderId="20" xfId="0" applyFont="1" applyFill="1" applyBorder="1" applyAlignment="1">
      <alignment horizontal="center" vertical="center" wrapText="1" readingOrder="1"/>
    </xf>
    <xf numFmtId="0" fontId="34" fillId="8" borderId="22" xfId="0" applyFont="1" applyFill="1" applyBorder="1" applyAlignment="1">
      <alignment horizontal="center" vertical="center" wrapText="1" readingOrder="1"/>
    </xf>
    <xf numFmtId="0" fontId="34" fillId="0" borderId="20" xfId="0" applyFont="1" applyBorder="1" applyAlignment="1">
      <alignment horizontal="right" vertical="center" wrapText="1" readingOrder="1"/>
    </xf>
    <xf numFmtId="2" fontId="35" fillId="0" borderId="20" xfId="0" applyNumberFormat="1" applyFont="1" applyBorder="1" applyAlignment="1">
      <alignment horizontal="right" vertical="center" wrapText="1" readingOrder="1"/>
    </xf>
    <xf numFmtId="2" fontId="34" fillId="0" borderId="20" xfId="0" applyNumberFormat="1" applyFont="1" applyBorder="1" applyAlignment="1">
      <alignment horizontal="right" vertical="center" wrapText="1" readingOrder="1"/>
    </xf>
    <xf numFmtId="0" fontId="33" fillId="5" borderId="0" xfId="0" applyFont="1" applyFill="1" applyAlignment="1">
      <alignment readingOrder="1"/>
    </xf>
    <xf numFmtId="0" fontId="37" fillId="9" borderId="22" xfId="0" applyFont="1" applyFill="1" applyBorder="1" applyAlignment="1">
      <alignment horizontal="left" vertical="center" wrapText="1" readingOrder="1"/>
    </xf>
    <xf numFmtId="0" fontId="37" fillId="9" borderId="22" xfId="0" applyFont="1" applyFill="1" applyBorder="1" applyAlignment="1">
      <alignment horizontal="center" vertical="center" wrapText="1" readingOrder="1"/>
    </xf>
    <xf numFmtId="0" fontId="37" fillId="10" borderId="20" xfId="0" applyFont="1" applyFill="1" applyBorder="1" applyAlignment="1">
      <alignment vertical="center" wrapText="1"/>
    </xf>
    <xf numFmtId="0" fontId="37" fillId="10" borderId="20" xfId="0" applyFont="1" applyFill="1" applyBorder="1" applyAlignment="1">
      <alignment horizontal="center" vertical="top" wrapText="1"/>
    </xf>
    <xf numFmtId="0" fontId="37" fillId="10" borderId="20" xfId="0" applyFont="1" applyFill="1" applyBorder="1" applyAlignment="1">
      <alignment horizontal="center" vertical="center" wrapText="1" readingOrder="1"/>
    </xf>
    <xf numFmtId="0" fontId="37" fillId="11" borderId="20" xfId="0" applyFont="1" applyFill="1" applyBorder="1" applyAlignment="1">
      <alignment horizontal="left" wrapText="1" readingOrder="1"/>
    </xf>
    <xf numFmtId="0" fontId="37" fillId="0" borderId="20" xfId="0" applyFont="1" applyBorder="1" applyAlignment="1">
      <alignment horizontal="center" wrapText="1" readingOrder="1"/>
    </xf>
    <xf numFmtId="0" fontId="38" fillId="0" borderId="20" xfId="0" applyFont="1" applyBorder="1" applyAlignment="1">
      <alignment horizontal="right" vertical="center" wrapText="1" readingOrder="1"/>
    </xf>
    <xf numFmtId="0" fontId="35" fillId="9" borderId="20" xfId="0" applyFont="1" applyFill="1" applyBorder="1" applyAlignment="1">
      <alignment horizontal="right" wrapText="1" readingOrder="1"/>
    </xf>
    <xf numFmtId="1" fontId="37" fillId="9" borderId="22" xfId="0" applyNumberFormat="1" applyFont="1" applyFill="1" applyBorder="1" applyAlignment="1">
      <alignment horizontal="center" vertical="center" wrapText="1" readingOrder="1"/>
    </xf>
    <xf numFmtId="2" fontId="38" fillId="0" borderId="20" xfId="0" applyNumberFormat="1" applyFont="1" applyBorder="1" applyAlignment="1">
      <alignment horizontal="right" vertical="center" wrapText="1" readingOrder="1"/>
    </xf>
    <xf numFmtId="0" fontId="37" fillId="12" borderId="20" xfId="0" applyFont="1" applyFill="1" applyBorder="1" applyAlignment="1">
      <alignment horizontal="left" wrapText="1" readingOrder="1"/>
    </xf>
    <xf numFmtId="2" fontId="35" fillId="9" borderId="20" xfId="0" applyNumberFormat="1" applyFont="1" applyFill="1" applyBorder="1" applyAlignment="1">
      <alignment horizontal="right" wrapText="1" readingOrder="1"/>
    </xf>
    <xf numFmtId="0" fontId="38" fillId="0" borderId="0" xfId="0" applyFont="1" applyBorder="1" applyAlignment="1">
      <alignment horizontal="right" vertical="center" wrapText="1" readingOrder="1"/>
    </xf>
    <xf numFmtId="0" fontId="37" fillId="11" borderId="22" xfId="0" applyFont="1" applyFill="1" applyBorder="1" applyAlignment="1">
      <alignment horizontal="center" vertical="center" wrapText="1" readingOrder="1"/>
    </xf>
    <xf numFmtId="0" fontId="37" fillId="11" borderId="20" xfId="0" applyFont="1" applyFill="1" applyBorder="1" applyAlignment="1">
      <alignment horizontal="center" vertical="center" wrapText="1"/>
    </xf>
    <xf numFmtId="0" fontId="37" fillId="11" borderId="20" xfId="0" applyFont="1" applyFill="1" applyBorder="1" applyAlignment="1">
      <alignment horizontal="center" vertical="center" wrapText="1" readingOrder="1"/>
    </xf>
    <xf numFmtId="0" fontId="37" fillId="11" borderId="20" xfId="0" applyFont="1" applyFill="1" applyBorder="1" applyAlignment="1">
      <alignment horizontal="center" wrapText="1" readingOrder="1"/>
    </xf>
    <xf numFmtId="0" fontId="38" fillId="11" borderId="20" xfId="0" applyFont="1" applyFill="1" applyBorder="1" applyAlignment="1">
      <alignment horizontal="right" vertical="center" wrapText="1" readingOrder="1"/>
    </xf>
    <xf numFmtId="0" fontId="0" fillId="12" borderId="0" xfId="0" applyFill="1"/>
    <xf numFmtId="2" fontId="38" fillId="11" borderId="20" xfId="0" applyNumberFormat="1" applyFont="1" applyFill="1" applyBorder="1" applyAlignment="1">
      <alignment horizontal="right" vertical="center" wrapText="1" readingOrder="1"/>
    </xf>
    <xf numFmtId="0" fontId="0" fillId="5" borderId="0" xfId="0" applyFill="1"/>
    <xf numFmtId="0" fontId="39" fillId="0" borderId="1" xfId="0" applyFont="1" applyBorder="1" applyAlignment="1">
      <alignment horizontal="center" vertical="top"/>
    </xf>
    <xf numFmtId="0" fontId="39" fillId="0" borderId="1" xfId="0" applyFont="1" applyBorder="1" applyAlignment="1">
      <alignment horizontal="center" vertical="top"/>
    </xf>
    <xf numFmtId="0" fontId="0" fillId="0" borderId="0" xfId="0"/>
    <xf numFmtId="0" fontId="39"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0" fontId="5" fillId="3" borderId="3" xfId="0" applyFont="1" applyFill="1" applyBorder="1" applyAlignment="1">
      <alignment horizontal="center" vertical="top" wrapText="1"/>
    </xf>
    <xf numFmtId="1" fontId="6" fillId="3" borderId="4" xfId="0" applyNumberFormat="1" applyFont="1" applyFill="1" applyBorder="1" applyAlignment="1">
      <alignment horizontal="center" vertical="top" wrapText="1"/>
    </xf>
    <xf numFmtId="0" fontId="6"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6" fillId="3" borderId="3" xfId="0" applyFont="1" applyFill="1" applyBorder="1" applyAlignment="1">
      <alignment horizontal="center" vertical="top" wrapText="1"/>
    </xf>
    <xf numFmtId="1" fontId="5" fillId="3" borderId="3" xfId="0" applyNumberFormat="1" applyFont="1" applyFill="1" applyBorder="1" applyAlignment="1">
      <alignment horizontal="center" vertical="top"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vertical="top" wrapText="1"/>
    </xf>
    <xf numFmtId="0" fontId="6" fillId="3" borderId="3" xfId="0" applyFont="1" applyFill="1" applyBorder="1" applyAlignment="1">
      <alignment horizontal="center"/>
    </xf>
    <xf numFmtId="1" fontId="6" fillId="3" borderId="5" xfId="0" applyNumberFormat="1" applyFont="1" applyFill="1" applyBorder="1" applyAlignment="1">
      <alignment horizontal="center" vertical="top"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vertical="top" wrapText="1"/>
    </xf>
    <xf numFmtId="0" fontId="6" fillId="2" borderId="5" xfId="0" applyFont="1" applyFill="1" applyBorder="1" applyAlignment="1">
      <alignment horizontal="center" vertical="top"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24" fillId="3" borderId="3" xfId="0" applyFont="1" applyFill="1" applyBorder="1" applyAlignment="1">
      <alignment horizontal="center" wrapText="1"/>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24"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4"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xf numFmtId="0" fontId="37" fillId="9" borderId="21" xfId="0" applyFont="1" applyFill="1" applyBorder="1" applyAlignment="1">
      <alignment horizontal="center" wrapText="1" readingOrder="1"/>
    </xf>
    <xf numFmtId="0" fontId="37" fillId="9" borderId="19" xfId="0" applyFont="1" applyFill="1" applyBorder="1" applyAlignment="1">
      <alignment horizontal="center" wrapText="1" readingOrder="1"/>
    </xf>
    <xf numFmtId="0" fontId="33" fillId="3" borderId="0" xfId="0" applyFont="1" applyFill="1" applyAlignment="1">
      <alignment horizontal="center" vertical="center" readingOrder="1"/>
    </xf>
    <xf numFmtId="0" fontId="33" fillId="3" borderId="0" xfId="0" applyFont="1" applyFill="1" applyAlignment="1">
      <alignment horizontal="center" readingOrder="1"/>
    </xf>
    <xf numFmtId="0" fontId="34" fillId="8" borderId="23" xfId="0" applyFont="1" applyFill="1" applyBorder="1" applyAlignment="1">
      <alignment horizontal="center" vertical="center" wrapText="1" readingOrder="1"/>
    </xf>
    <xf numFmtId="0" fontId="34" fillId="8" borderId="24" xfId="0" applyFont="1" applyFill="1" applyBorder="1" applyAlignment="1">
      <alignment horizontal="center" vertical="center" wrapText="1" readingOrder="1"/>
    </xf>
    <xf numFmtId="0" fontId="34" fillId="8" borderId="17" xfId="0" applyFont="1" applyFill="1" applyBorder="1" applyAlignment="1">
      <alignment horizontal="center" vertical="center" wrapText="1" readingOrder="1"/>
    </xf>
    <xf numFmtId="0" fontId="0" fillId="0" borderId="18" xfId="0" applyBorder="1"/>
    <xf numFmtId="0" fontId="0" fillId="0" borderId="19" xfId="0" applyBorder="1"/>
    <xf numFmtId="0" fontId="34" fillId="8" borderId="21" xfId="0" applyFont="1" applyFill="1" applyBorder="1" applyAlignment="1">
      <alignment horizontal="center" vertical="center" wrapText="1" readingOrder="1"/>
    </xf>
    <xf numFmtId="0" fontId="34" fillId="8" borderId="19" xfId="0" applyFont="1" applyFill="1" applyBorder="1" applyAlignment="1">
      <alignment horizontal="center" vertical="center" wrapText="1" readingOrder="1"/>
    </xf>
    <xf numFmtId="0" fontId="40" fillId="0" borderId="20" xfId="0" applyFont="1" applyBorder="1" applyAlignment="1">
      <alignment horizontal="right" vertical="center" wrapText="1" readingOrder="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437" t="s">
        <v>220</v>
      </c>
      <c r="B1" s="365"/>
      <c r="C1" s="365"/>
      <c r="D1" s="365"/>
      <c r="E1" s="365"/>
      <c r="F1" s="365"/>
      <c r="G1" s="365"/>
      <c r="H1" s="365"/>
      <c r="I1" s="365"/>
      <c r="J1" s="365"/>
      <c r="K1" s="365"/>
      <c r="L1" s="365"/>
      <c r="M1" s="365"/>
      <c r="N1" s="365"/>
      <c r="O1" s="365"/>
      <c r="P1" s="365"/>
    </row>
    <row r="3" spans="1:27">
      <c r="A3" s="437" t="s">
        <v>221</v>
      </c>
      <c r="B3" s="365"/>
      <c r="C3" s="365"/>
      <c r="D3" s="365"/>
      <c r="E3" s="365"/>
      <c r="F3" s="365"/>
      <c r="G3" s="365"/>
      <c r="H3" s="365"/>
      <c r="I3" s="365"/>
      <c r="J3" s="365"/>
      <c r="K3" s="365"/>
      <c r="L3" s="365"/>
      <c r="M3" s="365"/>
      <c r="N3" s="365"/>
      <c r="O3" s="365"/>
      <c r="P3" s="365"/>
    </row>
    <row r="5" spans="1:27" ht="76.5">
      <c r="A5" s="139" t="s">
        <v>222</v>
      </c>
      <c r="B5" s="139" t="s">
        <v>223</v>
      </c>
      <c r="C5" s="139" t="s">
        <v>224</v>
      </c>
      <c r="D5" s="139" t="s">
        <v>225</v>
      </c>
      <c r="E5" s="139" t="s">
        <v>226</v>
      </c>
      <c r="F5" s="139" t="s">
        <v>227</v>
      </c>
      <c r="G5" s="139" t="s">
        <v>228</v>
      </c>
      <c r="H5" s="143" t="s">
        <v>229</v>
      </c>
      <c r="I5" s="139" t="s">
        <v>230</v>
      </c>
      <c r="J5" s="139" t="s">
        <v>231</v>
      </c>
      <c r="K5" s="139" t="s">
        <v>232</v>
      </c>
      <c r="L5" s="139" t="s">
        <v>233</v>
      </c>
      <c r="M5" s="139" t="s">
        <v>234</v>
      </c>
      <c r="N5" s="139" t="s">
        <v>235</v>
      </c>
      <c r="O5" s="139" t="s">
        <v>236</v>
      </c>
      <c r="P5" s="167" t="s">
        <v>237</v>
      </c>
      <c r="Q5" s="168" t="s">
        <v>70</v>
      </c>
      <c r="R5" s="168" t="s">
        <v>287</v>
      </c>
      <c r="S5" s="140"/>
      <c r="T5" s="140"/>
      <c r="U5" s="140"/>
      <c r="V5" s="140"/>
      <c r="X5" s="140"/>
      <c r="Y5" s="140"/>
      <c r="Z5" s="140"/>
      <c r="AA5" s="140"/>
    </row>
    <row r="6" spans="1:27">
      <c r="A6" s="141" t="s">
        <v>238</v>
      </c>
      <c r="B6" s="141" t="s">
        <v>239</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238</v>
      </c>
      <c r="B7" s="141" t="s">
        <v>240</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238</v>
      </c>
      <c r="B8" s="141" t="s">
        <v>241</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238</v>
      </c>
      <c r="B9" s="141" t="s">
        <v>242</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238</v>
      </c>
      <c r="B10" s="141" t="s">
        <v>243</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238</v>
      </c>
      <c r="B11" s="141" t="s">
        <v>244</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238</v>
      </c>
      <c r="B12" s="141" t="s">
        <v>245</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238</v>
      </c>
      <c r="B13" s="141" t="s">
        <v>246</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238</v>
      </c>
      <c r="B14" s="141" t="s">
        <v>247</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238</v>
      </c>
      <c r="B15" s="141" t="s">
        <v>248</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238</v>
      </c>
      <c r="B16" s="141" t="s">
        <v>249</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238</v>
      </c>
      <c r="B17" s="141" t="s">
        <v>250</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238</v>
      </c>
      <c r="B18" s="141" t="s">
        <v>128</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277</v>
      </c>
      <c r="B1" s="36"/>
    </row>
    <row r="2" spans="1:19">
      <c r="M2" s="36" t="s">
        <v>148</v>
      </c>
      <c r="P2" s="172" t="s">
        <v>289</v>
      </c>
    </row>
    <row r="3" spans="1:19" s="36" customFormat="1" ht="15" customHeight="1">
      <c r="A3" s="407" t="s">
        <v>149</v>
      </c>
      <c r="B3" s="413" t="s">
        <v>293</v>
      </c>
      <c r="C3" s="415" t="str">
        <f>'PU Wise OWE'!$B$7</f>
        <v>Actuals upto Feb-23</v>
      </c>
      <c r="D3" s="413" t="s">
        <v>171</v>
      </c>
      <c r="E3" s="413"/>
      <c r="F3" s="415" t="str">
        <f>'PU Wise OWE'!$B$5</f>
        <v>RG 2023-24</v>
      </c>
      <c r="G3" s="413" t="s">
        <v>299</v>
      </c>
      <c r="H3" s="413" t="s">
        <v>307</v>
      </c>
      <c r="I3" s="415" t="str">
        <f>'PU Wise OWE'!B8</f>
        <v>Actuals upto Feb-24</v>
      </c>
      <c r="J3" s="413" t="s">
        <v>203</v>
      </c>
      <c r="K3" s="417" t="s">
        <v>204</v>
      </c>
      <c r="L3" s="417"/>
      <c r="M3" s="417" t="s">
        <v>145</v>
      </c>
      <c r="N3" s="417"/>
      <c r="O3" s="384" t="s">
        <v>305</v>
      </c>
      <c r="P3" s="173" t="s">
        <v>290</v>
      </c>
      <c r="Q3" s="153"/>
    </row>
    <row r="4" spans="1:19" ht="15.6" customHeight="1">
      <c r="A4" s="408"/>
      <c r="B4" s="414"/>
      <c r="C4" s="414"/>
      <c r="D4" s="414"/>
      <c r="E4" s="414"/>
      <c r="F4" s="414"/>
      <c r="G4" s="414"/>
      <c r="H4" s="414"/>
      <c r="I4" s="414"/>
      <c r="J4" s="414"/>
      <c r="K4" s="19" t="s">
        <v>143</v>
      </c>
      <c r="L4" s="18" t="s">
        <v>144</v>
      </c>
      <c r="M4" s="19" t="s">
        <v>143</v>
      </c>
      <c r="N4" s="18" t="s">
        <v>144</v>
      </c>
      <c r="O4" s="384"/>
      <c r="P4" s="172" t="s">
        <v>291</v>
      </c>
      <c r="R4" s="69" t="s">
        <v>278</v>
      </c>
    </row>
    <row r="5" spans="1:19" ht="15.75">
      <c r="A5" s="61" t="s">
        <v>146</v>
      </c>
      <c r="B5" s="103">
        <v>4575.6000000000004</v>
      </c>
      <c r="C5" s="70">
        <f>ROUND('PU Wise OWE'!$AD$128/10000,2)</f>
        <v>5217.8500000000004</v>
      </c>
      <c r="D5" s="66">
        <f>C5/C7</f>
        <v>0.51991745649626542</v>
      </c>
      <c r="E5" s="66"/>
      <c r="F5" s="22">
        <f>ROUND('PU Wise OWE'!$AD$126/10000,2)</f>
        <v>6281.79</v>
      </c>
      <c r="G5" s="66">
        <f>F5/F7</f>
        <v>0.55570800734599413</v>
      </c>
      <c r="H5" s="23">
        <f>ROUND('PU Wise OWE'!$AD$127/10000,2)</f>
        <v>5712.6</v>
      </c>
      <c r="I5" s="23">
        <f>ROUND('PU Wise OWE'!$AD$129/10000,2)</f>
        <v>5746.08</v>
      </c>
      <c r="J5" s="24">
        <f>I5/$I$7</f>
        <v>0.65774725274725276</v>
      </c>
      <c r="K5" s="22">
        <f>H5-I5</f>
        <v>-33.479999999999563</v>
      </c>
      <c r="L5" s="24">
        <f>K5/I5</f>
        <v>-5.8265809038508974E-3</v>
      </c>
      <c r="M5" s="22">
        <f>I5-C5</f>
        <v>528.22999999999956</v>
      </c>
      <c r="N5" s="52">
        <f>M5/C5</f>
        <v>0.10123518307348803</v>
      </c>
      <c r="O5" s="52">
        <f>I5/F5</f>
        <v>0.91472016734083761</v>
      </c>
      <c r="P5" s="146">
        <f>10.57+1.36+2.68+11.45+3.4+9.35</f>
        <v>38.809999999999995</v>
      </c>
      <c r="Q5" s="162">
        <f>Q28+I5-I28</f>
        <v>6841.4920000000002</v>
      </c>
      <c r="R5" s="68">
        <f>Q5-F5</f>
        <v>559.70200000000023</v>
      </c>
      <c r="S5" s="68"/>
    </row>
    <row r="6" spans="1:19" ht="15.75">
      <c r="A6" s="78" t="s">
        <v>142</v>
      </c>
      <c r="B6" s="103">
        <v>3242.41</v>
      </c>
      <c r="C6" s="70">
        <f>C7-C5</f>
        <v>4818.07</v>
      </c>
      <c r="D6" s="66">
        <f>C6/C7</f>
        <v>0.48008254350373453</v>
      </c>
      <c r="E6" s="66"/>
      <c r="F6" s="21">
        <f t="shared" ref="F6:I6" si="0">F7-F5</f>
        <v>5022.3300000000008</v>
      </c>
      <c r="G6" s="66">
        <f>F6/F7</f>
        <v>0.44429199265400582</v>
      </c>
      <c r="H6" s="21">
        <f t="shared" si="0"/>
        <v>4665.7099999999991</v>
      </c>
      <c r="I6" s="21">
        <f t="shared" si="0"/>
        <v>2989.92</v>
      </c>
      <c r="J6" s="24">
        <f t="shared" ref="J6:J7" si="1">I6/$I$7</f>
        <v>0.34225274725274724</v>
      </c>
      <c r="K6" s="22">
        <f t="shared" ref="K6:K7" si="2">H6-I6</f>
        <v>1675.7899999999991</v>
      </c>
      <c r="L6" s="24">
        <f t="shared" ref="L6:L7" si="3">K6/I6</f>
        <v>0.56047987906030894</v>
      </c>
      <c r="M6" s="22">
        <f>I6-C6</f>
        <v>-1828.1499999999996</v>
      </c>
      <c r="N6" s="52">
        <f>M6/C6</f>
        <v>-0.37943616427324628</v>
      </c>
      <c r="O6" s="52">
        <f>I6/F6</f>
        <v>0.59532527731152662</v>
      </c>
      <c r="P6" s="146">
        <f>26.18+9.93</f>
        <v>36.11</v>
      </c>
      <c r="Q6" s="162">
        <f>Q85+I6-I85</f>
        <v>2408.6219999999998</v>
      </c>
      <c r="R6" s="68">
        <f>Q6-F6</f>
        <v>-2613.708000000001</v>
      </c>
      <c r="S6" s="68"/>
    </row>
    <row r="7" spans="1:19">
      <c r="A7" s="27" t="s">
        <v>169</v>
      </c>
      <c r="B7" s="104">
        <f>SUM(B5:B6)</f>
        <v>7818.01</v>
      </c>
      <c r="C7" s="71">
        <f>ROUND('PU Wise OWE'!BK128/10000,2)</f>
        <v>10035.92</v>
      </c>
      <c r="D7" s="67">
        <f>SUM(D5:D6)</f>
        <v>1</v>
      </c>
      <c r="E7" s="67"/>
      <c r="F7" s="26">
        <f>ROUND('PU Wise OWE'!BK126/10000,2)</f>
        <v>11304.12</v>
      </c>
      <c r="G7" s="67">
        <f>SUM(G5:G6)</f>
        <v>1</v>
      </c>
      <c r="H7" s="25">
        <f>ROUND('PU Wise OWE'!BK127/10000,2)</f>
        <v>10378.31</v>
      </c>
      <c r="I7" s="25">
        <f>ROUND('PU Wise OWE'!BK129/10000,2)</f>
        <v>8736</v>
      </c>
      <c r="J7" s="54">
        <f t="shared" si="1"/>
        <v>1</v>
      </c>
      <c r="K7" s="26">
        <f t="shared" si="2"/>
        <v>1642.3099999999995</v>
      </c>
      <c r="L7" s="54">
        <f t="shared" si="3"/>
        <v>0.18799336080586074</v>
      </c>
      <c r="M7" s="26">
        <f>I7-C7</f>
        <v>-1299.92</v>
      </c>
      <c r="N7" s="55">
        <f>M7/C7</f>
        <v>-0.12952673995009925</v>
      </c>
      <c r="O7" s="52">
        <f>I7/F7</f>
        <v>0.77281557520620792</v>
      </c>
      <c r="Q7" s="68">
        <f>SUM(Q5:Q6)</f>
        <v>9250.1139999999996</v>
      </c>
      <c r="R7" s="68">
        <f>Q7-F7</f>
        <v>-2054.0060000000012</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170</v>
      </c>
      <c r="B10" s="62"/>
      <c r="C10" s="73"/>
      <c r="D10" s="63"/>
      <c r="E10" s="63"/>
      <c r="F10" s="63"/>
      <c r="G10" s="63"/>
      <c r="H10" s="63"/>
      <c r="I10" s="63"/>
      <c r="J10" s="63"/>
      <c r="K10" s="63"/>
      <c r="L10" s="63"/>
      <c r="M10" s="36" t="s">
        <v>148</v>
      </c>
    </row>
    <row r="11" spans="1:19" ht="15" customHeight="1">
      <c r="A11" s="405"/>
      <c r="B11" s="405" t="s">
        <v>293</v>
      </c>
      <c r="C11" s="416" t="str">
        <f>'PU Wise OWE'!$B$7</f>
        <v>Actuals upto Feb-23</v>
      </c>
      <c r="D11" s="405" t="s">
        <v>171</v>
      </c>
      <c r="E11" s="405"/>
      <c r="F11" s="434" t="str">
        <f>'PU Wise OWE'!$B$5</f>
        <v>RG 2023-24</v>
      </c>
      <c r="G11" s="405" t="s">
        <v>300</v>
      </c>
      <c r="H11" s="405" t="s">
        <v>307</v>
      </c>
      <c r="I11" s="416" t="str">
        <f>'PU Wise OWE'!B8</f>
        <v>Actuals upto Feb-24</v>
      </c>
      <c r="J11" s="405" t="s">
        <v>203</v>
      </c>
      <c r="K11" s="402" t="s">
        <v>204</v>
      </c>
      <c r="L11" s="402"/>
      <c r="M11" s="402" t="s">
        <v>145</v>
      </c>
      <c r="N11" s="402"/>
      <c r="O11" s="385" t="s">
        <v>305</v>
      </c>
      <c r="P11" s="439" t="s">
        <v>265</v>
      </c>
      <c r="Q11" s="161"/>
    </row>
    <row r="12" spans="1:19" ht="17.25" customHeight="1">
      <c r="A12" s="406"/>
      <c r="B12" s="406"/>
      <c r="C12" s="406"/>
      <c r="D12" s="406"/>
      <c r="E12" s="406"/>
      <c r="F12" s="435"/>
      <c r="G12" s="406"/>
      <c r="H12" s="406"/>
      <c r="I12" s="406"/>
      <c r="J12" s="406"/>
      <c r="K12" s="64" t="s">
        <v>143</v>
      </c>
      <c r="L12" s="65" t="s">
        <v>144</v>
      </c>
      <c r="M12" s="64" t="s">
        <v>143</v>
      </c>
      <c r="N12" s="65" t="s">
        <v>144</v>
      </c>
      <c r="O12" s="385"/>
      <c r="P12" s="439"/>
      <c r="Q12" s="161"/>
    </row>
    <row r="13" spans="1:19" ht="15.75">
      <c r="A13" s="20" t="s">
        <v>150</v>
      </c>
      <c r="B13" s="105">
        <v>2522.8000000000002</v>
      </c>
      <c r="C13" s="70">
        <f>ROUND('PU Wise OWE'!$C$128/10000,2)</f>
        <v>2410.29</v>
      </c>
      <c r="D13" s="66">
        <f>C13/$C$7</f>
        <v>0.24016632256933096</v>
      </c>
      <c r="E13" s="21"/>
      <c r="F13" s="22">
        <f>ROUND('PU Wise OWE'!$C$126/10000,2)</f>
        <v>2699.87</v>
      </c>
      <c r="G13" s="24">
        <f>F13/$F$7</f>
        <v>0.23883946738003486</v>
      </c>
      <c r="H13" s="23">
        <f>ROUND('PU Wise OWE'!$C$127/10000,2)</f>
        <v>2472.09</v>
      </c>
      <c r="I13" s="23">
        <f>ROUND('PU Wise OWE'!$C$129/10000,2)</f>
        <v>2494.67</v>
      </c>
      <c r="J13" s="24">
        <f>I13/$I$7</f>
        <v>0.28556204212454211</v>
      </c>
      <c r="K13" s="22">
        <f>H13-I13</f>
        <v>-22.579999999999927</v>
      </c>
      <c r="L13" s="24">
        <f>K13/I13</f>
        <v>-9.0512973659842497E-3</v>
      </c>
      <c r="M13" s="22">
        <f t="shared" ref="M13:M28" si="4">I13-C13</f>
        <v>84.380000000000109</v>
      </c>
      <c r="N13" s="52">
        <f t="shared" ref="N13:N28" si="5">M13/C13</f>
        <v>3.5008235523526263E-2</v>
      </c>
      <c r="O13" s="52">
        <f>I13/F13</f>
        <v>0.92399634056454572</v>
      </c>
      <c r="P13" s="154"/>
      <c r="Q13" s="162">
        <f>(I13/10)*12</f>
        <v>2993.6040000000003</v>
      </c>
      <c r="R13" s="166">
        <f t="shared" ref="R13:R27" si="6">Q13-F13</f>
        <v>293.73400000000038</v>
      </c>
    </row>
    <row r="14" spans="1:19" ht="15.75">
      <c r="A14" s="20" t="s">
        <v>151</v>
      </c>
      <c r="B14" s="105">
        <v>441.91</v>
      </c>
      <c r="C14" s="70">
        <f>ROUND('PU Wise OWE'!$D$128/10000,2)</f>
        <v>934.2</v>
      </c>
      <c r="D14" s="66">
        <f t="shared" ref="D14:D27" si="7">C14/$C$7</f>
        <v>9.3085636394072496E-2</v>
      </c>
      <c r="E14" s="21"/>
      <c r="F14" s="22">
        <f>ROUND('PU Wise OWE'!$D$126/10000,2)</f>
        <v>1314.78</v>
      </c>
      <c r="G14" s="24">
        <f t="shared" ref="G14:G27" si="8">F14/$F$7</f>
        <v>0.11630980562839034</v>
      </c>
      <c r="H14" s="23">
        <f>ROUND('PU Wise OWE'!$D$127/10000,2)</f>
        <v>1181.24</v>
      </c>
      <c r="I14" s="23">
        <f>ROUND('PU Wise OWE'!$D$129/10000,2)</f>
        <v>1189.4000000000001</v>
      </c>
      <c r="J14" s="24">
        <f t="shared" ref="J14:J28" si="9">I14/$I$7</f>
        <v>0.13614926739926742</v>
      </c>
      <c r="K14" s="22">
        <f t="shared" ref="K14:K28" si="10">H14-I14</f>
        <v>-8.1600000000000819</v>
      </c>
      <c r="L14" s="24">
        <f t="shared" ref="L14:L28" si="11">K14/I14</f>
        <v>-6.8606019841937795E-3</v>
      </c>
      <c r="M14" s="22">
        <f t="shared" si="4"/>
        <v>255.20000000000005</v>
      </c>
      <c r="N14" s="52">
        <f t="shared" si="5"/>
        <v>0.27317490901305935</v>
      </c>
      <c r="O14" s="52">
        <f t="shared" ref="O14:O27" si="12">I14/F14</f>
        <v>0.90463803830298617</v>
      </c>
      <c r="P14" s="154"/>
      <c r="Q14" s="162">
        <f>(I14/10)*12</f>
        <v>1427.2800000000002</v>
      </c>
      <c r="R14" s="68">
        <f t="shared" si="6"/>
        <v>112.50000000000023</v>
      </c>
    </row>
    <row r="15" spans="1:19" ht="15.75">
      <c r="A15" s="23" t="s">
        <v>172</v>
      </c>
      <c r="B15" s="22">
        <v>98.2</v>
      </c>
      <c r="C15" s="70">
        <f>ROUND('PU Wise OWE'!$E$128/10000,2)</f>
        <v>101.82</v>
      </c>
      <c r="D15" s="66">
        <f t="shared" si="7"/>
        <v>1.0145557158686E-2</v>
      </c>
      <c r="E15" s="21"/>
      <c r="F15" s="22">
        <f>ROUND('PU Wise OWE'!$E$126/10000,2)</f>
        <v>103.65</v>
      </c>
      <c r="G15" s="24">
        <f t="shared" si="8"/>
        <v>9.169223256653326E-3</v>
      </c>
      <c r="H15" s="23">
        <f>ROUND('PU Wise OWE'!$E$127/10000,2)</f>
        <v>102.45</v>
      </c>
      <c r="I15" s="23">
        <f>ROUND('PU Wise OWE'!$E$129/10000,2)</f>
        <v>101.27</v>
      </c>
      <c r="J15" s="24">
        <f t="shared" si="9"/>
        <v>1.1592261904761904E-2</v>
      </c>
      <c r="K15" s="22">
        <f t="shared" si="10"/>
        <v>1.1800000000000068</v>
      </c>
      <c r="L15" s="24">
        <f t="shared" si="11"/>
        <v>1.1652019354201707E-2</v>
      </c>
      <c r="M15" s="22">
        <f t="shared" si="4"/>
        <v>-0.54999999999999716</v>
      </c>
      <c r="N15" s="52">
        <f t="shared" si="5"/>
        <v>-5.4016892555489807E-3</v>
      </c>
      <c r="O15" s="52">
        <f t="shared" si="12"/>
        <v>0.97703810902074284</v>
      </c>
      <c r="P15" s="154" t="s">
        <v>266</v>
      </c>
      <c r="Q15" s="162">
        <f>F15</f>
        <v>103.65</v>
      </c>
      <c r="R15" s="68">
        <f t="shared" si="6"/>
        <v>0</v>
      </c>
    </row>
    <row r="16" spans="1:19" ht="15.75">
      <c r="A16" s="23" t="s">
        <v>173</v>
      </c>
      <c r="B16" s="22">
        <v>264.85000000000002</v>
      </c>
      <c r="C16" s="70">
        <f>ROUND('PU Wise OWE'!$F$128/10000,2)</f>
        <v>295.57</v>
      </c>
      <c r="D16" s="66">
        <f t="shared" si="7"/>
        <v>2.9451211249192897E-2</v>
      </c>
      <c r="E16" s="21"/>
      <c r="F16" s="22">
        <f>ROUND('PU Wise OWE'!$F$126/10000,2)</f>
        <v>338.26</v>
      </c>
      <c r="G16" s="24">
        <f t="shared" si="8"/>
        <v>2.9923603075692754E-2</v>
      </c>
      <c r="H16" s="23">
        <f>ROUND('PU Wise OWE'!$F$127/10000,2)</f>
        <v>309.67</v>
      </c>
      <c r="I16" s="23">
        <f>ROUND('PU Wise OWE'!$F$129/10000,2)</f>
        <v>309.54000000000002</v>
      </c>
      <c r="J16" s="24">
        <f t="shared" si="9"/>
        <v>3.5432692307692311E-2</v>
      </c>
      <c r="K16" s="22">
        <f t="shared" si="10"/>
        <v>0.12999999999999545</v>
      </c>
      <c r="L16" s="24">
        <f t="shared" si="11"/>
        <v>4.199780319183157E-4</v>
      </c>
      <c r="M16" s="22">
        <f t="shared" si="4"/>
        <v>13.970000000000027</v>
      </c>
      <c r="N16" s="52">
        <f t="shared" si="5"/>
        <v>4.7264607368812897E-2</v>
      </c>
      <c r="O16" s="52">
        <f t="shared" si="12"/>
        <v>0.91509489741618877</v>
      </c>
      <c r="P16" s="154"/>
      <c r="Q16" s="162">
        <f>(I16/10)*12</f>
        <v>371.44799999999998</v>
      </c>
      <c r="R16" s="68">
        <f t="shared" si="6"/>
        <v>33.187999999999988</v>
      </c>
    </row>
    <row r="17" spans="1:18" ht="15.75">
      <c r="A17" s="23" t="s">
        <v>174</v>
      </c>
      <c r="B17" s="22">
        <v>134.78</v>
      </c>
      <c r="C17" s="70">
        <f>ROUND('PU Wise OWE'!$G$128/10000,2)</f>
        <v>155.77000000000001</v>
      </c>
      <c r="D17" s="66">
        <f t="shared" si="7"/>
        <v>1.5521247678339406E-2</v>
      </c>
      <c r="E17" s="21"/>
      <c r="F17" s="22">
        <f>ROUND('PU Wise OWE'!$G$126/10000,2)</f>
        <v>187.54</v>
      </c>
      <c r="G17" s="24">
        <f t="shared" si="8"/>
        <v>1.659041128367356E-2</v>
      </c>
      <c r="H17" s="23">
        <f>ROUND('PU Wise OWE'!$G$127/10000,2)</f>
        <v>172.49</v>
      </c>
      <c r="I17" s="23">
        <f>ROUND('PU Wise OWE'!$G$129/10000,2)</f>
        <v>171.99</v>
      </c>
      <c r="J17" s="24">
        <f t="shared" si="9"/>
        <v>1.96875E-2</v>
      </c>
      <c r="K17" s="22">
        <f t="shared" si="10"/>
        <v>0.5</v>
      </c>
      <c r="L17" s="24">
        <f t="shared" si="11"/>
        <v>2.9071457642886214E-3</v>
      </c>
      <c r="M17" s="22">
        <f t="shared" si="4"/>
        <v>16.22</v>
      </c>
      <c r="N17" s="52">
        <f t="shared" si="5"/>
        <v>0.1041278808499711</v>
      </c>
      <c r="O17" s="52">
        <f t="shared" si="12"/>
        <v>0.91708435533752808</v>
      </c>
      <c r="P17" s="154"/>
      <c r="Q17" s="162">
        <f>(I17/10)*12</f>
        <v>206.38800000000003</v>
      </c>
      <c r="R17" s="68">
        <f t="shared" si="6"/>
        <v>18.848000000000042</v>
      </c>
    </row>
    <row r="18" spans="1:18" ht="15.75">
      <c r="A18" s="20" t="s">
        <v>152</v>
      </c>
      <c r="B18" s="105">
        <v>247.05</v>
      </c>
      <c r="C18" s="70">
        <f>ROUND('PU Wise OWE'!$H$128/10000,2)</f>
        <v>306.33</v>
      </c>
      <c r="D18" s="66">
        <f t="shared" si="7"/>
        <v>3.0523360090554726E-2</v>
      </c>
      <c r="E18" s="21"/>
      <c r="F18" s="22">
        <f>ROUND('PU Wise OWE'!$H$126/10000,2)</f>
        <v>380.2</v>
      </c>
      <c r="G18" s="24">
        <f t="shared" si="8"/>
        <v>3.3633754772596183E-2</v>
      </c>
      <c r="H18" s="23">
        <f>ROUND('PU Wise OWE'!$H$127/10000,2)</f>
        <v>348.84</v>
      </c>
      <c r="I18" s="23">
        <f>ROUND('PU Wise OWE'!$H$129/10000,2)</f>
        <v>354.99</v>
      </c>
      <c r="J18" s="24">
        <f t="shared" si="9"/>
        <v>4.0635302197802196E-2</v>
      </c>
      <c r="K18" s="22">
        <f t="shared" si="10"/>
        <v>-6.1500000000000341</v>
      </c>
      <c r="L18" s="24">
        <f t="shared" si="11"/>
        <v>-1.7324431674131762E-2</v>
      </c>
      <c r="M18" s="22">
        <f t="shared" si="4"/>
        <v>48.660000000000025</v>
      </c>
      <c r="N18" s="52">
        <f t="shared" si="5"/>
        <v>0.15884830085202242</v>
      </c>
      <c r="O18" s="52">
        <f t="shared" si="12"/>
        <v>0.93369279326670174</v>
      </c>
      <c r="P18" s="154"/>
      <c r="Q18" s="162">
        <f>(I18/10)*12</f>
        <v>425.98800000000006</v>
      </c>
      <c r="R18" s="68">
        <f t="shared" si="6"/>
        <v>45.788000000000068</v>
      </c>
    </row>
    <row r="19" spans="1:18" ht="72" customHeight="1">
      <c r="A19" s="56" t="s">
        <v>153</v>
      </c>
      <c r="B19" s="106">
        <v>188.24</v>
      </c>
      <c r="C19" s="70">
        <f>ROUND('PU Wise OWE'!$J$128/10000,2)</f>
        <v>257.23</v>
      </c>
      <c r="D19" s="66">
        <f t="shared" si="7"/>
        <v>2.5630933686199175E-2</v>
      </c>
      <c r="E19" s="21"/>
      <c r="F19" s="22">
        <f>ROUND('PU Wise OWE'!$J$126/10000,2)</f>
        <v>308.26</v>
      </c>
      <c r="G19" s="24">
        <f t="shared" si="8"/>
        <v>2.7269703435561544E-2</v>
      </c>
      <c r="H19" s="23">
        <f>ROUND('PU Wise OWE'!$J$127/10000,2)</f>
        <v>273.77999999999997</v>
      </c>
      <c r="I19" s="23">
        <f>ROUND('PU Wise OWE'!$J$129/10000,2)</f>
        <v>280.79000000000002</v>
      </c>
      <c r="J19" s="24">
        <f t="shared" si="9"/>
        <v>3.2141712454212455E-2</v>
      </c>
      <c r="K19" s="22">
        <f t="shared" si="10"/>
        <v>-7.0100000000000477</v>
      </c>
      <c r="L19" s="24">
        <f t="shared" si="11"/>
        <v>-2.4965276541187534E-2</v>
      </c>
      <c r="M19" s="22">
        <f t="shared" si="4"/>
        <v>23.560000000000002</v>
      </c>
      <c r="N19" s="52">
        <f t="shared" si="5"/>
        <v>9.1591182987987407E-2</v>
      </c>
      <c r="O19" s="52">
        <f t="shared" si="12"/>
        <v>0.91088691364432628</v>
      </c>
      <c r="P19" s="155" t="s">
        <v>280</v>
      </c>
      <c r="Q19" s="162">
        <f>(I19-10.57)/10*2+I19</f>
        <v>334.834</v>
      </c>
      <c r="R19" s="166">
        <f t="shared" si="6"/>
        <v>26.574000000000012</v>
      </c>
    </row>
    <row r="20" spans="1:18" ht="48" customHeight="1">
      <c r="A20" s="20" t="s">
        <v>154</v>
      </c>
      <c r="B20" s="105">
        <v>12.03</v>
      </c>
      <c r="C20" s="70">
        <f>ROUND('PU Wise OWE'!$K$128/10000,2)</f>
        <v>12.67</v>
      </c>
      <c r="D20" s="66">
        <f t="shared" si="7"/>
        <v>1.2624652249121156E-3</v>
      </c>
      <c r="E20" s="21"/>
      <c r="F20" s="22">
        <f>ROUND('PU Wise OWE'!$K$126/10000,2)</f>
        <v>20.149999999999999</v>
      </c>
      <c r="G20" s="24">
        <f t="shared" si="8"/>
        <v>1.7825359249547951E-3</v>
      </c>
      <c r="H20" s="23">
        <f>ROUND('PU Wise OWE'!$K$127/10000,2)</f>
        <v>17.63</v>
      </c>
      <c r="I20" s="23">
        <f>ROUND('PU Wise OWE'!$K$129/10000,2)</f>
        <v>20.41</v>
      </c>
      <c r="J20" s="24">
        <f t="shared" si="9"/>
        <v>2.3363095238095239E-3</v>
      </c>
      <c r="K20" s="22">
        <f t="shared" si="10"/>
        <v>-2.7800000000000011</v>
      </c>
      <c r="L20" s="24">
        <f t="shared" si="11"/>
        <v>-0.13620774130328275</v>
      </c>
      <c r="M20" s="22">
        <f t="shared" si="4"/>
        <v>7.74</v>
      </c>
      <c r="N20" s="52">
        <f t="shared" si="5"/>
        <v>0.61089187056037886</v>
      </c>
      <c r="O20" s="52">
        <f t="shared" si="12"/>
        <v>1.0129032258064516</v>
      </c>
      <c r="P20" s="155" t="s">
        <v>279</v>
      </c>
      <c r="Q20" s="162">
        <f>(I20-1.36)/10*2+I20</f>
        <v>24.22</v>
      </c>
      <c r="R20" s="68">
        <f t="shared" si="6"/>
        <v>4.07</v>
      </c>
    </row>
    <row r="21" spans="1:18" ht="60">
      <c r="A21" s="20" t="s">
        <v>155</v>
      </c>
      <c r="B21" s="105">
        <v>48.93</v>
      </c>
      <c r="C21" s="70">
        <f>ROUND('PU Wise OWE'!$L$128/10000,2)</f>
        <v>52.76</v>
      </c>
      <c r="D21" s="66">
        <f t="shared" si="7"/>
        <v>5.2571164377555818E-3</v>
      </c>
      <c r="E21" s="21"/>
      <c r="F21" s="22">
        <f>ROUND('PU Wise OWE'!$L$126/10000,2)</f>
        <v>86.53</v>
      </c>
      <c r="G21" s="24">
        <f t="shared" si="8"/>
        <v>7.654731195351783E-3</v>
      </c>
      <c r="H21" s="23">
        <f>ROUND('PU Wise OWE'!$L$127/10000,2)</f>
        <v>73.22</v>
      </c>
      <c r="I21" s="23">
        <f>ROUND('PU Wise OWE'!$L$129/10000,2)</f>
        <v>77.569999999999993</v>
      </c>
      <c r="J21" s="24">
        <f t="shared" si="9"/>
        <v>8.8793498168498169E-3</v>
      </c>
      <c r="K21" s="22">
        <f t="shared" si="10"/>
        <v>-4.3499999999999943</v>
      </c>
      <c r="L21" s="24">
        <f t="shared" si="11"/>
        <v>-5.6078380817326218E-2</v>
      </c>
      <c r="M21" s="22">
        <f t="shared" si="4"/>
        <v>24.809999999999995</v>
      </c>
      <c r="N21" s="52">
        <f t="shared" si="5"/>
        <v>0.47024260803639112</v>
      </c>
      <c r="O21" s="52">
        <f t="shared" si="12"/>
        <v>0.89645209753842592</v>
      </c>
      <c r="P21" s="155" t="s">
        <v>281</v>
      </c>
      <c r="Q21" s="162">
        <f>(I21-2.68)/10*2+I21</f>
        <v>92.547999999999988</v>
      </c>
      <c r="R21" s="68">
        <f t="shared" si="6"/>
        <v>6.0179999999999865</v>
      </c>
    </row>
    <row r="22" spans="1:18" ht="45">
      <c r="A22" s="20" t="s">
        <v>177</v>
      </c>
      <c r="B22" s="105">
        <v>120.4</v>
      </c>
      <c r="C22" s="70">
        <f>ROUND('PU Wise OWE'!$M$128/10000,2)</f>
        <v>125.42</v>
      </c>
      <c r="D22" s="66">
        <f t="shared" si="7"/>
        <v>1.2497110379516776E-2</v>
      </c>
      <c r="E22" s="21"/>
      <c r="F22" s="22">
        <f>ROUND('PU Wise OWE'!$M$126/10000,2)</f>
        <v>142.96</v>
      </c>
      <c r="G22" s="24">
        <f t="shared" si="8"/>
        <v>1.2646716418438586E-2</v>
      </c>
      <c r="H22" s="23">
        <f>ROUND('PU Wise OWE'!$M$127/10000,2)</f>
        <v>130.5</v>
      </c>
      <c r="I22" s="23">
        <f>ROUND('PU Wise OWE'!$M$129/10000,2)</f>
        <v>133.86000000000001</v>
      </c>
      <c r="J22" s="24">
        <f t="shared" si="9"/>
        <v>1.53228021978022E-2</v>
      </c>
      <c r="K22" s="22">
        <f t="shared" si="10"/>
        <v>-3.3600000000000136</v>
      </c>
      <c r="L22" s="24">
        <f t="shared" si="11"/>
        <v>-2.5100851636037751E-2</v>
      </c>
      <c r="M22" s="22">
        <f t="shared" si="4"/>
        <v>8.4400000000000119</v>
      </c>
      <c r="N22" s="52">
        <f t="shared" si="5"/>
        <v>6.7293892521129106E-2</v>
      </c>
      <c r="O22" s="52">
        <f t="shared" si="12"/>
        <v>0.93634583100167879</v>
      </c>
      <c r="P22" s="155" t="s">
        <v>267</v>
      </c>
      <c r="Q22" s="162">
        <f>(I22/10)*12</f>
        <v>160.63200000000001</v>
      </c>
      <c r="R22" s="68">
        <f t="shared" si="6"/>
        <v>17.671999999999997</v>
      </c>
    </row>
    <row r="23" spans="1:18" ht="60">
      <c r="A23" s="56" t="s">
        <v>156</v>
      </c>
      <c r="B23" s="106">
        <v>88.73</v>
      </c>
      <c r="C23" s="70">
        <f>ROUND('PU Wise OWE'!$P$128/10000,2)</f>
        <v>111.1</v>
      </c>
      <c r="D23" s="66">
        <f t="shared" si="7"/>
        <v>1.1070235713317762E-2</v>
      </c>
      <c r="E23" s="21"/>
      <c r="F23" s="22">
        <f>ROUND('PU Wise OWE'!$P$126/10000,2)</f>
        <v>127.18</v>
      </c>
      <c r="G23" s="24">
        <f t="shared" si="8"/>
        <v>1.1250765207729571E-2</v>
      </c>
      <c r="H23" s="23">
        <f>ROUND('PU Wise OWE'!$P$127/10000,2)</f>
        <v>113.7</v>
      </c>
      <c r="I23" s="23">
        <f>ROUND('PU Wise OWE'!$P$129/10000,2)</f>
        <v>119.94</v>
      </c>
      <c r="J23" s="24">
        <f t="shared" si="9"/>
        <v>1.3729395604395605E-2</v>
      </c>
      <c r="K23" s="22">
        <f t="shared" si="10"/>
        <v>-6.2399999999999949</v>
      </c>
      <c r="L23" s="24">
        <f t="shared" si="11"/>
        <v>-5.2026013006503211E-2</v>
      </c>
      <c r="M23" s="22">
        <f t="shared" si="4"/>
        <v>8.8400000000000034</v>
      </c>
      <c r="N23" s="52">
        <f t="shared" si="5"/>
        <v>7.9567956795679601E-2</v>
      </c>
      <c r="O23" s="52">
        <f t="shared" si="12"/>
        <v>0.94307281019028144</v>
      </c>
      <c r="P23" s="155" t="s">
        <v>288</v>
      </c>
      <c r="Q23" s="162">
        <f>(I23-11.45)/10*2+I23</f>
        <v>141.63800000000001</v>
      </c>
      <c r="R23" s="166">
        <f t="shared" si="6"/>
        <v>14.457999999999998</v>
      </c>
    </row>
    <row r="24" spans="1:18" ht="34.15" customHeight="1">
      <c r="A24" s="56" t="s">
        <v>157</v>
      </c>
      <c r="B24" s="106">
        <v>81.78</v>
      </c>
      <c r="C24" s="70">
        <f>ROUND('PU Wise OWE'!$S$128/10000,2)</f>
        <v>89</v>
      </c>
      <c r="D24" s="66">
        <f t="shared" si="7"/>
        <v>8.8681456209296211E-3</v>
      </c>
      <c r="E24" s="21"/>
      <c r="F24" s="22">
        <f>ROUND('PU Wise OWE'!$S$126/10000,2)</f>
        <v>98.12</v>
      </c>
      <c r="G24" s="24">
        <f t="shared" si="8"/>
        <v>8.6800210896558067E-3</v>
      </c>
      <c r="H24" s="23">
        <f>ROUND('PU Wise OWE'!$S$127/10000,2)</f>
        <v>95.94</v>
      </c>
      <c r="I24" s="23">
        <f>ROUND('PU Wise OWE'!$S$129/10000,2)</f>
        <v>99.92</v>
      </c>
      <c r="J24" s="24">
        <f t="shared" si="9"/>
        <v>1.1437728937728937E-2</v>
      </c>
      <c r="K24" s="22">
        <f t="shared" si="10"/>
        <v>-3.980000000000004</v>
      </c>
      <c r="L24" s="24">
        <f t="shared" si="11"/>
        <v>-3.9831865492393953E-2</v>
      </c>
      <c r="M24" s="22">
        <f t="shared" si="4"/>
        <v>10.920000000000002</v>
      </c>
      <c r="N24" s="52">
        <f t="shared" si="5"/>
        <v>0.12269662921348316</v>
      </c>
      <c r="O24" s="52">
        <f t="shared" si="12"/>
        <v>1.0183448838157358</v>
      </c>
      <c r="P24" s="155" t="s">
        <v>268</v>
      </c>
      <c r="Q24" s="162">
        <f>F24</f>
        <v>98.12</v>
      </c>
      <c r="R24" s="68">
        <f t="shared" si="6"/>
        <v>0</v>
      </c>
    </row>
    <row r="25" spans="1:18" ht="28.9" customHeight="1">
      <c r="A25" s="56" t="s">
        <v>158</v>
      </c>
      <c r="B25" s="106">
        <v>90.5</v>
      </c>
      <c r="C25" s="70">
        <f>ROUND('PU Wise OWE'!$T$128/10000,2)</f>
        <v>115.32</v>
      </c>
      <c r="D25" s="66">
        <f t="shared" si="7"/>
        <v>1.1490725314669705E-2</v>
      </c>
      <c r="E25" s="21"/>
      <c r="F25" s="22">
        <f>ROUND('PU Wise OWE'!$T$126/10000,2)</f>
        <v>176.47</v>
      </c>
      <c r="G25" s="24">
        <f t="shared" si="8"/>
        <v>1.5611122316465146E-2</v>
      </c>
      <c r="H25" s="22">
        <f>ROUND('PU Wise OWE'!$T$127/10000,2)</f>
        <v>150.63999999999999</v>
      </c>
      <c r="I25" s="23">
        <f>ROUND('PU Wise OWE'!$T$129/10000,2)</f>
        <v>171.98</v>
      </c>
      <c r="J25" s="24">
        <f t="shared" si="9"/>
        <v>1.9686355311355309E-2</v>
      </c>
      <c r="K25" s="22">
        <f t="shared" si="10"/>
        <v>-21.340000000000003</v>
      </c>
      <c r="L25" s="24">
        <f t="shared" si="11"/>
        <v>-0.12408419583672523</v>
      </c>
      <c r="M25" s="22">
        <f t="shared" si="4"/>
        <v>56.66</v>
      </c>
      <c r="N25" s="52">
        <f t="shared" si="5"/>
        <v>0.49132847728061046</v>
      </c>
      <c r="O25" s="52">
        <f t="shared" si="12"/>
        <v>0.97455658185527283</v>
      </c>
      <c r="P25" s="155" t="s">
        <v>282</v>
      </c>
      <c r="Q25" s="162">
        <f>(I25-4)/10*2+I25</f>
        <v>205.57599999999999</v>
      </c>
      <c r="R25" s="68">
        <f t="shared" si="6"/>
        <v>29.105999999999995</v>
      </c>
    </row>
    <row r="26" spans="1:18" ht="42.6" customHeight="1">
      <c r="A26" s="56" t="s">
        <v>176</v>
      </c>
      <c r="B26" s="106">
        <v>41.07</v>
      </c>
      <c r="C26" s="70">
        <f>ROUND('PU Wise OWE'!$V$128/10000,2)</f>
        <v>62.53</v>
      </c>
      <c r="D26" s="66">
        <f t="shared" si="7"/>
        <v>6.2306196143452714E-3</v>
      </c>
      <c r="E26" s="22"/>
      <c r="F26" s="22">
        <f>ROUND('PU Wise OWE'!$V$126/10000,2)</f>
        <v>81.709999999999994</v>
      </c>
      <c r="G26" s="24">
        <f t="shared" si="8"/>
        <v>7.2283379865040343E-3</v>
      </c>
      <c r="H26" s="22">
        <f>ROUND('PU Wise OWE'!$V$127/10000,2)</f>
        <v>74.78</v>
      </c>
      <c r="I26" s="23">
        <f>ROUND('PU Wise OWE'!$V$129/10000,2)</f>
        <v>62.07</v>
      </c>
      <c r="J26" s="24">
        <f t="shared" si="9"/>
        <v>7.1050824175824178E-3</v>
      </c>
      <c r="K26" s="22">
        <f t="shared" si="10"/>
        <v>12.71</v>
      </c>
      <c r="L26" s="24">
        <f t="shared" si="11"/>
        <v>0.2047688094087321</v>
      </c>
      <c r="M26" s="22">
        <f t="shared" si="4"/>
        <v>-0.46000000000000085</v>
      </c>
      <c r="N26" s="52">
        <f t="shared" si="5"/>
        <v>-7.3564688949304471E-3</v>
      </c>
      <c r="O26" s="52">
        <f t="shared" si="12"/>
        <v>0.75963774323828182</v>
      </c>
      <c r="P26" s="155" t="s">
        <v>285</v>
      </c>
      <c r="Q26" s="162">
        <f>(I26-3.4)/10*2+I26</f>
        <v>73.804000000000002</v>
      </c>
      <c r="R26" s="68">
        <f t="shared" si="6"/>
        <v>-7.9059999999999917</v>
      </c>
    </row>
    <row r="27" spans="1:18" ht="60" customHeight="1">
      <c r="A27" s="56" t="s">
        <v>175</v>
      </c>
      <c r="B27" s="106">
        <v>169.78</v>
      </c>
      <c r="C27" s="70">
        <f>ROUND('PU Wise OWE'!$AC$128/10000,2)</f>
        <v>160.28</v>
      </c>
      <c r="D27" s="66">
        <f t="shared" si="7"/>
        <v>1.5970633484523593E-2</v>
      </c>
      <c r="E27" s="22"/>
      <c r="F27" s="22">
        <f>ROUND('PU Wise OWE'!$AC$126/10000,2)</f>
        <v>178.36</v>
      </c>
      <c r="G27" s="24">
        <f t="shared" si="8"/>
        <v>1.5778317993793412E-2</v>
      </c>
      <c r="H27" s="23">
        <f>ROUND('PU Wise OWE'!$AC$127/10000,2)</f>
        <v>161.11000000000001</v>
      </c>
      <c r="I27" s="23">
        <f>ROUND('PU Wise OWE'!$AC$129/10000,2)</f>
        <v>129.76</v>
      </c>
      <c r="J27" s="24">
        <f t="shared" si="9"/>
        <v>1.4853479853479852E-2</v>
      </c>
      <c r="K27" s="22">
        <f t="shared" si="10"/>
        <v>31.350000000000023</v>
      </c>
      <c r="L27" s="24">
        <f t="shared" si="11"/>
        <v>0.24159987669543792</v>
      </c>
      <c r="M27" s="22">
        <f t="shared" si="4"/>
        <v>-30.52000000000001</v>
      </c>
      <c r="N27" s="52">
        <f t="shared" si="5"/>
        <v>-0.19041677065136017</v>
      </c>
      <c r="O27" s="52">
        <f t="shared" si="12"/>
        <v>0.72751738057860493</v>
      </c>
      <c r="P27" s="155" t="s">
        <v>284</v>
      </c>
      <c r="Q27" s="162">
        <f>(I27-9.35)/10*2+I27</f>
        <v>153.84199999999998</v>
      </c>
      <c r="R27" s="68">
        <f t="shared" si="6"/>
        <v>-24.518000000000029</v>
      </c>
    </row>
    <row r="28" spans="1:18">
      <c r="A28" s="25" t="s">
        <v>147</v>
      </c>
      <c r="B28" s="26">
        <f>SUM(B13:B27)</f>
        <v>4551.0499999999993</v>
      </c>
      <c r="C28" s="74">
        <f>SUM(C13:C27)</f>
        <v>5190.2900000000009</v>
      </c>
      <c r="D28" s="54">
        <f>SUM(D13:D27)</f>
        <v>0.51717132061634608</v>
      </c>
      <c r="E28" s="26"/>
      <c r="F28" s="26">
        <f>F5</f>
        <v>6281.79</v>
      </c>
      <c r="G28" s="54">
        <f t="shared" ref="G28:I28" si="13">SUM(G13:G27)</f>
        <v>0.5523685169654956</v>
      </c>
      <c r="H28" s="26">
        <f>SUM(H13:H27)</f>
        <v>5678.079999999999</v>
      </c>
      <c r="I28" s="26">
        <f t="shared" si="13"/>
        <v>5718.159999999998</v>
      </c>
      <c r="J28" s="54">
        <f t="shared" si="9"/>
        <v>0.65455128205128188</v>
      </c>
      <c r="K28" s="26">
        <f t="shared" si="10"/>
        <v>-40.079999999999018</v>
      </c>
      <c r="L28" s="54">
        <f t="shared" si="11"/>
        <v>-7.0092477300388641E-3</v>
      </c>
      <c r="M28" s="26">
        <f t="shared" si="4"/>
        <v>527.86999999999716</v>
      </c>
      <c r="N28" s="55">
        <f t="shared" si="5"/>
        <v>0.10170337302925214</v>
      </c>
      <c r="Q28" s="74">
        <f>SUM(Q13:Q27)</f>
        <v>6813.5719999999992</v>
      </c>
      <c r="R28" s="74">
        <f>SUM(R13:R27)</f>
        <v>569.53200000000083</v>
      </c>
    </row>
    <row r="29" spans="1:18">
      <c r="I29" s="68"/>
      <c r="J29" s="68"/>
      <c r="K29" s="68"/>
      <c r="L29" s="68"/>
      <c r="Q29" s="163"/>
    </row>
    <row r="30" spans="1:18">
      <c r="Q30" s="163"/>
    </row>
    <row r="31" spans="1:18">
      <c r="A31" s="75" t="s">
        <v>178</v>
      </c>
      <c r="B31" s="75"/>
      <c r="C31" s="76"/>
      <c r="D31" s="77"/>
      <c r="M31" s="152" t="s">
        <v>148</v>
      </c>
      <c r="Q31" s="163"/>
    </row>
    <row r="32" spans="1:18" ht="15" customHeight="1">
      <c r="A32" s="369"/>
      <c r="B32" s="396" t="s">
        <v>293</v>
      </c>
      <c r="C32" s="401" t="str">
        <f>'PU Wise OWE'!$B$7</f>
        <v>Actuals upto Feb-23</v>
      </c>
      <c r="D32" s="396" t="s">
        <v>171</v>
      </c>
      <c r="E32" s="396"/>
      <c r="F32" s="430" t="str">
        <f>'PU Wise OWE'!$B$5</f>
        <v>RG 2023-24</v>
      </c>
      <c r="G32" s="396" t="s">
        <v>300</v>
      </c>
      <c r="H32" s="396" t="s">
        <v>307</v>
      </c>
      <c r="I32" s="401" t="str">
        <f>'PU Wise OWE'!B8</f>
        <v>Actuals upto Feb-24</v>
      </c>
      <c r="J32" s="396" t="s">
        <v>203</v>
      </c>
      <c r="K32" s="368" t="s">
        <v>204</v>
      </c>
      <c r="L32" s="368"/>
      <c r="M32" s="368" t="s">
        <v>145</v>
      </c>
      <c r="N32" s="368"/>
      <c r="O32" s="369" t="s">
        <v>305</v>
      </c>
      <c r="P32" s="439" t="s">
        <v>265</v>
      </c>
      <c r="Q32" s="164"/>
    </row>
    <row r="33" spans="1:18" ht="17.25" customHeight="1">
      <c r="A33" s="369"/>
      <c r="B33" s="397"/>
      <c r="C33" s="397"/>
      <c r="D33" s="397"/>
      <c r="E33" s="397"/>
      <c r="F33" s="431"/>
      <c r="G33" s="397"/>
      <c r="H33" s="397"/>
      <c r="I33" s="397"/>
      <c r="J33" s="397"/>
      <c r="K33" s="79" t="s">
        <v>143</v>
      </c>
      <c r="L33" s="80" t="s">
        <v>144</v>
      </c>
      <c r="M33" s="79" t="s">
        <v>143</v>
      </c>
      <c r="N33" s="80" t="s">
        <v>144</v>
      </c>
      <c r="O33" s="369"/>
      <c r="P33" s="439"/>
      <c r="Q33" s="164"/>
    </row>
    <row r="34" spans="1:18" ht="15" customHeight="1">
      <c r="A34" s="84" t="s">
        <v>179</v>
      </c>
      <c r="B34" s="107">
        <v>10.44</v>
      </c>
      <c r="C34" s="70">
        <f>ROUND(('PU Wise OWE'!$AE$128+'PU Wise OWE'!$AF$128)/10000,2)</f>
        <v>7.23</v>
      </c>
      <c r="D34" s="85">
        <f>C34/$C$7</f>
        <v>7.2041227909349617E-4</v>
      </c>
      <c r="E34" s="21"/>
      <c r="F34" s="22">
        <f>ROUND(('PU Wise OWE'!$AE$126+'PU Wise OWE'!$AF$126)/10000,2)</f>
        <v>8.2899999999999991</v>
      </c>
      <c r="G34" s="24">
        <f t="shared" ref="G34:G37" si="14">F34/$F$7</f>
        <v>7.3336093388959062E-4</v>
      </c>
      <c r="H34" s="23">
        <f>ROUND(('PU Wise OWE'!$AE$127+'PU Wise OWE'!$AF$127)/10000,2)</f>
        <v>7.63</v>
      </c>
      <c r="I34" s="23">
        <f>ROUND(('PU Wise OWE'!$AE$129+'PU Wise OWE'!$AF$129)/10000,2)</f>
        <v>8.69</v>
      </c>
      <c r="J34" s="24">
        <f t="shared" ref="J34:J37" si="15">I34/$I$7</f>
        <v>9.9473443223443221E-4</v>
      </c>
      <c r="K34" s="22">
        <f t="shared" ref="K34" si="16">H34-I34</f>
        <v>-1.0599999999999996</v>
      </c>
      <c r="L34" s="24">
        <f t="shared" ref="L34" si="17">K34/I34</f>
        <v>-0.12197928653624852</v>
      </c>
      <c r="M34" s="22">
        <f>I34-C34</f>
        <v>1.4599999999999991</v>
      </c>
      <c r="N34" s="52">
        <f>M34/C34</f>
        <v>0.201936376210235</v>
      </c>
      <c r="O34" s="52">
        <f t="shared" ref="O34:O37" si="18">I34/F34</f>
        <v>1.0482509047044632</v>
      </c>
      <c r="P34" s="442" t="s">
        <v>276</v>
      </c>
      <c r="Q34" s="162">
        <f>(I34/10)*12</f>
        <v>10.428000000000001</v>
      </c>
      <c r="R34" s="68">
        <f>Q34-F34</f>
        <v>2.1380000000000017</v>
      </c>
    </row>
    <row r="35" spans="1:18" ht="16.5" customHeight="1">
      <c r="A35" s="84" t="s">
        <v>180</v>
      </c>
      <c r="B35" s="107">
        <v>21.76</v>
      </c>
      <c r="C35" s="70">
        <f>ROUND('PU Wise OWE'!$AG$128/10000,2)</f>
        <v>16.45</v>
      </c>
      <c r="D35" s="85">
        <f t="shared" ref="D35:D37" si="19">C35/$C$7</f>
        <v>1.6391123085875534E-3</v>
      </c>
      <c r="E35" s="21"/>
      <c r="F35" s="22">
        <f>ROUND('PU Wise OWE'!$AG$126/10000,2)</f>
        <v>19.18</v>
      </c>
      <c r="G35" s="24">
        <f t="shared" si="14"/>
        <v>1.6967265032572193E-3</v>
      </c>
      <c r="H35" s="23">
        <f>ROUND('PU Wise OWE'!$AG$127/10000,2)</f>
        <v>17.37</v>
      </c>
      <c r="I35" s="23">
        <f>ROUND('PU Wise OWE'!$AG$129/10000,2)</f>
        <v>19.2</v>
      </c>
      <c r="J35" s="24">
        <f t="shared" si="15"/>
        <v>2.1978021978021978E-3</v>
      </c>
      <c r="K35" s="22">
        <f t="shared" ref="K35:K37" si="20">H35-I35</f>
        <v>-1.8299999999999983</v>
      </c>
      <c r="L35" s="24">
        <f t="shared" ref="L35:L37" si="21">K35/I35</f>
        <v>-9.5312499999999911E-2</v>
      </c>
      <c r="M35" s="22">
        <f>I35-C35</f>
        <v>2.75</v>
      </c>
      <c r="N35" s="52">
        <f>M35/C35</f>
        <v>0.16717325227963525</v>
      </c>
      <c r="O35" s="52">
        <f t="shared" si="18"/>
        <v>1.0010427528675703</v>
      </c>
      <c r="P35" s="443"/>
      <c r="Q35" s="162">
        <f>(I35/10)*12+6</f>
        <v>29.04</v>
      </c>
      <c r="R35" s="166">
        <f>Q35-F35</f>
        <v>9.86</v>
      </c>
    </row>
    <row r="36" spans="1:18" ht="15.75" customHeight="1">
      <c r="A36" s="84" t="s">
        <v>181</v>
      </c>
      <c r="B36" s="107">
        <v>2.4700000000000002</v>
      </c>
      <c r="C36" s="70">
        <f>ROUND('PU Wise OWE'!$AJ$128/10000,2)</f>
        <v>3.05</v>
      </c>
      <c r="D36" s="85">
        <f t="shared" si="19"/>
        <v>3.0390836116668925E-4</v>
      </c>
      <c r="E36" s="21"/>
      <c r="F36" s="22">
        <f>ROUND('PU Wise OWE'!$AJ$126/10000,2)</f>
        <v>4.42</v>
      </c>
      <c r="G36" s="24">
        <f t="shared" si="14"/>
        <v>3.9100788031266474E-4</v>
      </c>
      <c r="H36" s="23">
        <f>ROUND('PU Wise OWE'!$AJ$127/10000,2)</f>
        <v>3.77</v>
      </c>
      <c r="I36" s="23">
        <f>ROUND('PU Wise OWE'!$AJ$129/10000,2)</f>
        <v>2.82</v>
      </c>
      <c r="J36" s="24">
        <f t="shared" si="15"/>
        <v>3.2280219780219776E-4</v>
      </c>
      <c r="K36" s="22">
        <f t="shared" si="20"/>
        <v>0.95000000000000018</v>
      </c>
      <c r="L36" s="24">
        <f t="shared" si="21"/>
        <v>0.33687943262411357</v>
      </c>
      <c r="M36" s="22">
        <f>I36-C36</f>
        <v>-0.22999999999999998</v>
      </c>
      <c r="N36" s="52">
        <f>M36/C36</f>
        <v>-7.5409836065573763E-2</v>
      </c>
      <c r="O36" s="52">
        <f t="shared" si="18"/>
        <v>0.63800904977375561</v>
      </c>
      <c r="P36" s="443"/>
      <c r="Q36" s="162">
        <f>(I36/10)*12</f>
        <v>3.3839999999999995</v>
      </c>
      <c r="R36" s="68">
        <f>Q36-F36</f>
        <v>-1.0360000000000005</v>
      </c>
    </row>
    <row r="37" spans="1:18">
      <c r="A37" s="25" t="s">
        <v>147</v>
      </c>
      <c r="B37" s="26">
        <v>34.619999999999997</v>
      </c>
      <c r="C37" s="74">
        <f>SUM(C34:C36)</f>
        <v>26.73</v>
      </c>
      <c r="D37" s="86">
        <f t="shared" si="19"/>
        <v>2.663432948847739E-3</v>
      </c>
      <c r="E37" s="26"/>
      <c r="F37" s="74">
        <f t="shared" ref="F37:I37" si="22">SUM(F34:F36)</f>
        <v>31.89</v>
      </c>
      <c r="G37" s="54">
        <f t="shared" si="14"/>
        <v>2.821095317459475E-3</v>
      </c>
      <c r="H37" s="74">
        <f t="shared" si="22"/>
        <v>28.77</v>
      </c>
      <c r="I37" s="74">
        <f t="shared" si="22"/>
        <v>30.71</v>
      </c>
      <c r="J37" s="54">
        <f t="shared" si="15"/>
        <v>3.5153388278388281E-3</v>
      </c>
      <c r="K37" s="26">
        <f t="shared" si="20"/>
        <v>-1.9400000000000013</v>
      </c>
      <c r="L37" s="54">
        <f t="shared" si="21"/>
        <v>-6.3171605340280074E-2</v>
      </c>
      <c r="M37" s="26">
        <f>I37-C37</f>
        <v>3.9800000000000004</v>
      </c>
      <c r="N37" s="55">
        <f>M37/C37</f>
        <v>0.14889637111859336</v>
      </c>
      <c r="O37" s="52">
        <f t="shared" si="18"/>
        <v>0.96299780495453124</v>
      </c>
      <c r="P37" s="444"/>
      <c r="Q37" s="74">
        <f>SUM(Q34:Q36)</f>
        <v>42.852000000000004</v>
      </c>
      <c r="R37" s="74">
        <f>SUM(R34:R36)</f>
        <v>10.962</v>
      </c>
    </row>
    <row r="38" spans="1:18">
      <c r="Q38" s="163"/>
    </row>
    <row r="39" spans="1:18" ht="15.75" thickBot="1">
      <c r="A39" s="82"/>
      <c r="B39" s="82"/>
      <c r="C39" s="83"/>
      <c r="D39" s="82"/>
      <c r="M39" s="152" t="s">
        <v>148</v>
      </c>
      <c r="Q39" s="163"/>
    </row>
    <row r="40" spans="1:18" ht="15" customHeight="1">
      <c r="A40" s="369" t="s">
        <v>162</v>
      </c>
      <c r="B40" s="396" t="s">
        <v>293</v>
      </c>
      <c r="C40" s="401" t="str">
        <f>'PU Wise OWE'!$B$7</f>
        <v>Actuals upto Feb-23</v>
      </c>
      <c r="D40" s="396" t="s">
        <v>171</v>
      </c>
      <c r="E40" s="396"/>
      <c r="F40" s="430" t="str">
        <f>'PU Wise OWE'!$B$5</f>
        <v>RG 2023-24</v>
      </c>
      <c r="G40" s="396" t="s">
        <v>300</v>
      </c>
      <c r="H40" s="396" t="s">
        <v>307</v>
      </c>
      <c r="I40" s="401" t="str">
        <f>'PU Wise OWE'!B8</f>
        <v>Actuals upto Feb-24</v>
      </c>
      <c r="J40" s="396" t="s">
        <v>203</v>
      </c>
      <c r="K40" s="368" t="s">
        <v>204</v>
      </c>
      <c r="L40" s="368"/>
      <c r="M40" s="368" t="s">
        <v>145</v>
      </c>
      <c r="N40" s="368"/>
      <c r="O40" s="369" t="s">
        <v>305</v>
      </c>
      <c r="P40" s="440" t="s">
        <v>265</v>
      </c>
      <c r="Q40" s="164"/>
    </row>
    <row r="41" spans="1:18" ht="30">
      <c r="A41" s="369"/>
      <c r="B41" s="397"/>
      <c r="C41" s="397"/>
      <c r="D41" s="397"/>
      <c r="E41" s="397"/>
      <c r="F41" s="431"/>
      <c r="G41" s="397"/>
      <c r="H41" s="397"/>
      <c r="I41" s="397"/>
      <c r="J41" s="397"/>
      <c r="K41" s="79" t="s">
        <v>143</v>
      </c>
      <c r="L41" s="80" t="s">
        <v>144</v>
      </c>
      <c r="M41" s="79" t="s">
        <v>143</v>
      </c>
      <c r="N41" s="80" t="s">
        <v>144</v>
      </c>
      <c r="O41" s="369"/>
      <c r="P41" s="441"/>
      <c r="Q41" s="164"/>
    </row>
    <row r="42" spans="1:18" ht="15.75">
      <c r="A42" s="27" t="s">
        <v>163</v>
      </c>
      <c r="B42" s="104">
        <v>273.47000000000003</v>
      </c>
      <c r="C42" s="70">
        <f>SUM(C43:C47)</f>
        <v>438.09000000000003</v>
      </c>
      <c r="D42" s="85">
        <f t="shared" ref="D42:D49" si="23">C42/$C$7</f>
        <v>4.3652201292955703E-2</v>
      </c>
      <c r="E42" s="97"/>
      <c r="F42" s="21">
        <f>SUM(F43:F47)</f>
        <v>207.54</v>
      </c>
      <c r="G42" s="24">
        <f t="shared" ref="G42:G49" si="24">F42/$F$7</f>
        <v>1.8359677710427701E-2</v>
      </c>
      <c r="H42" s="21">
        <f>SUM(H43:H47)</f>
        <v>199.58</v>
      </c>
      <c r="I42" s="21">
        <f>SUM(I43:I47)</f>
        <v>208.92</v>
      </c>
      <c r="J42" s="24">
        <f t="shared" ref="J42:J49" si="25">I42/$I$7</f>
        <v>2.3914835164835162E-2</v>
      </c>
      <c r="K42" s="22">
        <f>H42-I42</f>
        <v>-9.339999999999975</v>
      </c>
      <c r="L42" s="24">
        <f>K42/I42</f>
        <v>-4.4706107600995477E-2</v>
      </c>
      <c r="M42" s="22">
        <f t="shared" ref="M42:M49" si="26">I42-C42</f>
        <v>-229.17000000000004</v>
      </c>
      <c r="N42" s="52">
        <f t="shared" ref="N42:N49" si="27">M42/C42</f>
        <v>-0.52311168937889485</v>
      </c>
      <c r="O42" s="52">
        <f t="shared" ref="O42:O49" si="28">I42/F42</f>
        <v>1.0066493206128939</v>
      </c>
      <c r="P42" s="156"/>
      <c r="Q42" s="162">
        <v>266.16000000000003</v>
      </c>
      <c r="R42" s="68">
        <f t="shared" ref="R42:R48" si="29">Q42-F42</f>
        <v>58.620000000000033</v>
      </c>
    </row>
    <row r="43" spans="1:18" ht="15.75">
      <c r="A43" s="57" t="s">
        <v>159</v>
      </c>
      <c r="B43" s="21">
        <v>19.690000000000001</v>
      </c>
      <c r="C43" s="70">
        <f>ROUND('PU Wise OWE'!$AK$84/10000,2)</f>
        <v>64.89</v>
      </c>
      <c r="D43" s="85">
        <f t="shared" si="23"/>
        <v>6.4657749364283494E-3</v>
      </c>
      <c r="E43" s="97"/>
      <c r="F43" s="21">
        <f>ROUND('PU Wise OWE'!$AK$82/10000,2)</f>
        <v>37.65</v>
      </c>
      <c r="G43" s="24">
        <f t="shared" si="24"/>
        <v>3.3306440483646667E-3</v>
      </c>
      <c r="H43" s="21">
        <f>ROUND('PU Wise OWE'!$AK$83/10000,2)</f>
        <v>35.6</v>
      </c>
      <c r="I43" s="21">
        <f>ROUND('PU Wise OWE'!$AK$85/10000,2)</f>
        <v>32.450000000000003</v>
      </c>
      <c r="J43" s="24">
        <f t="shared" si="25"/>
        <v>3.7145146520146523E-3</v>
      </c>
      <c r="K43" s="22">
        <f t="shared" ref="K43:K49" si="30">H43-I43</f>
        <v>3.1499999999999986</v>
      </c>
      <c r="L43" s="24">
        <f t="shared" ref="L43:L49" si="31">K43/I43</f>
        <v>9.7072419106317365E-2</v>
      </c>
      <c r="M43" s="22">
        <f t="shared" si="26"/>
        <v>-32.44</v>
      </c>
      <c r="N43" s="52">
        <f t="shared" si="27"/>
        <v>-0.49992294652488822</v>
      </c>
      <c r="O43" s="52">
        <f t="shared" si="28"/>
        <v>0.86188579017264288</v>
      </c>
      <c r="P43" s="156"/>
      <c r="Q43" s="162">
        <f>(I43/10)*12</f>
        <v>38.94</v>
      </c>
      <c r="R43" s="68">
        <f t="shared" si="29"/>
        <v>1.2899999999999991</v>
      </c>
    </row>
    <row r="44" spans="1:18" ht="15.75">
      <c r="A44" s="58" t="s">
        <v>166</v>
      </c>
      <c r="B44" s="108">
        <v>114.4</v>
      </c>
      <c r="C44" s="70">
        <f>ROUND('PU Wise OWE'!$AR$84/10000,2)</f>
        <v>11.51</v>
      </c>
      <c r="D44" s="85">
        <f t="shared" si="23"/>
        <v>1.1468804055831453E-3</v>
      </c>
      <c r="E44" s="97"/>
      <c r="F44" s="21">
        <f>ROUND('PU Wise OWE'!$AR$82/10000,2)</f>
        <v>13.2</v>
      </c>
      <c r="G44" s="24">
        <f t="shared" si="24"/>
        <v>1.1677158416577317E-3</v>
      </c>
      <c r="H44" s="21">
        <f>ROUND('PU Wise OWE'!$AR$83/10000,2)</f>
        <v>12.88</v>
      </c>
      <c r="I44" s="21">
        <f>ROUND('PU Wise OWE'!$AR$85/10000,2)</f>
        <v>11.41</v>
      </c>
      <c r="J44" s="24">
        <f t="shared" si="25"/>
        <v>1.3060897435897437E-3</v>
      </c>
      <c r="K44" s="22">
        <f t="shared" si="30"/>
        <v>1.4700000000000006</v>
      </c>
      <c r="L44" s="24">
        <f t="shared" si="31"/>
        <v>0.12883435582822092</v>
      </c>
      <c r="M44" s="22">
        <f t="shared" si="26"/>
        <v>-9.9999999999999645E-2</v>
      </c>
      <c r="N44" s="52">
        <f t="shared" si="27"/>
        <v>-8.6880973066898043E-3</v>
      </c>
      <c r="O44" s="52">
        <f t="shared" si="28"/>
        <v>0.86439393939393949</v>
      </c>
      <c r="P44" s="156"/>
      <c r="Q44" s="162">
        <f>(I44/10)*12</f>
        <v>13.692</v>
      </c>
      <c r="R44" s="68">
        <f t="shared" si="29"/>
        <v>0.49200000000000088</v>
      </c>
    </row>
    <row r="45" spans="1:18" ht="15.75">
      <c r="A45" s="58" t="s">
        <v>167</v>
      </c>
      <c r="B45" s="108">
        <v>46.69</v>
      </c>
      <c r="C45" s="70">
        <f>ROUND('PU Wise OWE'!$AU$84/10000,2)</f>
        <v>7.1</v>
      </c>
      <c r="D45" s="85">
        <f t="shared" si="23"/>
        <v>7.074588079618012E-4</v>
      </c>
      <c r="E45" s="97"/>
      <c r="F45" s="21">
        <f>ROUND('PU Wise OWE'!$AU$82/10000,2)</f>
        <v>10.01</v>
      </c>
      <c r="G45" s="24">
        <f t="shared" si="24"/>
        <v>8.8551784659044656E-4</v>
      </c>
      <c r="H45" s="21">
        <f>ROUND('PU Wise OWE'!$AU$83/10000,2)</f>
        <v>8.49</v>
      </c>
      <c r="I45" s="21">
        <f>ROUND('PU Wise OWE'!$AU$85/10000,2)</f>
        <v>9.18</v>
      </c>
      <c r="J45" s="24">
        <f t="shared" si="25"/>
        <v>1.0508241758241759E-3</v>
      </c>
      <c r="K45" s="22">
        <f t="shared" si="30"/>
        <v>-0.6899999999999995</v>
      </c>
      <c r="L45" s="24">
        <f t="shared" si="31"/>
        <v>-7.5163398692810413E-2</v>
      </c>
      <c r="M45" s="22">
        <f t="shared" si="26"/>
        <v>2.08</v>
      </c>
      <c r="N45" s="52">
        <f t="shared" si="27"/>
        <v>0.29295774647887324</v>
      </c>
      <c r="O45" s="52">
        <f t="shared" si="28"/>
        <v>0.91708291708291712</v>
      </c>
      <c r="P45" s="156"/>
      <c r="Q45" s="162">
        <f>(I45/10)*12</f>
        <v>11.015999999999998</v>
      </c>
      <c r="R45" s="68">
        <f t="shared" si="29"/>
        <v>1.0059999999999985</v>
      </c>
    </row>
    <row r="46" spans="1:18" ht="15.75">
      <c r="A46" s="57" t="s">
        <v>164</v>
      </c>
      <c r="B46" s="21">
        <v>54.55</v>
      </c>
      <c r="C46" s="70">
        <f>ROUND('PU Wise OWE'!$AZ$84/10000,2)</f>
        <v>39.18</v>
      </c>
      <c r="D46" s="85">
        <f t="shared" si="23"/>
        <v>3.9039769149216016E-3</v>
      </c>
      <c r="E46" s="97"/>
      <c r="F46" s="21">
        <f>ROUND('PU Wise OWE'!$AZ$82/10000,2)</f>
        <v>1.68</v>
      </c>
      <c r="G46" s="24">
        <f t="shared" si="24"/>
        <v>1.4861837984734769E-4</v>
      </c>
      <c r="H46" s="21">
        <f>ROUND('PU Wise OWE'!$AZ$83/10000,2)</f>
        <v>1.68</v>
      </c>
      <c r="I46" s="21">
        <f>ROUND('PU Wise OWE'!$AZ$85/10000,2)</f>
        <v>1.22</v>
      </c>
      <c r="J46" s="24">
        <f t="shared" si="25"/>
        <v>1.3965201465201464E-4</v>
      </c>
      <c r="K46" s="22">
        <f t="shared" si="30"/>
        <v>0.45999999999999996</v>
      </c>
      <c r="L46" s="24">
        <f t="shared" si="31"/>
        <v>0.37704918032786883</v>
      </c>
      <c r="M46" s="22">
        <f t="shared" si="26"/>
        <v>-37.96</v>
      </c>
      <c r="N46" s="52">
        <f t="shared" si="27"/>
        <v>-0.96886166411434405</v>
      </c>
      <c r="O46" s="52">
        <f t="shared" si="28"/>
        <v>0.72619047619047616</v>
      </c>
      <c r="P46" s="156"/>
      <c r="Q46" s="162">
        <f>(I46/10)*12</f>
        <v>1.464</v>
      </c>
      <c r="R46" s="166">
        <f t="shared" si="29"/>
        <v>-0.21599999999999997</v>
      </c>
    </row>
    <row r="47" spans="1:18" ht="15.75">
      <c r="A47" s="58" t="s">
        <v>165</v>
      </c>
      <c r="B47" s="108">
        <v>38.14</v>
      </c>
      <c r="C47" s="70">
        <f>ROUND('PU Wise OWE'!$BA$84/10000,2)</f>
        <v>315.41000000000003</v>
      </c>
      <c r="D47" s="85">
        <f t="shared" si="23"/>
        <v>3.1428110228060809E-2</v>
      </c>
      <c r="E47" s="97"/>
      <c r="F47" s="21">
        <f>ROUND('PU Wise OWE'!$BA$82/10000,2)</f>
        <v>145</v>
      </c>
      <c r="G47" s="24">
        <f t="shared" si="24"/>
        <v>1.2827181593967509E-2</v>
      </c>
      <c r="H47" s="21">
        <f>ROUND('PU Wise OWE'!$BA$83/10000,2)</f>
        <v>140.93</v>
      </c>
      <c r="I47" s="21">
        <f>ROUND('PU Wise OWE'!$BA$85/10000,2)</f>
        <v>154.66</v>
      </c>
      <c r="J47" s="24">
        <f t="shared" si="25"/>
        <v>1.7703754578754578E-2</v>
      </c>
      <c r="K47" s="22">
        <f t="shared" si="30"/>
        <v>-13.72999999999999</v>
      </c>
      <c r="L47" s="24">
        <f t="shared" si="31"/>
        <v>-8.8775378249062398E-2</v>
      </c>
      <c r="M47" s="22">
        <f t="shared" si="26"/>
        <v>-160.75000000000003</v>
      </c>
      <c r="N47" s="52">
        <f t="shared" si="27"/>
        <v>-0.50965410101138209</v>
      </c>
      <c r="O47" s="52">
        <f t="shared" si="28"/>
        <v>1.0666206896551724</v>
      </c>
      <c r="P47" s="156"/>
      <c r="Q47" s="162">
        <f>(I47/10)*12</f>
        <v>185.59199999999998</v>
      </c>
      <c r="R47" s="68">
        <f t="shared" si="29"/>
        <v>40.591999999999985</v>
      </c>
    </row>
    <row r="48" spans="1:18" ht="15.75">
      <c r="A48" s="59" t="s">
        <v>168</v>
      </c>
      <c r="B48" s="103">
        <v>663.48</v>
      </c>
      <c r="C48" s="70">
        <f>ROUND('PU Wise OWE'!$AM$84/10000,2)-ROUND('PU Wise OWE'!$BJ$84/10000,2)</f>
        <v>1364.27</v>
      </c>
      <c r="D48" s="85">
        <f t="shared" si="23"/>
        <v>0.13593870816028825</v>
      </c>
      <c r="E48" s="97"/>
      <c r="F48" s="21">
        <f>ROUND('PU Wise OWE'!$AM$82/10000,2)-ROUND('PU Wise OWE'!$BJ$82/10000,2)</f>
        <v>1590.14</v>
      </c>
      <c r="G48" s="24">
        <f t="shared" si="24"/>
        <v>0.14066906579194136</v>
      </c>
      <c r="H48" s="21">
        <f>ROUND('PU Wise OWE'!$AM$83/10000,2)-ROUND('PU Wise OWE'!$BJ$83/10000,2)</f>
        <v>1485.95</v>
      </c>
      <c r="I48" s="21">
        <f>ROUND('PU Wise OWE'!$AM$85/10000,2)-ROUND('PU Wise OWE'!$BJ$85/10000,2)</f>
        <v>1423.78</v>
      </c>
      <c r="J48" s="24">
        <f t="shared" si="25"/>
        <v>0.16297847985347985</v>
      </c>
      <c r="K48" s="22">
        <f t="shared" si="30"/>
        <v>62.170000000000073</v>
      </c>
      <c r="L48" s="24">
        <f t="shared" si="31"/>
        <v>4.366545393248962E-2</v>
      </c>
      <c r="M48" s="22">
        <f t="shared" si="26"/>
        <v>59.509999999999991</v>
      </c>
      <c r="N48" s="52">
        <f t="shared" si="27"/>
        <v>4.3620397721858571E-2</v>
      </c>
      <c r="O48" s="52">
        <f t="shared" si="28"/>
        <v>0.89538028098154876</v>
      </c>
      <c r="P48" s="156"/>
      <c r="Q48" s="162">
        <v>670.28</v>
      </c>
      <c r="R48" s="68">
        <f t="shared" si="29"/>
        <v>-919.86000000000013</v>
      </c>
    </row>
    <row r="49" spans="1:18" s="36" customFormat="1" ht="15.75" thickBot="1">
      <c r="A49" s="60" t="s">
        <v>128</v>
      </c>
      <c r="B49" s="74">
        <f>B42+B48</f>
        <v>936.95</v>
      </c>
      <c r="C49" s="74">
        <f>C42+C48</f>
        <v>1802.3600000000001</v>
      </c>
      <c r="D49" s="86">
        <f t="shared" si="23"/>
        <v>0.17959090945324396</v>
      </c>
      <c r="E49" s="98"/>
      <c r="F49" s="26">
        <f>F42+F48</f>
        <v>1797.68</v>
      </c>
      <c r="G49" s="54">
        <f t="shared" si="24"/>
        <v>0.15902874350236904</v>
      </c>
      <c r="H49" s="26">
        <f>H42+H48</f>
        <v>1685.53</v>
      </c>
      <c r="I49" s="26">
        <f>I42+I48</f>
        <v>1632.7</v>
      </c>
      <c r="J49" s="54">
        <f t="shared" si="25"/>
        <v>0.18689331501831502</v>
      </c>
      <c r="K49" s="26">
        <f t="shared" si="30"/>
        <v>52.829999999999927</v>
      </c>
      <c r="L49" s="54">
        <f t="shared" si="31"/>
        <v>3.2357444723464156E-2</v>
      </c>
      <c r="M49" s="26">
        <f t="shared" si="26"/>
        <v>-169.66000000000008</v>
      </c>
      <c r="N49" s="55">
        <f t="shared" si="27"/>
        <v>-9.4132137863689874E-2</v>
      </c>
      <c r="O49" s="52">
        <f t="shared" si="28"/>
        <v>0.90822615815940544</v>
      </c>
      <c r="P49" s="157"/>
      <c r="Q49" s="74">
        <f>Q42+Q48</f>
        <v>936.44</v>
      </c>
      <c r="R49" s="74">
        <f>R42+R48</f>
        <v>-861.24000000000012</v>
      </c>
    </row>
    <row r="50" spans="1:18">
      <c r="Q50" s="163"/>
    </row>
    <row r="51" spans="1:18">
      <c r="A51" s="75" t="s">
        <v>182</v>
      </c>
      <c r="B51" s="75"/>
      <c r="Q51" s="163"/>
    </row>
    <row r="52" spans="1:18" ht="30" customHeight="1">
      <c r="A52" s="81" t="s">
        <v>183</v>
      </c>
      <c r="B52" s="109">
        <v>188.88</v>
      </c>
      <c r="C52" s="70">
        <f>ROUND('PU Wise OWE'!$AK$128/10000,2)-C43</f>
        <v>128.33999999999997</v>
      </c>
      <c r="D52" s="85">
        <f t="shared" ref="D52:D56" si="32">C52/$C$7</f>
        <v>1.2788065269551768E-2</v>
      </c>
      <c r="E52" s="389"/>
      <c r="F52" s="22">
        <f>ROUND('PU Wise OWE'!$AK$126/10000,2)-F43</f>
        <v>186.57</v>
      </c>
      <c r="G52" s="24">
        <f t="shared" ref="G52:G54" si="33">F52/$F$7</f>
        <v>1.6504601861975984E-2</v>
      </c>
      <c r="H52" s="22">
        <f>ROUND('PU Wise OWE'!$AK$127/10000,2)-H43</f>
        <v>162.03</v>
      </c>
      <c r="I52" s="22">
        <f>ROUND('PU Wise OWE'!$AK$129/10000,2)-I43</f>
        <v>164.12</v>
      </c>
      <c r="J52" s="24">
        <f t="shared" ref="J52:J56" si="34">I52/$I$7</f>
        <v>1.8786630036630038E-2</v>
      </c>
      <c r="K52" s="22">
        <f>H52-I52</f>
        <v>-2.0900000000000034</v>
      </c>
      <c r="L52" s="24">
        <f>K52/I52</f>
        <v>-1.2734584450402165E-2</v>
      </c>
      <c r="M52" s="22">
        <f>I52-C52</f>
        <v>35.78000000000003</v>
      </c>
      <c r="N52" s="52">
        <f>M52/C52</f>
        <v>0.2787907121707966</v>
      </c>
      <c r="O52" s="52">
        <f t="shared" ref="O52:O54" si="35">I52/F52</f>
        <v>0.87966982901859903</v>
      </c>
      <c r="P52" s="155" t="s">
        <v>269</v>
      </c>
      <c r="Q52" s="162">
        <f>(I52/10)*12</f>
        <v>196.94399999999999</v>
      </c>
      <c r="R52" s="166">
        <f>Q52-F52</f>
        <v>10.373999999999995</v>
      </c>
    </row>
    <row r="53" spans="1:18" ht="15.75">
      <c r="A53" s="20" t="s">
        <v>160</v>
      </c>
      <c r="B53" s="105">
        <v>121.46</v>
      </c>
      <c r="C53" s="70">
        <f>ROUND('PU Wise OWE'!$AL$128/10000,2)</f>
        <v>124.43</v>
      </c>
      <c r="D53" s="85">
        <f t="shared" si="32"/>
        <v>1.2398464714744638E-2</v>
      </c>
      <c r="E53" s="390"/>
      <c r="F53" s="22">
        <f>ROUND('PU Wise OWE'!$AL$126/10000,2)</f>
        <v>129.22</v>
      </c>
      <c r="G53" s="24">
        <f t="shared" si="33"/>
        <v>1.1431230383258493E-2</v>
      </c>
      <c r="H53" s="23">
        <f>ROUND('PU Wise OWE'!$AL$127/10000,2)</f>
        <v>116.88</v>
      </c>
      <c r="I53" s="23">
        <f>ROUND('PU Wise OWE'!$AL$129/10000,2)</f>
        <v>130.86000000000001</v>
      </c>
      <c r="J53" s="24">
        <f t="shared" si="34"/>
        <v>1.4979395604395606E-2</v>
      </c>
      <c r="K53" s="22">
        <f t="shared" ref="K53:K54" si="36">H53-I53</f>
        <v>-13.980000000000018</v>
      </c>
      <c r="L53" s="24">
        <f t="shared" ref="L53:L54" si="37">K53/I53</f>
        <v>-0.10683172856487863</v>
      </c>
      <c r="M53" s="22">
        <f>I53-C53</f>
        <v>6.4300000000000068</v>
      </c>
      <c r="N53" s="52">
        <f>M53/C53</f>
        <v>5.1675640922607138E-2</v>
      </c>
      <c r="O53" s="52">
        <f t="shared" si="35"/>
        <v>1.0126915338182945</v>
      </c>
      <c r="P53" s="154" t="s">
        <v>270</v>
      </c>
      <c r="Q53" s="162">
        <f>(I53/10)*12</f>
        <v>157.03200000000004</v>
      </c>
      <c r="R53" s="68">
        <f>Q53-F53</f>
        <v>27.81200000000004</v>
      </c>
    </row>
    <row r="54" spans="1:18" s="36" customFormat="1">
      <c r="A54" s="25" t="s">
        <v>128</v>
      </c>
      <c r="B54" s="26">
        <f>SUM(B52:B53)</f>
        <v>310.33999999999997</v>
      </c>
      <c r="C54" s="74">
        <f>SUM(C52:C53)</f>
        <v>252.76999999999998</v>
      </c>
      <c r="D54" s="86">
        <f t="shared" si="32"/>
        <v>2.5186529984296404E-2</v>
      </c>
      <c r="E54" s="391"/>
      <c r="F54" s="74">
        <f t="shared" ref="F54:I54" si="38">SUM(F52:F53)</f>
        <v>315.78999999999996</v>
      </c>
      <c r="G54" s="54">
        <f t="shared" si="33"/>
        <v>2.7935832245234476E-2</v>
      </c>
      <c r="H54" s="74">
        <f t="shared" si="38"/>
        <v>278.90999999999997</v>
      </c>
      <c r="I54" s="74">
        <f t="shared" si="38"/>
        <v>294.98</v>
      </c>
      <c r="J54" s="54">
        <f t="shared" si="34"/>
        <v>3.376602564102564E-2</v>
      </c>
      <c r="K54" s="26">
        <f t="shared" si="36"/>
        <v>-16.07000000000005</v>
      </c>
      <c r="L54" s="54">
        <f t="shared" si="37"/>
        <v>-5.4478269713201063E-2</v>
      </c>
      <c r="M54" s="26">
        <f>I54-C54</f>
        <v>42.210000000000036</v>
      </c>
      <c r="N54" s="102">
        <f>M54/C54</f>
        <v>0.16698975353087803</v>
      </c>
      <c r="O54" s="52">
        <f t="shared" si="35"/>
        <v>0.93410177649703929</v>
      </c>
      <c r="P54" s="153"/>
      <c r="Q54" s="74">
        <f>SUM(Q52:Q53)</f>
        <v>353.976</v>
      </c>
      <c r="R54" s="74">
        <f>SUM(R52:R53)</f>
        <v>38.186000000000035</v>
      </c>
    </row>
    <row r="55" spans="1:18">
      <c r="Q55" s="163"/>
    </row>
    <row r="56" spans="1:18" s="36" customFormat="1" ht="38.450000000000003" customHeight="1">
      <c r="A56" s="78" t="s">
        <v>161</v>
      </c>
      <c r="B56" s="110">
        <v>348.19</v>
      </c>
      <c r="C56" s="71">
        <f>ROUND('PU Wise OWE'!$AO$128/10000,2)</f>
        <v>356.51</v>
      </c>
      <c r="D56" s="86">
        <f t="shared" si="32"/>
        <v>3.5523399947388977E-2</v>
      </c>
      <c r="E56" s="53"/>
      <c r="F56" s="26">
        <f>ROUND('PU Wise OWE'!$AO$126/10000,2)</f>
        <v>422.86</v>
      </c>
      <c r="G56" s="54">
        <f t="shared" ref="G56" si="39">F56/$F$7</f>
        <v>3.7407600060862765E-2</v>
      </c>
      <c r="H56" s="25">
        <f>ROUND('PU Wise OWE'!$AO$127/10000,2)</f>
        <v>382.19</v>
      </c>
      <c r="I56" s="25">
        <f>ROUND('PU Wise OWE'!$AO$129/10000,2)</f>
        <v>410.27</v>
      </c>
      <c r="J56" s="54">
        <f t="shared" si="34"/>
        <v>4.6963141025641024E-2</v>
      </c>
      <c r="K56" s="26">
        <f>H56-I56</f>
        <v>-28.079999999999984</v>
      </c>
      <c r="L56" s="54">
        <f>K56/I56</f>
        <v>-6.8442732834474829E-2</v>
      </c>
      <c r="M56" s="26">
        <f>I56-C56</f>
        <v>53.759999999999991</v>
      </c>
      <c r="N56" s="55">
        <f>M56/C56</f>
        <v>0.15079520911054387</v>
      </c>
      <c r="O56" s="52">
        <f t="shared" ref="O56" si="40">I56/F56</f>
        <v>0.97022655252329371</v>
      </c>
      <c r="P56" s="155" t="s">
        <v>283</v>
      </c>
      <c r="Q56" s="162">
        <f>(I56-26.18)/10*2+I56</f>
        <v>487.08799999999997</v>
      </c>
      <c r="R56" s="166">
        <f>Q56-F56</f>
        <v>64.227999999999952</v>
      </c>
    </row>
    <row r="57" spans="1:18" s="36" customFormat="1">
      <c r="A57" s="116"/>
      <c r="B57" s="117"/>
      <c r="C57" s="113"/>
      <c r="D57" s="114"/>
      <c r="E57" s="115"/>
      <c r="F57" s="91"/>
      <c r="G57" s="90"/>
      <c r="H57" s="90"/>
      <c r="I57" s="88"/>
      <c r="J57" s="90"/>
      <c r="K57" s="90"/>
      <c r="L57" s="90"/>
      <c r="M57" s="26"/>
      <c r="N57" s="55"/>
      <c r="O57" s="100"/>
      <c r="P57" s="158"/>
      <c r="Q57" s="165"/>
    </row>
    <row r="58" spans="1:18">
      <c r="B58" s="396" t="s">
        <v>293</v>
      </c>
      <c r="C58" s="401" t="str">
        <f>'PU Wise OWE'!$B$7</f>
        <v>Actuals upto Feb-23</v>
      </c>
      <c r="D58" s="396" t="s">
        <v>171</v>
      </c>
      <c r="E58" s="396"/>
      <c r="F58" s="430" t="str">
        <f>'PU Wise OWE'!$B$5</f>
        <v>RG 2023-24</v>
      </c>
      <c r="G58" s="396" t="s">
        <v>300</v>
      </c>
      <c r="H58" s="396" t="s">
        <v>307</v>
      </c>
      <c r="I58" s="401" t="str">
        <f>'PU Wise OWE'!B8</f>
        <v>Actuals upto Feb-24</v>
      </c>
      <c r="J58" s="396" t="s">
        <v>203</v>
      </c>
      <c r="K58" s="368" t="s">
        <v>204</v>
      </c>
      <c r="L58" s="368"/>
      <c r="M58" s="368" t="s">
        <v>145</v>
      </c>
      <c r="N58" s="368"/>
      <c r="O58" s="369" t="s">
        <v>305</v>
      </c>
      <c r="P58" s="439" t="s">
        <v>265</v>
      </c>
      <c r="Q58" s="164"/>
    </row>
    <row r="59" spans="1:18" ht="30">
      <c r="A59" s="75" t="s">
        <v>184</v>
      </c>
      <c r="B59" s="397"/>
      <c r="C59" s="397"/>
      <c r="D59" s="397"/>
      <c r="E59" s="397"/>
      <c r="F59" s="431"/>
      <c r="G59" s="397"/>
      <c r="H59" s="397"/>
      <c r="I59" s="397"/>
      <c r="J59" s="397"/>
      <c r="K59" s="79" t="s">
        <v>143</v>
      </c>
      <c r="L59" s="80" t="s">
        <v>144</v>
      </c>
      <c r="M59" s="79" t="s">
        <v>143</v>
      </c>
      <c r="N59" s="80" t="s">
        <v>144</v>
      </c>
      <c r="O59" s="369"/>
      <c r="P59" s="439"/>
      <c r="Q59" s="164"/>
    </row>
    <row r="60" spans="1:18" ht="15.75">
      <c r="A60" s="23" t="s">
        <v>185</v>
      </c>
      <c r="B60" s="22">
        <v>80.099999999999994</v>
      </c>
      <c r="C60" s="70">
        <f>ROUND('PU Wise OWE'!$AM$62/10000,2)</f>
        <v>88.15</v>
      </c>
      <c r="D60" s="85">
        <f t="shared" ref="D60:D64" si="41">C60/$C$7</f>
        <v>8.7834498481454623E-3</v>
      </c>
      <c r="E60" s="386"/>
      <c r="F60" s="22">
        <f>ROUND('PU Wise OWE'!$AM$60/10000,2)</f>
        <v>98.7</v>
      </c>
      <c r="G60" s="24">
        <f t="shared" ref="G60:G64" si="42">F60/$F$7</f>
        <v>8.7313298160316757E-3</v>
      </c>
      <c r="H60" s="23">
        <f>ROUND('PU Wise OWE'!$AM$61/10000,2)</f>
        <v>91.37</v>
      </c>
      <c r="I60" s="23">
        <f>ROUND('PU Wise OWE'!$AM$63/10000,2)</f>
        <v>67.56</v>
      </c>
      <c r="J60" s="94">
        <f t="shared" ref="J60:J64" si="43">I60/$I$7</f>
        <v>7.733516483516484E-3</v>
      </c>
      <c r="K60" s="22">
        <f>H60-I60</f>
        <v>23.810000000000002</v>
      </c>
      <c r="L60" s="24">
        <f>K60/I60</f>
        <v>0.35242747187685025</v>
      </c>
      <c r="M60" s="22">
        <f>I60-C60</f>
        <v>-20.590000000000003</v>
      </c>
      <c r="N60" s="52">
        <f>M60/C60</f>
        <v>-0.23357912648893933</v>
      </c>
      <c r="O60" s="52">
        <f t="shared" ref="O60:O64" si="44">I60/F60</f>
        <v>0.68449848024316107</v>
      </c>
      <c r="P60" s="155"/>
      <c r="Q60" s="162">
        <f>(I60/10)*12</f>
        <v>81.072000000000003</v>
      </c>
      <c r="R60" s="68">
        <f>Q60-F60</f>
        <v>-17.628</v>
      </c>
    </row>
    <row r="61" spans="1:18" ht="46.15" customHeight="1">
      <c r="A61" s="23" t="s">
        <v>186</v>
      </c>
      <c r="B61" s="22">
        <v>21.26</v>
      </c>
      <c r="C61" s="70">
        <f>ROUND('PU Wise OWE'!$AM$95/10000,2)</f>
        <v>6.66</v>
      </c>
      <c r="D61" s="85">
        <f t="shared" si="41"/>
        <v>6.6361629028529527E-4</v>
      </c>
      <c r="E61" s="387"/>
      <c r="F61" s="22">
        <f>ROUND('PU Wise OWE'!$AM$93/10000,2)</f>
        <v>9.08</v>
      </c>
      <c r="G61" s="24">
        <f t="shared" si="42"/>
        <v>8.0324695774637914E-4</v>
      </c>
      <c r="H61" s="23">
        <f>ROUND('PU Wise OWE'!$AM$94/10000,2)</f>
        <v>8.58</v>
      </c>
      <c r="I61" s="23">
        <f>ROUND('PU Wise OWE'!$AM$96/10000,2)</f>
        <v>16.670000000000002</v>
      </c>
      <c r="J61" s="94">
        <f t="shared" si="43"/>
        <v>1.908195970695971E-3</v>
      </c>
      <c r="K61" s="22">
        <f t="shared" ref="K61:K64" si="45">H61-I61</f>
        <v>-8.0900000000000016</v>
      </c>
      <c r="L61" s="24">
        <f t="shared" ref="L61:L64" si="46">K61/I61</f>
        <v>-0.48530293941211761</v>
      </c>
      <c r="M61" s="22">
        <f>I61-C61</f>
        <v>10.010000000000002</v>
      </c>
      <c r="N61" s="52">
        <f>M61/C61</f>
        <v>1.5030030030030033</v>
      </c>
      <c r="O61" s="52">
        <f t="shared" si="44"/>
        <v>1.8359030837004406</v>
      </c>
      <c r="P61" s="155" t="s">
        <v>274</v>
      </c>
      <c r="Q61" s="162">
        <f>(I61/10)*12</f>
        <v>20.004000000000005</v>
      </c>
      <c r="R61" s="68">
        <f>Q61-F61</f>
        <v>10.924000000000005</v>
      </c>
    </row>
    <row r="62" spans="1:18" ht="43.15" customHeight="1">
      <c r="A62" s="23" t="s">
        <v>187</v>
      </c>
      <c r="B62" s="22">
        <v>9.89</v>
      </c>
      <c r="C62" s="70">
        <f>ROUND('PU Wise OWE'!$AN$18/10000,2)</f>
        <v>20.97</v>
      </c>
      <c r="D62" s="85">
        <f t="shared" si="41"/>
        <v>2.089494535628024E-3</v>
      </c>
      <c r="E62" s="387"/>
      <c r="F62" s="22">
        <f>ROUND('PU Wise OWE'!$AN$16/10000,2)</f>
        <v>25.19</v>
      </c>
      <c r="G62" s="24">
        <f>F62/$F$7</f>
        <v>2.2283910644968381E-3</v>
      </c>
      <c r="H62" s="23">
        <f>ROUND('PU Wise OWE'!$AN$17/10000,2)</f>
        <v>22.07</v>
      </c>
      <c r="I62" s="23">
        <f>ROUND('PU Wise OWE'!$AN$19/10000,2)</f>
        <v>20.54</v>
      </c>
      <c r="J62" s="94">
        <f t="shared" si="43"/>
        <v>2.3511904761904759E-3</v>
      </c>
      <c r="K62" s="22">
        <f t="shared" si="45"/>
        <v>1.5300000000000011</v>
      </c>
      <c r="L62" s="24">
        <f t="shared" si="46"/>
        <v>7.4488802336903664E-2</v>
      </c>
      <c r="M62" s="22">
        <f>I62-C62</f>
        <v>-0.42999999999999972</v>
      </c>
      <c r="N62" s="52">
        <f>M62/C62</f>
        <v>-2.0505484024797318E-2</v>
      </c>
      <c r="O62" s="52">
        <f t="shared" si="44"/>
        <v>0.81540293767368</v>
      </c>
      <c r="P62" s="155" t="s">
        <v>271</v>
      </c>
      <c r="Q62" s="162">
        <f>(I62/10)*12</f>
        <v>24.647999999999996</v>
      </c>
      <c r="R62" s="68">
        <f>Q62-F62</f>
        <v>-0.54200000000000514</v>
      </c>
    </row>
    <row r="63" spans="1:18" ht="15.75">
      <c r="A63" s="23" t="s">
        <v>188</v>
      </c>
      <c r="B63" s="22">
        <v>1.64</v>
      </c>
      <c r="C63" s="70">
        <f>ROUND('PU Wise OWE'!$AN$62/10000,2)</f>
        <v>9.4</v>
      </c>
      <c r="D63" s="85">
        <f t="shared" si="41"/>
        <v>9.3663560490717351E-4</v>
      </c>
      <c r="E63" s="387"/>
      <c r="F63" s="22">
        <f>ROUND('PU Wise OWE'!$AN$60/10000,2)</f>
        <v>21.17</v>
      </c>
      <c r="G63" s="24">
        <f>F63/$F$7</f>
        <v>1.8727685127192563E-3</v>
      </c>
      <c r="H63" s="23">
        <f>ROUND('PU Wise OWE'!$AN$61/10000,2)</f>
        <v>17.57</v>
      </c>
      <c r="I63" s="23">
        <f>ROUND('PU Wise OWE'!$AN$63/10000,2)</f>
        <v>20.68</v>
      </c>
      <c r="J63" s="94">
        <f t="shared" si="43"/>
        <v>2.3672161172161171E-3</v>
      </c>
      <c r="K63" s="22">
        <f t="shared" si="45"/>
        <v>-3.1099999999999994</v>
      </c>
      <c r="L63" s="24">
        <f t="shared" si="46"/>
        <v>-0.1503868471953578</v>
      </c>
      <c r="M63" s="22">
        <f>I63-C63</f>
        <v>11.28</v>
      </c>
      <c r="N63" s="52">
        <f>M63/C63</f>
        <v>1.2</v>
      </c>
      <c r="O63" s="52">
        <f t="shared" si="44"/>
        <v>0.97685403873405752</v>
      </c>
      <c r="P63" s="154"/>
      <c r="Q63" s="162">
        <f>(I63/10)*12</f>
        <v>24.816000000000003</v>
      </c>
      <c r="R63" s="68">
        <f>Q63-F63</f>
        <v>3.6460000000000008</v>
      </c>
    </row>
    <row r="64" spans="1:18" s="36" customFormat="1">
      <c r="A64" s="25" t="s">
        <v>128</v>
      </c>
      <c r="B64" s="26">
        <f>SUM(B60:B63)</f>
        <v>112.89</v>
      </c>
      <c r="C64" s="74">
        <f>SUM(C60:C63)</f>
        <v>125.18</v>
      </c>
      <c r="D64" s="86">
        <f t="shared" si="41"/>
        <v>1.2473196278965955E-2</v>
      </c>
      <c r="E64" s="388"/>
      <c r="F64" s="26">
        <f>SUM(F60:F63)</f>
        <v>154.13999999999999</v>
      </c>
      <c r="G64" s="54">
        <f t="shared" si="42"/>
        <v>1.3635736350994149E-2</v>
      </c>
      <c r="H64" s="26">
        <f>SUM(H60:H63)</f>
        <v>139.59</v>
      </c>
      <c r="I64" s="26">
        <f>SUM(I60:I63)</f>
        <v>125.45000000000002</v>
      </c>
      <c r="J64" s="54">
        <f t="shared" si="43"/>
        <v>1.436011904761905E-2</v>
      </c>
      <c r="K64" s="26">
        <f t="shared" si="45"/>
        <v>14.139999999999986</v>
      </c>
      <c r="L64" s="54">
        <f t="shared" si="46"/>
        <v>0.11271422877640482</v>
      </c>
      <c r="M64" s="26">
        <f>I64-C64</f>
        <v>0.27000000000001023</v>
      </c>
      <c r="N64" s="55">
        <f>M64/C64</f>
        <v>2.1568940725356306E-3</v>
      </c>
      <c r="O64" s="52">
        <f t="shared" si="44"/>
        <v>0.81387050733099797</v>
      </c>
      <c r="P64" s="153"/>
      <c r="Q64" s="74">
        <f>SUM(Q60:Q63)</f>
        <v>150.54000000000002</v>
      </c>
      <c r="R64" s="74">
        <f>SUM(R60:R63)</f>
        <v>-3.5999999999999996</v>
      </c>
    </row>
    <row r="65" spans="1:18">
      <c r="Q65" s="163"/>
    </row>
    <row r="66" spans="1:18">
      <c r="A66" s="75" t="s">
        <v>189</v>
      </c>
      <c r="B66" s="75"/>
      <c r="Q66" s="163"/>
    </row>
    <row r="67" spans="1:18" ht="27.6" customHeight="1">
      <c r="A67" s="23" t="s">
        <v>190</v>
      </c>
      <c r="B67" s="22">
        <v>1117.51</v>
      </c>
      <c r="C67" s="70">
        <f>ROUND('PU Wise OWE'!$AP$73/10000,2)</f>
        <v>1684.96</v>
      </c>
      <c r="D67" s="85">
        <f t="shared" ref="D67:D69" si="47">C67/$C$7</f>
        <v>0.16789292860046712</v>
      </c>
      <c r="E67" s="23"/>
      <c r="F67" s="22">
        <f>ROUND('PU Wise OWE'!$AP$71/10000,2)</f>
        <v>1637.46</v>
      </c>
      <c r="G67" s="24">
        <f t="shared" ref="G67:G69" si="48">F67/$F$7</f>
        <v>0.14485515015764164</v>
      </c>
      <c r="H67" s="23">
        <f>ROUND('PU Wise OWE'!$AP$72/10000,2)</f>
        <v>1580.16</v>
      </c>
      <c r="I67" s="23">
        <f>ROUND('PU Wise OWE'!$AP$74/10000,2)</f>
        <v>-0.43</v>
      </c>
      <c r="J67" s="94">
        <f t="shared" ref="J67:J69" si="49">I67/$I$7</f>
        <v>-4.9221611721611722E-5</v>
      </c>
      <c r="K67" s="22">
        <f>H67-I67</f>
        <v>1580.5900000000001</v>
      </c>
      <c r="L67" s="24">
        <f>K67/I67</f>
        <v>-3675.7906976744189</v>
      </c>
      <c r="M67" s="22">
        <f>I67-C67</f>
        <v>-1685.39</v>
      </c>
      <c r="N67" s="52">
        <f>M67/C67</f>
        <v>-1.0002551989364734</v>
      </c>
      <c r="O67" s="52">
        <f t="shared" ref="O67:O68" si="50">I67/F67</f>
        <v>-2.6260183454863018E-4</v>
      </c>
      <c r="P67" s="155" t="s">
        <v>275</v>
      </c>
      <c r="Q67" s="162">
        <f>(I67-256.76-544.78)/10*2+I67</f>
        <v>-160.82400000000001</v>
      </c>
      <c r="R67" s="68">
        <f>Q67-F67</f>
        <v>-1798.2840000000001</v>
      </c>
    </row>
    <row r="68" spans="1:18" ht="15.75">
      <c r="A68" s="87" t="s">
        <v>191</v>
      </c>
      <c r="B68" s="111">
        <v>38.520000000000003</v>
      </c>
      <c r="C68" s="70">
        <f>ROUND('PU Wise OWE'!$AP$128/10000,2)-C67</f>
        <v>61.579999999999927</v>
      </c>
      <c r="D68" s="85">
        <f t="shared" si="47"/>
        <v>6.135959632998263E-3</v>
      </c>
      <c r="E68" s="23"/>
      <c r="F68" s="22">
        <f>ROUND('PU Wise OWE'!$AP$126/10000,2)-F67</f>
        <v>30.849999999999909</v>
      </c>
      <c r="G68" s="24">
        <f t="shared" si="48"/>
        <v>2.7290934632682516E-3</v>
      </c>
      <c r="H68" s="23">
        <f>ROUND('PU Wise OWE'!$AP$127/10000,2)-H67</f>
        <v>24.970000000000027</v>
      </c>
      <c r="I68" s="23">
        <f>ROUND('PU Wise OWE'!$AP$129/10000,2)-I67</f>
        <v>20.46</v>
      </c>
      <c r="J68" s="94">
        <f t="shared" si="49"/>
        <v>2.3420329670329671E-3</v>
      </c>
      <c r="K68" s="22">
        <f t="shared" ref="K68:K69" si="51">H68-I68</f>
        <v>4.5100000000000264</v>
      </c>
      <c r="L68" s="24">
        <f t="shared" ref="L68:L69" si="52">K68/I68</f>
        <v>0.220430107526883</v>
      </c>
      <c r="M68" s="22">
        <f>I68-C68</f>
        <v>-41.119999999999926</v>
      </c>
      <c r="N68" s="52">
        <f>M68/C68</f>
        <v>-0.66774926924326039</v>
      </c>
      <c r="O68" s="52">
        <f t="shared" si="50"/>
        <v>0.66320907617504254</v>
      </c>
      <c r="P68" s="154"/>
      <c r="Q68" s="162">
        <f>(I68/10)*12</f>
        <v>24.552000000000003</v>
      </c>
      <c r="R68" s="68">
        <f>Q68-F68</f>
        <v>-6.2979999999999059</v>
      </c>
    </row>
    <row r="69" spans="1:18" s="36" customFormat="1">
      <c r="A69" s="25" t="s">
        <v>128</v>
      </c>
      <c r="B69" s="26">
        <f>SUM(B67:B68)</f>
        <v>1156.03</v>
      </c>
      <c r="C69" s="74">
        <f>SUM(C67:C68)</f>
        <v>1746.54</v>
      </c>
      <c r="D69" s="86">
        <f t="shared" si="47"/>
        <v>0.17402888823346538</v>
      </c>
      <c r="E69" s="88"/>
      <c r="F69" s="89">
        <f>SUM(F67:F68)</f>
        <v>1668.31</v>
      </c>
      <c r="G69" s="90">
        <f t="shared" si="48"/>
        <v>0.14758424362090988</v>
      </c>
      <c r="H69" s="89">
        <f>SUM(H67:H68)</f>
        <v>1605.13</v>
      </c>
      <c r="I69" s="89">
        <f>SUM(I67:I68)</f>
        <v>20.03</v>
      </c>
      <c r="J69" s="54">
        <f t="shared" si="49"/>
        <v>2.2928113553113555E-3</v>
      </c>
      <c r="K69" s="22">
        <f t="shared" si="51"/>
        <v>1585.1000000000001</v>
      </c>
      <c r="L69" s="24">
        <f t="shared" si="52"/>
        <v>79.136295556665004</v>
      </c>
      <c r="M69" s="91">
        <f>I69-C69</f>
        <v>-1726.51</v>
      </c>
      <c r="N69" s="101">
        <f>M69/C69</f>
        <v>-0.98853161107103193</v>
      </c>
      <c r="P69" s="159"/>
      <c r="Q69" s="74">
        <f>SUM(Q67:Q68)</f>
        <v>-136.27200000000002</v>
      </c>
      <c r="R69" s="74">
        <f>SUM(R67:R68)</f>
        <v>-1804.5820000000001</v>
      </c>
    </row>
    <row r="70" spans="1:18">
      <c r="E70" s="31"/>
      <c r="F70" s="34"/>
      <c r="G70" s="34"/>
      <c r="H70" s="34"/>
      <c r="I70" s="31"/>
      <c r="J70" s="31"/>
      <c r="K70" s="31"/>
      <c r="L70" s="31"/>
      <c r="M70" s="34"/>
      <c r="N70" s="92"/>
      <c r="Q70" s="163"/>
    </row>
    <row r="71" spans="1:18">
      <c r="A71" s="75" t="s">
        <v>193</v>
      </c>
      <c r="B71" s="75"/>
      <c r="E71" s="31"/>
      <c r="F71" s="34"/>
      <c r="G71" s="34"/>
      <c r="H71" s="34"/>
      <c r="I71" s="31"/>
      <c r="J71" s="31"/>
      <c r="K71" s="31"/>
      <c r="L71" s="31"/>
      <c r="M71" s="34"/>
      <c r="N71" s="92"/>
      <c r="Q71" s="163"/>
    </row>
    <row r="72" spans="1:18" ht="38.450000000000003" customHeight="1">
      <c r="A72" s="23" t="s">
        <v>192</v>
      </c>
      <c r="B72" s="22">
        <v>12.31</v>
      </c>
      <c r="C72" s="70">
        <f>ROUND('PU Wise OWE'!$AQ$29/10000,2)+ROUND('PU Wise OWE'!$BB$29/10000,2)</f>
        <v>10.14</v>
      </c>
      <c r="D72" s="85">
        <f t="shared" ref="D72:D74" si="53">C72/$C$7</f>
        <v>1.0103707482722064E-3</v>
      </c>
      <c r="E72" s="23"/>
      <c r="F72" s="70">
        <f>ROUND('PU Wise OWE'!$AQ$27/10000,2)+ROUND('PU Wise OWE'!$BB$27/10000,2)</f>
        <v>21.22</v>
      </c>
      <c r="G72" s="24">
        <f t="shared" ref="G72:G74" si="54">F72/$F$7</f>
        <v>1.8771916787861415E-3</v>
      </c>
      <c r="H72" s="70">
        <f>ROUND('PU Wise OWE'!$AQ$28/10000,2)+ROUND('PU Wise OWE'!$BB$28/10000,2)</f>
        <v>17.39</v>
      </c>
      <c r="I72" s="70">
        <f>ROUND('PU Wise OWE'!$AQ$30/10000,2)+ROUND('PU Wise OWE'!$BB$30/10000,2)</f>
        <v>7.46</v>
      </c>
      <c r="J72" s="94">
        <f t="shared" ref="J72:J74" si="55">I72/$I$7</f>
        <v>8.539377289377289E-4</v>
      </c>
      <c r="K72" s="22">
        <f>H72-I72</f>
        <v>9.93</v>
      </c>
      <c r="L72" s="24">
        <f>K72/I72</f>
        <v>1.3310991957104557</v>
      </c>
      <c r="M72" s="22">
        <f>I72-C72</f>
        <v>-2.6800000000000006</v>
      </c>
      <c r="N72" s="52">
        <f>M72/C72</f>
        <v>-0.26429980276134124</v>
      </c>
      <c r="O72" s="52">
        <f t="shared" ref="O72:O73" si="56">I72/F72</f>
        <v>0.351555136663525</v>
      </c>
      <c r="P72" s="155" t="s">
        <v>286</v>
      </c>
      <c r="Q72" s="162">
        <f>(I72/10)*12</f>
        <v>8.952</v>
      </c>
      <c r="R72" s="68">
        <f>Q72-F72</f>
        <v>-12.267999999999999</v>
      </c>
    </row>
    <row r="73" spans="1:18" ht="52.9" customHeight="1">
      <c r="A73" s="23" t="s">
        <v>194</v>
      </c>
      <c r="B73" s="22">
        <v>114.52</v>
      </c>
      <c r="C73" s="70">
        <f>ROUND('PU Wise OWE'!$AQ$40/10000,2)+ROUND('PU Wise OWE'!$BB$40/10000,2)</f>
        <v>218.32</v>
      </c>
      <c r="D73" s="85">
        <f t="shared" si="53"/>
        <v>2.1753860134397243E-2</v>
      </c>
      <c r="E73" s="23"/>
      <c r="F73" s="70">
        <f>ROUND('PU Wise OWE'!$AQ$38/10000,2)+ROUND('PU Wise OWE'!$BB$38/10000,2)</f>
        <v>257.33000000000004</v>
      </c>
      <c r="G73" s="24">
        <f t="shared" si="54"/>
        <v>2.2764266479832134E-2</v>
      </c>
      <c r="H73" s="70">
        <f>ROUND('PU Wise OWE'!$AQ$39/10000,2)+ROUND('PU Wise OWE'!$BB$39/10000,2)</f>
        <v>228.39</v>
      </c>
      <c r="I73" s="70">
        <f>ROUND('PU Wise OWE'!$AQ$41/10000,2)+ROUND('PU Wise OWE'!$BB$41/10000,2)</f>
        <v>208.89999999999998</v>
      </c>
      <c r="J73" s="94">
        <f t="shared" si="55"/>
        <v>2.3912545787545786E-2</v>
      </c>
      <c r="K73" s="22">
        <f t="shared" ref="K73:K74" si="57">H73-I73</f>
        <v>19.490000000000009</v>
      </c>
      <c r="L73" s="24">
        <f t="shared" ref="L73:L74" si="58">K73/I73</f>
        <v>9.3298228817616138E-2</v>
      </c>
      <c r="M73" s="22">
        <f>I73-C73</f>
        <v>-9.4200000000000159</v>
      </c>
      <c r="N73" s="52">
        <f>M73/C73</f>
        <v>-4.3147673140344525E-2</v>
      </c>
      <c r="O73" s="52">
        <f t="shared" si="56"/>
        <v>0.81179808028601386</v>
      </c>
      <c r="P73" s="155" t="s">
        <v>272</v>
      </c>
      <c r="Q73" s="162">
        <f>(I73/10)*12</f>
        <v>250.67999999999995</v>
      </c>
      <c r="R73" s="68">
        <f>Q73-F73</f>
        <v>-6.6500000000000909</v>
      </c>
    </row>
    <row r="74" spans="1:18" s="36" customFormat="1">
      <c r="A74" s="25" t="s">
        <v>128</v>
      </c>
      <c r="B74" s="26">
        <v>126.83</v>
      </c>
      <c r="C74" s="74">
        <f>SUM(C72:C73)</f>
        <v>228.45999999999998</v>
      </c>
      <c r="D74" s="86">
        <f t="shared" si="53"/>
        <v>2.2764230882669448E-2</v>
      </c>
      <c r="E74" s="25"/>
      <c r="F74" s="74">
        <f>SUM(F72:F73)</f>
        <v>278.55000000000007</v>
      </c>
      <c r="G74" s="54">
        <f t="shared" si="54"/>
        <v>2.4641458158618276E-2</v>
      </c>
      <c r="H74" s="74">
        <f t="shared" ref="H74:I74" si="59">SUM(H72:H73)</f>
        <v>245.77999999999997</v>
      </c>
      <c r="I74" s="74">
        <f t="shared" si="59"/>
        <v>216.35999999999999</v>
      </c>
      <c r="J74" s="54">
        <f t="shared" si="55"/>
        <v>2.4766483516483515E-2</v>
      </c>
      <c r="K74" s="26">
        <f t="shared" si="57"/>
        <v>29.419999999999987</v>
      </c>
      <c r="L74" s="54">
        <f t="shared" si="58"/>
        <v>0.13597707524496205</v>
      </c>
      <c r="M74" s="26">
        <f>I74-C74</f>
        <v>-12.099999999999994</v>
      </c>
      <c r="N74" s="55">
        <f>M74/C74</f>
        <v>-5.2963319618313909E-2</v>
      </c>
      <c r="P74" s="159"/>
      <c r="Q74" s="74">
        <f>SUM(Q72:Q73)</f>
        <v>259.63199999999995</v>
      </c>
      <c r="R74" s="74">
        <f>SUM(R72:R73)</f>
        <v>-18.918000000000092</v>
      </c>
    </row>
    <row r="75" spans="1:18">
      <c r="D75" s="31"/>
      <c r="E75" s="31"/>
      <c r="F75" s="34"/>
      <c r="G75" s="34"/>
      <c r="H75" s="34"/>
      <c r="I75" s="31"/>
      <c r="J75" s="31"/>
      <c r="K75" s="31"/>
      <c r="L75" s="31"/>
      <c r="M75" s="34"/>
      <c r="N75" s="92"/>
      <c r="Q75" s="163"/>
    </row>
    <row r="76" spans="1:18">
      <c r="A76" s="75" t="s">
        <v>195</v>
      </c>
      <c r="B76" s="75"/>
      <c r="D76" s="31"/>
      <c r="E76" s="31"/>
      <c r="F76" s="34"/>
      <c r="G76" s="34"/>
      <c r="H76" s="34"/>
      <c r="I76" s="31"/>
      <c r="J76" s="31"/>
      <c r="K76" s="31"/>
      <c r="L76" s="31"/>
      <c r="M76" s="34"/>
      <c r="N76" s="92"/>
      <c r="Q76" s="163"/>
    </row>
    <row r="77" spans="1:18" ht="15.75">
      <c r="A77" s="23" t="s">
        <v>197</v>
      </c>
      <c r="B77" s="22">
        <v>2</v>
      </c>
      <c r="C77" s="70">
        <f>ROUND('PU Wise OWE'!$AW$128/10000,2)</f>
        <v>2.12</v>
      </c>
      <c r="D77" s="85">
        <f t="shared" ref="D77:D83" si="60">C77/$C$7</f>
        <v>2.1124122153225614E-4</v>
      </c>
      <c r="E77" s="23"/>
      <c r="F77" s="22">
        <f>ROUND('PU Wise OWE'!$AW$126/10000,2)</f>
        <v>1.72</v>
      </c>
      <c r="G77" s="24">
        <f t="shared" ref="G77:G83" si="61">F77/$F$7</f>
        <v>1.5215691270085594E-4</v>
      </c>
      <c r="H77" s="23">
        <f>ROUND('PU Wise OWE'!$AW$127/10000,2)</f>
        <v>1.29</v>
      </c>
      <c r="I77" s="23">
        <f>ROUND('PU Wise OWE'!$AW$129/10000,2)</f>
        <v>1.43</v>
      </c>
      <c r="J77" s="94">
        <f t="shared" ref="J77:J85" si="62">I77/$I$7</f>
        <v>1.6369047619047618E-4</v>
      </c>
      <c r="K77" s="22">
        <f>H77-I77</f>
        <v>-0.1399999999999999</v>
      </c>
      <c r="L77" s="24">
        <f>K77/I77</f>
        <v>-9.7902097902097834E-2</v>
      </c>
      <c r="M77" s="22">
        <f t="shared" ref="M77:M83" si="63">I77-C77</f>
        <v>-0.69000000000000017</v>
      </c>
      <c r="N77" s="52">
        <f t="shared" ref="N77:N83" si="64">M77/C77</f>
        <v>-0.32547169811320759</v>
      </c>
      <c r="O77" s="52">
        <f t="shared" ref="O77:O82" si="65">I77/F77</f>
        <v>0.83139534883720922</v>
      </c>
      <c r="P77" s="154"/>
      <c r="Q77" s="162">
        <f t="shared" ref="Q77:Q82" si="66">(I77/10)*12</f>
        <v>1.7159999999999997</v>
      </c>
      <c r="R77" s="68">
        <f t="shared" ref="R77:R82" si="67">Q77-F77</f>
        <v>-4.0000000000002256E-3</v>
      </c>
    </row>
    <row r="78" spans="1:18" ht="15.75">
      <c r="A78" s="23" t="s">
        <v>196</v>
      </c>
      <c r="B78" s="22">
        <v>1.66</v>
      </c>
      <c r="C78" s="70">
        <f>ROUND('PU Wise OWE'!$AX$128/10000,2)</f>
        <v>1.63</v>
      </c>
      <c r="D78" s="85">
        <f t="shared" si="60"/>
        <v>1.6241659957432899E-4</v>
      </c>
      <c r="E78" s="23"/>
      <c r="F78" s="22">
        <f>ROUND('PU Wise OWE'!$AW$126/10000,2)</f>
        <v>1.72</v>
      </c>
      <c r="G78" s="24">
        <f t="shared" si="61"/>
        <v>1.5215691270085594E-4</v>
      </c>
      <c r="H78" s="23">
        <f>ROUND('PU Wise OWE'!$AX$127/10000,2)</f>
        <v>3.08</v>
      </c>
      <c r="I78" s="23">
        <f>ROUND('PU Wise OWE'!$AX$129/10000,2)</f>
        <v>2.02</v>
      </c>
      <c r="J78" s="94">
        <f t="shared" si="62"/>
        <v>2.3122710622710624E-4</v>
      </c>
      <c r="K78" s="22">
        <f t="shared" ref="K78:K83" si="68">H78-I78</f>
        <v>1.06</v>
      </c>
      <c r="L78" s="24">
        <f t="shared" ref="L78:L83" si="69">K78/I78</f>
        <v>0.52475247524752477</v>
      </c>
      <c r="M78" s="22">
        <f t="shared" si="63"/>
        <v>0.39000000000000012</v>
      </c>
      <c r="N78" s="52">
        <f t="shared" si="64"/>
        <v>0.23926380368098168</v>
      </c>
      <c r="O78" s="52">
        <f t="shared" si="65"/>
        <v>1.1744186046511629</v>
      </c>
      <c r="P78" s="154"/>
      <c r="Q78" s="162">
        <f t="shared" si="66"/>
        <v>2.4240000000000004</v>
      </c>
      <c r="R78" s="68">
        <f t="shared" si="67"/>
        <v>0.7040000000000004</v>
      </c>
    </row>
    <row r="79" spans="1:18" ht="34.15" customHeight="1">
      <c r="A79" s="23" t="s">
        <v>198</v>
      </c>
      <c r="B79" s="22">
        <v>16.940000000000001</v>
      </c>
      <c r="C79" s="70">
        <f>ROUND('PU Wise OWE'!$BC$128/10000,2)</f>
        <v>18.71</v>
      </c>
      <c r="D79" s="85">
        <f t="shared" si="60"/>
        <v>1.8643034221077889E-3</v>
      </c>
      <c r="E79" s="23"/>
      <c r="F79" s="22">
        <f>ROUND('PU Wise OWE'!$BC$126/10000,2)</f>
        <v>22.48</v>
      </c>
      <c r="G79" s="24">
        <f t="shared" si="61"/>
        <v>1.9886554636716525E-3</v>
      </c>
      <c r="H79" s="23">
        <f>ROUND('PU Wise OWE'!$BC$127/10000,2)</f>
        <v>20.38</v>
      </c>
      <c r="I79" s="23">
        <f>ROUND('PU Wise OWE'!$BC$129/10000,2)</f>
        <v>21.07</v>
      </c>
      <c r="J79" s="94">
        <f t="shared" si="62"/>
        <v>2.4118589743589744E-3</v>
      </c>
      <c r="K79" s="22">
        <f t="shared" si="68"/>
        <v>-0.69000000000000128</v>
      </c>
      <c r="L79" s="24">
        <f t="shared" si="69"/>
        <v>-3.2747982914095933E-2</v>
      </c>
      <c r="M79" s="22">
        <f t="shared" si="63"/>
        <v>2.3599999999999994</v>
      </c>
      <c r="N79" s="52">
        <f t="shared" si="64"/>
        <v>0.1261357562800641</v>
      </c>
      <c r="O79" s="52">
        <f t="shared" si="65"/>
        <v>0.93727758007117434</v>
      </c>
      <c r="P79" s="155" t="s">
        <v>273</v>
      </c>
      <c r="Q79" s="162">
        <f t="shared" si="66"/>
        <v>25.284000000000002</v>
      </c>
      <c r="R79" s="68">
        <f t="shared" si="67"/>
        <v>2.804000000000002</v>
      </c>
    </row>
    <row r="80" spans="1:18" ht="52.9" customHeight="1">
      <c r="A80" s="23" t="s">
        <v>199</v>
      </c>
      <c r="B80" s="22">
        <v>16.95</v>
      </c>
      <c r="C80" s="70">
        <f>ROUND('PU Wise OWE'!$BD$128/10000,2)</f>
        <v>18.59</v>
      </c>
      <c r="D80" s="85">
        <f t="shared" si="60"/>
        <v>1.852346371832378E-3</v>
      </c>
      <c r="E80" s="23"/>
      <c r="F80" s="22">
        <f>ROUND('PU Wise OWE'!$BD$126/10000,2)</f>
        <v>22.35</v>
      </c>
      <c r="G80" s="24">
        <f t="shared" si="61"/>
        <v>1.9771552318977505E-3</v>
      </c>
      <c r="H80" s="23">
        <f>ROUND('PU Wise OWE'!$BD$127/10000,2)</f>
        <v>20.25</v>
      </c>
      <c r="I80" s="23">
        <f>ROUND('PU Wise OWE'!$BD$129/10000,2)</f>
        <v>21.07</v>
      </c>
      <c r="J80" s="94">
        <f t="shared" si="62"/>
        <v>2.4118589743589744E-3</v>
      </c>
      <c r="K80" s="22">
        <f t="shared" si="68"/>
        <v>-0.82000000000000028</v>
      </c>
      <c r="L80" s="24">
        <f t="shared" si="69"/>
        <v>-3.8917892738490757E-2</v>
      </c>
      <c r="M80" s="22">
        <f t="shared" si="63"/>
        <v>2.4800000000000004</v>
      </c>
      <c r="N80" s="52">
        <f t="shared" si="64"/>
        <v>0.13340505648197959</v>
      </c>
      <c r="O80" s="52">
        <f t="shared" si="65"/>
        <v>0.94272930648769571</v>
      </c>
      <c r="P80" s="155" t="s">
        <v>273</v>
      </c>
      <c r="Q80" s="162">
        <f t="shared" si="66"/>
        <v>25.284000000000002</v>
      </c>
      <c r="R80" s="68">
        <f t="shared" si="67"/>
        <v>2.9340000000000011</v>
      </c>
    </row>
    <row r="81" spans="1:18" ht="43.9" customHeight="1">
      <c r="A81" s="23" t="s">
        <v>200</v>
      </c>
      <c r="B81" s="22">
        <v>17.329999999999998</v>
      </c>
      <c r="C81" s="70">
        <f>ROUND('PU Wise OWE'!$BF$128/10000,2)</f>
        <v>24.12</v>
      </c>
      <c r="D81" s="85">
        <f t="shared" si="60"/>
        <v>2.4033671053575556E-3</v>
      </c>
      <c r="E81" s="23"/>
      <c r="F81" s="22">
        <f>ROUND('PU Wise OWE'!$BF$126/10000,2)</f>
        <v>29.81</v>
      </c>
      <c r="G81" s="24">
        <f t="shared" si="61"/>
        <v>2.6370916090770443E-3</v>
      </c>
      <c r="H81" s="23">
        <f>ROUND('PU Wise OWE'!$BF$127/10000,2)</f>
        <v>25.49</v>
      </c>
      <c r="I81" s="23">
        <f>ROUND('PU Wise OWE'!$BF$129/10000,2)</f>
        <v>20.27</v>
      </c>
      <c r="J81" s="94">
        <f t="shared" si="62"/>
        <v>2.3202838827838827E-3</v>
      </c>
      <c r="K81" s="22">
        <f t="shared" si="68"/>
        <v>5.2199999999999989</v>
      </c>
      <c r="L81" s="24">
        <f t="shared" si="69"/>
        <v>0.2575234336457819</v>
      </c>
      <c r="M81" s="22">
        <f t="shared" si="63"/>
        <v>-3.8500000000000014</v>
      </c>
      <c r="N81" s="52">
        <f t="shared" si="64"/>
        <v>-0.15961857379767833</v>
      </c>
      <c r="O81" s="52">
        <f t="shared" si="65"/>
        <v>0.67997316336799729</v>
      </c>
      <c r="P81" s="155" t="s">
        <v>273</v>
      </c>
      <c r="Q81" s="162">
        <f t="shared" si="66"/>
        <v>24.324000000000002</v>
      </c>
      <c r="R81" s="68">
        <f t="shared" si="67"/>
        <v>-5.4859999999999971</v>
      </c>
    </row>
    <row r="82" spans="1:18" ht="15.75">
      <c r="A82" s="23" t="s">
        <v>201</v>
      </c>
      <c r="B82" s="22">
        <v>166.71</v>
      </c>
      <c r="C82" s="70">
        <f>ROUND('PU Wise OWE'!$BG$128/10000,2)-ROUND('PU Wise OWE'!$BG$117/10000,2)</f>
        <v>243.15999999999985</v>
      </c>
      <c r="D82" s="85">
        <f t="shared" si="60"/>
        <v>2.4228969541407252E-2</v>
      </c>
      <c r="E82" s="23"/>
      <c r="F82" s="22">
        <f>ROUND('PU Wise OWE'!$BG$126/10000,2)-ROUND('PU Wise OWE'!$BG$115/10000,2)</f>
        <v>308.8799999999992</v>
      </c>
      <c r="G82" s="24">
        <f t="shared" si="61"/>
        <v>2.7324550694790853E-2</v>
      </c>
      <c r="H82" s="23">
        <f>ROUND('PU Wise OWE'!$BG$127/10000,2)-ROUND('PU Wise OWE'!$BG$116/10000,2)</f>
        <v>261.99</v>
      </c>
      <c r="I82" s="23">
        <f>ROUND('PU Wise OWE'!$BG$129/10000,2)-ROUND('PU Wise OWE'!$BG$118/10000,2)</f>
        <v>208.86999999999989</v>
      </c>
      <c r="J82" s="94">
        <f t="shared" si="62"/>
        <v>2.3909111721611708E-2</v>
      </c>
      <c r="K82" s="22">
        <f t="shared" si="68"/>
        <v>53.120000000000118</v>
      </c>
      <c r="L82" s="24">
        <f t="shared" si="69"/>
        <v>0.25432086944032245</v>
      </c>
      <c r="M82" s="22">
        <f t="shared" si="63"/>
        <v>-34.289999999999964</v>
      </c>
      <c r="N82" s="52">
        <f t="shared" si="64"/>
        <v>-0.14101825958216804</v>
      </c>
      <c r="O82" s="52">
        <f t="shared" si="65"/>
        <v>0.67621730121730261</v>
      </c>
      <c r="P82" s="155"/>
      <c r="Q82" s="162">
        <f t="shared" si="66"/>
        <v>250.64399999999989</v>
      </c>
      <c r="R82" s="166">
        <f t="shared" si="67"/>
        <v>-58.235999999999308</v>
      </c>
    </row>
    <row r="83" spans="1:18" s="36" customFormat="1">
      <c r="A83" s="25" t="s">
        <v>128</v>
      </c>
      <c r="B83" s="26">
        <f>SUM(B77:B82)</f>
        <v>221.59</v>
      </c>
      <c r="C83" s="74">
        <f>SUM(C77:C82)</f>
        <v>308.32999999999987</v>
      </c>
      <c r="D83" s="86">
        <f t="shared" si="60"/>
        <v>3.0722644261811559E-2</v>
      </c>
      <c r="E83" s="25"/>
      <c r="F83" s="74">
        <f>SUM(F77:F82)</f>
        <v>386.95999999999918</v>
      </c>
      <c r="G83" s="54">
        <f t="shared" si="61"/>
        <v>3.4231766824839013E-2</v>
      </c>
      <c r="H83" s="74">
        <f>SUM(H77:H82)</f>
        <v>332.48</v>
      </c>
      <c r="I83" s="74">
        <f>SUM(I77:I82)</f>
        <v>274.7299999999999</v>
      </c>
      <c r="J83" s="54">
        <f t="shared" si="62"/>
        <v>3.1448031135531122E-2</v>
      </c>
      <c r="K83" s="26">
        <f t="shared" si="68"/>
        <v>57.750000000000114</v>
      </c>
      <c r="L83" s="54">
        <f t="shared" si="69"/>
        <v>0.21020638445018794</v>
      </c>
      <c r="M83" s="26">
        <f t="shared" si="63"/>
        <v>-33.599999999999966</v>
      </c>
      <c r="N83" s="55">
        <f t="shared" si="64"/>
        <v>-0.10897415107190342</v>
      </c>
      <c r="O83" s="25"/>
      <c r="P83" s="153"/>
      <c r="Q83" s="74">
        <f>SUM(Q77:Q82)</f>
        <v>329.67599999999993</v>
      </c>
      <c r="R83" s="74">
        <f>SUM(R77:R82)</f>
        <v>-57.283999999999303</v>
      </c>
    </row>
    <row r="84" spans="1:18">
      <c r="Q84" s="163"/>
    </row>
    <row r="85" spans="1:18" s="36" customFormat="1" ht="30">
      <c r="A85" s="93" t="s">
        <v>202</v>
      </c>
      <c r="B85" s="112">
        <v>5247.44</v>
      </c>
      <c r="C85" s="74">
        <f>C37+C49+C54+C56+C64+C69+C74+C83</f>
        <v>4846.88</v>
      </c>
      <c r="D85" s="86">
        <f t="shared" ref="D85" si="70">C85/$C$7</f>
        <v>0.48295323199068946</v>
      </c>
      <c r="E85" s="25"/>
      <c r="F85" s="74">
        <f>F37+F49+F54+F56+F64+F69+F74+F83</f>
        <v>5056.1799999999994</v>
      </c>
      <c r="G85" s="54">
        <f t="shared" ref="G85" si="71">F85/$F$7</f>
        <v>0.44728647608128708</v>
      </c>
      <c r="H85" s="74">
        <f>H37+H49+H54+H56+H64+H69+H74+H83</f>
        <v>4698.380000000001</v>
      </c>
      <c r="I85" s="74">
        <f>I37+I49+I54+I56+I64+I69+I74+I83</f>
        <v>3005.23</v>
      </c>
      <c r="J85" s="54">
        <f t="shared" si="62"/>
        <v>0.34400526556776556</v>
      </c>
      <c r="K85" s="26">
        <f t="shared" ref="K85" si="72">H85-I85</f>
        <v>1693.150000000001</v>
      </c>
      <c r="L85" s="54">
        <f t="shared" ref="L85" si="73">K85/I85</f>
        <v>0.56340113735055253</v>
      </c>
      <c r="M85" s="26">
        <f>I85-C85</f>
        <v>-1841.65</v>
      </c>
      <c r="N85" s="55">
        <f>M85/C85</f>
        <v>-0.37996608127290132</v>
      </c>
      <c r="O85" s="52">
        <f t="shared" ref="O85" si="74">I85/F85</f>
        <v>0.59436768469476964</v>
      </c>
      <c r="P85" s="153"/>
      <c r="Q85" s="74">
        <f>Q37+Q49+Q54+Q56+Q64+Q69+Q74+Q83</f>
        <v>2423.9319999999998</v>
      </c>
      <c r="R85" s="166">
        <f>Q85-F85</f>
        <v>-2632.2479999999996</v>
      </c>
    </row>
    <row r="86" spans="1:18">
      <c r="Q86" s="163"/>
    </row>
    <row r="87" spans="1:18" s="146" customFormat="1">
      <c r="A87" s="77"/>
      <c r="B87" s="396" t="s">
        <v>293</v>
      </c>
      <c r="C87" s="401" t="s">
        <v>302</v>
      </c>
      <c r="D87" s="396" t="s">
        <v>171</v>
      </c>
      <c r="E87" s="396"/>
      <c r="F87" s="430" t="s">
        <v>304</v>
      </c>
      <c r="G87" s="396" t="s">
        <v>306</v>
      </c>
      <c r="H87" s="150"/>
      <c r="I87" s="401" t="s">
        <v>303</v>
      </c>
      <c r="J87" s="396" t="s">
        <v>203</v>
      </c>
      <c r="K87" s="150"/>
      <c r="L87" s="150"/>
      <c r="M87" s="368" t="s">
        <v>145</v>
      </c>
      <c r="N87" s="368"/>
      <c r="O87" s="369" t="s">
        <v>305</v>
      </c>
      <c r="Q87" s="163"/>
    </row>
    <row r="88" spans="1:18" s="146" customFormat="1">
      <c r="A88" s="133" t="s">
        <v>251</v>
      </c>
      <c r="B88" s="397"/>
      <c r="C88" s="397"/>
      <c r="D88" s="397"/>
      <c r="E88" s="397"/>
      <c r="F88" s="431"/>
      <c r="G88" s="397"/>
      <c r="H88" s="151"/>
      <c r="I88" s="438"/>
      <c r="J88" s="397"/>
      <c r="K88" s="151"/>
      <c r="L88" s="151"/>
      <c r="M88" s="79" t="s">
        <v>143</v>
      </c>
      <c r="N88" s="80" t="s">
        <v>144</v>
      </c>
      <c r="O88" s="369"/>
      <c r="Q88" s="163"/>
    </row>
    <row r="89" spans="1:18" s="146" customFormat="1" ht="15.75">
      <c r="A89" s="23" t="s">
        <v>252</v>
      </c>
      <c r="B89" s="23">
        <v>0</v>
      </c>
      <c r="C89" s="147">
        <v>0</v>
      </c>
      <c r="D89" s="85">
        <f t="shared" ref="D89:D102" si="75">C89/$C$7</f>
        <v>0</v>
      </c>
      <c r="E89" s="23"/>
      <c r="F89" s="22">
        <v>0.69</v>
      </c>
      <c r="G89" s="24">
        <f t="shared" ref="G89:G102" si="76">F89/$F$7</f>
        <v>6.1039691723017796E-5</v>
      </c>
      <c r="H89" s="24"/>
      <c r="I89" s="23">
        <v>0</v>
      </c>
      <c r="J89" s="94">
        <f t="shared" ref="J89:J102" si="77">I89/$I$7</f>
        <v>0</v>
      </c>
      <c r="K89" s="94"/>
      <c r="L89" s="94"/>
      <c r="M89" s="22">
        <f>I89-C89</f>
        <v>0</v>
      </c>
      <c r="N89" s="52">
        <v>0</v>
      </c>
      <c r="O89" s="52">
        <f t="shared" ref="O89:O102" si="78">I89/F89</f>
        <v>0</v>
      </c>
      <c r="Q89" s="162"/>
    </row>
    <row r="90" spans="1:18" s="146" customFormat="1" ht="15.75">
      <c r="A90" s="23" t="s">
        <v>253</v>
      </c>
      <c r="B90" s="23">
        <v>33.630000000000003</v>
      </c>
      <c r="C90" s="148">
        <v>1.86</v>
      </c>
      <c r="D90" s="85">
        <f t="shared" si="75"/>
        <v>1.8533427926886625E-4</v>
      </c>
      <c r="E90" s="23"/>
      <c r="F90" s="22">
        <v>33.28</v>
      </c>
      <c r="G90" s="24">
        <f t="shared" si="76"/>
        <v>2.9440593341188877E-3</v>
      </c>
      <c r="H90" s="24"/>
      <c r="I90" s="22">
        <v>2.77</v>
      </c>
      <c r="J90" s="94">
        <f t="shared" si="77"/>
        <v>3.1707875457875456E-4</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263</v>
      </c>
      <c r="B91" s="23">
        <v>7.44</v>
      </c>
      <c r="C91" s="148">
        <v>0.04</v>
      </c>
      <c r="D91" s="85">
        <f t="shared" si="75"/>
        <v>3.9856834251369086E-6</v>
      </c>
      <c r="E91" s="23"/>
      <c r="F91" s="22">
        <v>0.53</v>
      </c>
      <c r="G91" s="24">
        <f t="shared" si="76"/>
        <v>4.6885560308984691E-5</v>
      </c>
      <c r="H91" s="24"/>
      <c r="I91" s="22">
        <v>0</v>
      </c>
      <c r="J91" s="94">
        <f t="shared" si="77"/>
        <v>0</v>
      </c>
      <c r="K91" s="94"/>
      <c r="L91" s="94"/>
      <c r="M91" s="22">
        <f t="shared" si="79"/>
        <v>-0.04</v>
      </c>
      <c r="N91" s="52">
        <f t="shared" si="80"/>
        <v>-1</v>
      </c>
      <c r="O91" s="52">
        <f t="shared" si="78"/>
        <v>0</v>
      </c>
      <c r="Q91" s="162"/>
    </row>
    <row r="92" spans="1:18" s="146" customFormat="1" ht="15.75">
      <c r="A92" s="149" t="s">
        <v>254</v>
      </c>
      <c r="B92" s="25">
        <f>SUM(B89:B91)</f>
        <v>41.07</v>
      </c>
      <c r="C92" s="25">
        <f>SUM(C89:C91)</f>
        <v>1.9000000000000001</v>
      </c>
      <c r="D92" s="86">
        <f t="shared" si="75"/>
        <v>1.8931996269400315E-4</v>
      </c>
      <c r="E92" s="25">
        <f t="shared" ref="E92:F92" si="81">SUM(E89:E90)</f>
        <v>0</v>
      </c>
      <c r="F92" s="26">
        <f t="shared" si="81"/>
        <v>33.97</v>
      </c>
      <c r="G92" s="54">
        <f t="shared" si="76"/>
        <v>3.0050990258419052E-3</v>
      </c>
      <c r="H92" s="54"/>
      <c r="I92" s="26">
        <f>SUM(I89:I91)</f>
        <v>2.77</v>
      </c>
      <c r="J92" s="54">
        <f t="shared" si="77"/>
        <v>3.1707875457875456E-4</v>
      </c>
      <c r="K92" s="54"/>
      <c r="L92" s="54"/>
      <c r="M92" s="26">
        <f t="shared" si="79"/>
        <v>0.86999999999999988</v>
      </c>
      <c r="N92" s="55">
        <f t="shared" si="80"/>
        <v>0.45789473684210519</v>
      </c>
      <c r="O92" s="55">
        <f t="shared" si="78"/>
        <v>8.1542537533117465E-2</v>
      </c>
      <c r="Q92" s="162"/>
    </row>
    <row r="93" spans="1:18" s="146" customFormat="1" ht="15.75">
      <c r="A93" s="23" t="s">
        <v>255</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256</v>
      </c>
      <c r="B94" s="25">
        <v>13.17</v>
      </c>
      <c r="C94" s="148">
        <v>0.17</v>
      </c>
      <c r="D94" s="85">
        <f t="shared" si="75"/>
        <v>1.6939154556831859E-5</v>
      </c>
      <c r="E94" s="23"/>
      <c r="F94" s="22">
        <v>14.55</v>
      </c>
      <c r="G94" s="24">
        <f t="shared" si="76"/>
        <v>1.2871413254636362E-3</v>
      </c>
      <c r="H94" s="24"/>
      <c r="I94" s="22">
        <v>3.38</v>
      </c>
      <c r="J94" s="94">
        <f t="shared" si="77"/>
        <v>3.8690476190476192E-4</v>
      </c>
      <c r="K94" s="94"/>
      <c r="L94" s="94"/>
      <c r="M94" s="22">
        <f t="shared" si="79"/>
        <v>3.21</v>
      </c>
      <c r="N94" s="52">
        <f t="shared" si="80"/>
        <v>18.882352941176467</v>
      </c>
      <c r="O94" s="52">
        <f t="shared" si="78"/>
        <v>0.23230240549828177</v>
      </c>
      <c r="Q94" s="162"/>
    </row>
    <row r="95" spans="1:18" s="146" customFormat="1" ht="15.75">
      <c r="A95" s="23" t="s">
        <v>264</v>
      </c>
      <c r="B95" s="25">
        <v>-0.3</v>
      </c>
      <c r="C95" s="148">
        <v>0</v>
      </c>
      <c r="D95" s="85">
        <f t="shared" si="75"/>
        <v>0</v>
      </c>
      <c r="E95" s="23"/>
      <c r="F95" s="22">
        <v>0.05</v>
      </c>
      <c r="G95" s="24">
        <f t="shared" si="76"/>
        <v>4.4231660668853483E-6</v>
      </c>
      <c r="H95" s="24"/>
      <c r="I95" s="22">
        <v>0</v>
      </c>
      <c r="J95" s="94">
        <f t="shared" si="77"/>
        <v>0</v>
      </c>
      <c r="K95" s="94"/>
      <c r="L95" s="94"/>
      <c r="M95" s="22">
        <f t="shared" si="79"/>
        <v>0</v>
      </c>
      <c r="N95" s="52">
        <v>0</v>
      </c>
      <c r="O95" s="52">
        <f t="shared" si="78"/>
        <v>0</v>
      </c>
      <c r="Q95" s="162"/>
    </row>
    <row r="96" spans="1:18" s="146" customFormat="1" ht="15.75">
      <c r="A96" s="149" t="s">
        <v>257</v>
      </c>
      <c r="B96" s="25">
        <f>SUM(B93:B95)</f>
        <v>12.87</v>
      </c>
      <c r="C96" s="25">
        <f>SUM(C93:C95)</f>
        <v>0.17</v>
      </c>
      <c r="D96" s="86">
        <f t="shared" si="75"/>
        <v>1.6939154556831859E-5</v>
      </c>
      <c r="E96" s="25">
        <f t="shared" ref="E96" si="82">SUM(E93:E94)</f>
        <v>0</v>
      </c>
      <c r="F96" s="26">
        <f>SUM(F93:F95)</f>
        <v>14.600000000000001</v>
      </c>
      <c r="G96" s="54">
        <f t="shared" si="76"/>
        <v>1.2915644915305216E-3</v>
      </c>
      <c r="H96" s="54"/>
      <c r="I96" s="26">
        <f>SUM(I93:I95)</f>
        <v>3.38</v>
      </c>
      <c r="J96" s="54">
        <f t="shared" si="77"/>
        <v>3.8690476190476192E-4</v>
      </c>
      <c r="K96" s="54"/>
      <c r="L96" s="54"/>
      <c r="M96" s="26">
        <f t="shared" si="79"/>
        <v>3.21</v>
      </c>
      <c r="N96" s="55">
        <f t="shared" si="80"/>
        <v>18.882352941176467</v>
      </c>
      <c r="O96" s="55">
        <f t="shared" si="78"/>
        <v>0.23150684931506846</v>
      </c>
      <c r="Q96" s="162"/>
    </row>
    <row r="97" spans="1:17" s="146" customFormat="1" ht="15.75">
      <c r="A97" s="23" t="s">
        <v>258</v>
      </c>
      <c r="B97" s="26">
        <v>24.12</v>
      </c>
      <c r="C97" s="148">
        <v>1.61</v>
      </c>
      <c r="D97" s="85">
        <f t="shared" si="75"/>
        <v>1.6042375786176058E-4</v>
      </c>
      <c r="E97" s="23"/>
      <c r="F97" s="22">
        <v>17.600000000000001</v>
      </c>
      <c r="G97" s="24">
        <f t="shared" si="76"/>
        <v>1.5569544555436425E-3</v>
      </c>
      <c r="H97" s="24"/>
      <c r="I97" s="22">
        <v>0.15</v>
      </c>
      <c r="J97" s="94">
        <f t="shared" si="77"/>
        <v>1.717032967032967E-5</v>
      </c>
      <c r="K97" s="94"/>
      <c r="L97" s="94"/>
      <c r="M97" s="22">
        <f t="shared" si="79"/>
        <v>-1.4600000000000002</v>
      </c>
      <c r="N97" s="52">
        <f t="shared" si="80"/>
        <v>-0.90683229813664601</v>
      </c>
      <c r="O97" s="52">
        <f t="shared" si="78"/>
        <v>8.5227272727272721E-3</v>
      </c>
      <c r="Q97" s="162"/>
    </row>
    <row r="98" spans="1:17" s="146" customFormat="1" ht="15.75">
      <c r="A98" s="23" t="s">
        <v>259</v>
      </c>
      <c r="B98" s="25">
        <v>145.66</v>
      </c>
      <c r="C98" s="148">
        <v>4.3499999999999996</v>
      </c>
      <c r="D98" s="85">
        <f t="shared" si="75"/>
        <v>4.3344307248363871E-4</v>
      </c>
      <c r="E98" s="23"/>
      <c r="F98" s="22">
        <v>11.56</v>
      </c>
      <c r="G98" s="24">
        <f t="shared" si="76"/>
        <v>1.0226359946638925E-3</v>
      </c>
      <c r="H98" s="24"/>
      <c r="I98" s="22">
        <v>6.27</v>
      </c>
      <c r="J98" s="94">
        <f t="shared" si="77"/>
        <v>7.1771978021978019E-4</v>
      </c>
      <c r="K98" s="94"/>
      <c r="L98" s="94"/>
      <c r="M98" s="22">
        <f t="shared" si="79"/>
        <v>1.92</v>
      </c>
      <c r="N98" s="52">
        <f t="shared" si="80"/>
        <v>0.44137931034482758</v>
      </c>
      <c r="O98" s="52">
        <f t="shared" si="78"/>
        <v>0.54238754325259508</v>
      </c>
      <c r="Q98" s="162"/>
    </row>
    <row r="99" spans="1:17" s="146" customFormat="1" ht="15.75">
      <c r="A99" s="149" t="s">
        <v>260</v>
      </c>
      <c r="B99" s="25">
        <f t="shared" ref="B99:I102" si="83">SUM(B97:B98)</f>
        <v>169.78</v>
      </c>
      <c r="C99" s="26">
        <f t="shared" si="83"/>
        <v>5.96</v>
      </c>
      <c r="D99" s="86">
        <f t="shared" si="75"/>
        <v>5.9386683034539929E-4</v>
      </c>
      <c r="E99" s="25">
        <f t="shared" si="83"/>
        <v>0</v>
      </c>
      <c r="F99" s="26">
        <f t="shared" si="83"/>
        <v>29.160000000000004</v>
      </c>
      <c r="G99" s="54">
        <f t="shared" si="76"/>
        <v>2.579590450207535E-3</v>
      </c>
      <c r="H99" s="54"/>
      <c r="I99" s="26">
        <f t="shared" si="83"/>
        <v>6.42</v>
      </c>
      <c r="J99" s="54">
        <f t="shared" si="77"/>
        <v>7.348901098901099E-4</v>
      </c>
      <c r="K99" s="54"/>
      <c r="L99" s="54"/>
      <c r="M99" s="26">
        <f t="shared" si="79"/>
        <v>0.45999999999999996</v>
      </c>
      <c r="N99" s="55">
        <f t="shared" si="80"/>
        <v>7.7181208053691275E-2</v>
      </c>
      <c r="O99" s="55">
        <f t="shared" si="78"/>
        <v>0.22016460905349791</v>
      </c>
      <c r="Q99" s="162"/>
    </row>
    <row r="100" spans="1:17" s="146" customFormat="1" ht="15.75">
      <c r="A100" s="23" t="s">
        <v>261</v>
      </c>
      <c r="B100" s="26">
        <v>12.31</v>
      </c>
      <c r="C100" s="148">
        <v>4.28</v>
      </c>
      <c r="D100" s="85">
        <f t="shared" si="75"/>
        <v>4.2646812648964921E-4</v>
      </c>
      <c r="E100" s="23"/>
      <c r="F100" s="22">
        <v>13.17</v>
      </c>
      <c r="G100" s="24">
        <f t="shared" si="76"/>
        <v>1.1650619420176006E-3</v>
      </c>
      <c r="H100" s="24"/>
      <c r="I100" s="22">
        <v>1.93</v>
      </c>
      <c r="J100" s="94">
        <f t="shared" si="77"/>
        <v>2.209249084249084E-4</v>
      </c>
      <c r="K100" s="94"/>
      <c r="L100" s="94"/>
      <c r="M100" s="22">
        <f t="shared" si="79"/>
        <v>-2.3500000000000005</v>
      </c>
      <c r="N100" s="52">
        <f t="shared" si="80"/>
        <v>-0.54906542056074781</v>
      </c>
      <c r="O100" s="52">
        <f t="shared" si="78"/>
        <v>0.14654517843583903</v>
      </c>
      <c r="Q100" s="162"/>
    </row>
    <row r="101" spans="1:17" s="146" customFormat="1" ht="15.75">
      <c r="A101" s="23" t="s">
        <v>262</v>
      </c>
      <c r="B101" s="25">
        <v>101.34</v>
      </c>
      <c r="C101" s="148">
        <v>1.64</v>
      </c>
      <c r="D101" s="85">
        <f t="shared" si="75"/>
        <v>1.6341302043061323E-4</v>
      </c>
      <c r="E101" s="23"/>
      <c r="F101" s="22">
        <v>65.03</v>
      </c>
      <c r="G101" s="24">
        <f t="shared" si="76"/>
        <v>5.7527697865910835E-3</v>
      </c>
      <c r="H101" s="24"/>
      <c r="I101" s="22">
        <v>5.95</v>
      </c>
      <c r="J101" s="94">
        <f t="shared" si="77"/>
        <v>6.8108974358974366E-4</v>
      </c>
      <c r="K101" s="94"/>
      <c r="L101" s="94"/>
      <c r="M101" s="22">
        <f t="shared" si="79"/>
        <v>4.3100000000000005</v>
      </c>
      <c r="N101" s="52">
        <f t="shared" si="80"/>
        <v>2.6280487804878052</v>
      </c>
      <c r="O101" s="52">
        <f t="shared" si="78"/>
        <v>9.1496232508073191E-2</v>
      </c>
      <c r="Q101" s="162"/>
    </row>
    <row r="102" spans="1:17" s="146" customFormat="1" ht="15.75">
      <c r="A102" s="149" t="s">
        <v>292</v>
      </c>
      <c r="B102" s="25">
        <f t="shared" si="83"/>
        <v>113.65</v>
      </c>
      <c r="C102" s="26">
        <f t="shared" si="83"/>
        <v>5.92</v>
      </c>
      <c r="D102" s="86">
        <f t="shared" si="75"/>
        <v>5.8988114692026241E-4</v>
      </c>
      <c r="E102" s="25">
        <f t="shared" si="83"/>
        <v>0</v>
      </c>
      <c r="F102" s="26">
        <f t="shared" si="83"/>
        <v>78.2</v>
      </c>
      <c r="G102" s="54">
        <f t="shared" si="76"/>
        <v>6.917831728608684E-3</v>
      </c>
      <c r="H102" s="54"/>
      <c r="I102" s="26">
        <f t="shared" si="83"/>
        <v>7.88</v>
      </c>
      <c r="J102" s="54">
        <f t="shared" si="77"/>
        <v>9.0201465201465204E-4</v>
      </c>
      <c r="K102" s="54"/>
      <c r="L102" s="54"/>
      <c r="M102" s="26">
        <f t="shared" si="79"/>
        <v>1.96</v>
      </c>
      <c r="N102" s="55">
        <f t="shared" si="80"/>
        <v>0.33108108108108109</v>
      </c>
      <c r="O102" s="55">
        <f t="shared" si="78"/>
        <v>0.10076726342710997</v>
      </c>
      <c r="Q102" s="162"/>
    </row>
    <row r="103" spans="1:17">
      <c r="Q103" s="163"/>
    </row>
    <row r="104" spans="1:17">
      <c r="A104" s="77"/>
      <c r="B104" s="396" t="s">
        <v>293</v>
      </c>
      <c r="C104" s="401" t="str">
        <f>'PU Wise OWE'!$B$7</f>
        <v>Actuals upto Feb-23</v>
      </c>
      <c r="D104" s="396" t="s">
        <v>171</v>
      </c>
      <c r="E104" s="396"/>
      <c r="F104" s="430" t="str">
        <f>'PU Wise OWE'!$B$5</f>
        <v>RG 2023-24</v>
      </c>
      <c r="G104" s="396" t="s">
        <v>306</v>
      </c>
      <c r="H104" s="150"/>
      <c r="I104" s="401" t="str">
        <f>I40</f>
        <v>Actuals upto Feb-24</v>
      </c>
      <c r="J104" s="396" t="s">
        <v>203</v>
      </c>
      <c r="K104" s="150"/>
      <c r="L104" s="150"/>
      <c r="M104" s="368" t="s">
        <v>145</v>
      </c>
      <c r="N104" s="368"/>
      <c r="O104" s="369" t="s">
        <v>305</v>
      </c>
      <c r="Q104" s="163"/>
    </row>
    <row r="105" spans="1:17">
      <c r="A105" s="133" t="s">
        <v>189</v>
      </c>
      <c r="B105" s="397"/>
      <c r="C105" s="397"/>
      <c r="D105" s="397"/>
      <c r="E105" s="397"/>
      <c r="F105" s="431"/>
      <c r="G105" s="397"/>
      <c r="H105" s="151"/>
      <c r="I105" s="397"/>
      <c r="J105" s="397"/>
      <c r="K105" s="151"/>
      <c r="L105" s="151"/>
      <c r="M105" s="79" t="s">
        <v>143</v>
      </c>
      <c r="N105" s="80" t="s">
        <v>144</v>
      </c>
      <c r="O105" s="369"/>
      <c r="Q105" s="163"/>
    </row>
    <row r="106" spans="1:17" ht="15.75">
      <c r="A106" s="23" t="s">
        <v>215</v>
      </c>
      <c r="B106" s="23">
        <v>305.92</v>
      </c>
      <c r="C106" s="109">
        <v>19.18</v>
      </c>
      <c r="D106" s="85">
        <f t="shared" ref="D106:D109" si="84">C106/$C$7</f>
        <v>1.9111352023531475E-3</v>
      </c>
      <c r="E106" s="23"/>
      <c r="F106" s="20">
        <v>115.89</v>
      </c>
      <c r="G106" s="24">
        <f t="shared" ref="G106:G109" si="85">F106/$F$7</f>
        <v>1.0252014309826859E-2</v>
      </c>
      <c r="H106" s="24"/>
      <c r="I106" s="105">
        <v>28.26</v>
      </c>
      <c r="J106" s="94">
        <f t="shared" ref="J106:J109" si="86">I106/$I$7</f>
        <v>3.2348901098901103E-3</v>
      </c>
      <c r="K106" s="94"/>
      <c r="L106" s="94"/>
      <c r="M106" s="22">
        <f>I106-C106</f>
        <v>9.0800000000000018</v>
      </c>
      <c r="N106" s="52">
        <f>M106/C106</f>
        <v>0.47340980187695525</v>
      </c>
      <c r="O106" s="52">
        <f t="shared" ref="O106:O109" si="87">I106/F106</f>
        <v>0.24385192855293814</v>
      </c>
      <c r="Q106" s="162"/>
    </row>
    <row r="107" spans="1:17" ht="15.75">
      <c r="A107" s="23" t="s">
        <v>214</v>
      </c>
      <c r="B107" s="23">
        <v>266.58999999999997</v>
      </c>
      <c r="C107" s="81">
        <v>27.95</v>
      </c>
      <c r="D107" s="85">
        <f t="shared" si="84"/>
        <v>2.7849962933144145E-3</v>
      </c>
      <c r="E107" s="23"/>
      <c r="F107" s="105">
        <v>750</v>
      </c>
      <c r="G107" s="24">
        <f t="shared" si="85"/>
        <v>6.6347491003280218E-2</v>
      </c>
      <c r="H107" s="24"/>
      <c r="I107" s="105">
        <v>40.58</v>
      </c>
      <c r="J107" s="94">
        <f t="shared" si="86"/>
        <v>4.6451465201465198E-3</v>
      </c>
      <c r="K107" s="94"/>
      <c r="L107" s="94"/>
      <c r="M107" s="22">
        <f t="shared" ref="M107:M109" si="88">I107-C107</f>
        <v>12.629999999999999</v>
      </c>
      <c r="N107" s="52">
        <f t="shared" ref="N107:N109" si="89">M107/C107</f>
        <v>0.45187835420393557</v>
      </c>
      <c r="O107" s="52">
        <f t="shared" si="87"/>
        <v>5.4106666666666664E-2</v>
      </c>
      <c r="Q107" s="162"/>
    </row>
    <row r="108" spans="1:17" ht="15.75">
      <c r="A108" s="87" t="s">
        <v>213</v>
      </c>
      <c r="B108" s="23">
        <v>544.78</v>
      </c>
      <c r="C108" s="81">
        <v>165.44</v>
      </c>
      <c r="D108" s="85">
        <f t="shared" si="84"/>
        <v>1.6484786646366253E-2</v>
      </c>
      <c r="E108" s="23"/>
      <c r="F108" s="105">
        <v>676.5</v>
      </c>
      <c r="G108" s="24">
        <f t="shared" si="85"/>
        <v>5.9845436884958754E-2</v>
      </c>
      <c r="H108" s="24"/>
      <c r="I108" s="20">
        <v>301.26</v>
      </c>
      <c r="J108" s="94">
        <f t="shared" si="86"/>
        <v>3.4484890109890108E-2</v>
      </c>
      <c r="K108" s="94"/>
      <c r="L108" s="94"/>
      <c r="M108" s="22">
        <f t="shared" si="88"/>
        <v>135.82</v>
      </c>
      <c r="N108" s="52">
        <f t="shared" si="89"/>
        <v>0.82096228239845259</v>
      </c>
      <c r="O108" s="52">
        <f t="shared" si="87"/>
        <v>0.44532150776053214</v>
      </c>
      <c r="Q108" s="162"/>
    </row>
    <row r="109" spans="1:17" ht="15.75">
      <c r="A109" s="25" t="s">
        <v>128</v>
      </c>
      <c r="B109" s="25">
        <f>SUM(B106:B108)</f>
        <v>1117.29</v>
      </c>
      <c r="C109" s="138">
        <f>+C106+C107+C108</f>
        <v>212.57</v>
      </c>
      <c r="D109" s="86">
        <f t="shared" si="84"/>
        <v>2.1180918142033815E-2</v>
      </c>
      <c r="E109" s="25"/>
      <c r="F109" s="138">
        <f>+F106+F107+F108</f>
        <v>1542.3899999999999</v>
      </c>
      <c r="G109" s="54">
        <f t="shared" si="85"/>
        <v>0.13644494219806583</v>
      </c>
      <c r="H109" s="54"/>
      <c r="I109" s="104">
        <f>SUM(I106:I108)</f>
        <v>370.1</v>
      </c>
      <c r="J109" s="54">
        <f t="shared" si="86"/>
        <v>4.2364926739926742E-2</v>
      </c>
      <c r="K109" s="54"/>
      <c r="L109" s="54"/>
      <c r="M109" s="26">
        <f t="shared" si="88"/>
        <v>157.53000000000003</v>
      </c>
      <c r="N109" s="55">
        <f t="shared" si="89"/>
        <v>0.74107352871995125</v>
      </c>
      <c r="O109" s="55">
        <f t="shared" si="87"/>
        <v>0.23995228184830039</v>
      </c>
      <c r="Q109" s="162"/>
    </row>
    <row r="110" spans="1:17">
      <c r="C110" s="136"/>
      <c r="Q110" s="163"/>
    </row>
    <row r="111" spans="1:17">
      <c r="A111" s="133" t="s">
        <v>216</v>
      </c>
      <c r="B111" s="23"/>
      <c r="C111" s="81"/>
      <c r="D111" s="23"/>
      <c r="E111" s="23"/>
      <c r="F111" s="23"/>
      <c r="G111" s="23"/>
      <c r="H111" s="23"/>
      <c r="I111" s="23"/>
      <c r="J111" s="23"/>
      <c r="K111" s="23"/>
      <c r="L111" s="23"/>
      <c r="M111" s="23"/>
      <c r="N111" s="23"/>
      <c r="O111" s="23"/>
      <c r="Q111" s="163"/>
    </row>
    <row r="112" spans="1:17" ht="15.75">
      <c r="A112" s="23" t="s">
        <v>217</v>
      </c>
      <c r="B112" s="22">
        <v>28.69</v>
      </c>
      <c r="C112" s="109">
        <v>5.63</v>
      </c>
      <c r="D112" s="85">
        <f t="shared" ref="D112:D115" si="90">C112/$C$7</f>
        <v>5.6098494208801984E-4</v>
      </c>
      <c r="E112" s="23"/>
      <c r="F112" s="22">
        <v>27.91</v>
      </c>
      <c r="G112" s="24">
        <f t="shared" ref="G112:G115" si="91">F112/$F$7</f>
        <v>2.4690112985354009E-3</v>
      </c>
      <c r="H112" s="24"/>
      <c r="I112" s="23">
        <v>0.22</v>
      </c>
      <c r="J112" s="94">
        <f t="shared" ref="J112:J115" si="92">I112/$I$7</f>
        <v>2.5183150183150183E-5</v>
      </c>
      <c r="K112" s="94"/>
      <c r="L112" s="94"/>
      <c r="M112" s="22">
        <f>I112-C112</f>
        <v>-5.41</v>
      </c>
      <c r="N112" s="52">
        <f>M112/C112</f>
        <v>-0.96092362344582594</v>
      </c>
      <c r="O112" s="52">
        <f t="shared" ref="O112:O115" si="93">I112/F112</f>
        <v>7.8824793980652088E-3</v>
      </c>
      <c r="Q112" s="162"/>
    </row>
    <row r="113" spans="1:17" ht="15.75">
      <c r="A113" s="23" t="s">
        <v>218</v>
      </c>
      <c r="B113" s="22">
        <v>38.6</v>
      </c>
      <c r="C113" s="81">
        <v>2.54</v>
      </c>
      <c r="D113" s="85">
        <f t="shared" si="90"/>
        <v>2.5309089749619366E-4</v>
      </c>
      <c r="E113" s="23"/>
      <c r="F113" s="23">
        <v>33.72</v>
      </c>
      <c r="G113" s="24">
        <f t="shared" si="91"/>
        <v>2.9829831955074785E-3</v>
      </c>
      <c r="H113" s="24"/>
      <c r="I113" s="22">
        <v>0.11</v>
      </c>
      <c r="J113" s="94">
        <f t="shared" si="92"/>
        <v>1.2591575091575092E-5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219</v>
      </c>
      <c r="B114" s="23">
        <v>33.32</v>
      </c>
      <c r="C114" s="81">
        <v>2.81</v>
      </c>
      <c r="D114" s="85">
        <f t="shared" si="90"/>
        <v>2.799942606158678E-4</v>
      </c>
      <c r="E114" s="23"/>
      <c r="F114" s="23">
        <v>33.19</v>
      </c>
      <c r="G114" s="24">
        <f t="shared" si="91"/>
        <v>2.9360976351984936E-3</v>
      </c>
      <c r="H114" s="24"/>
      <c r="I114" s="22">
        <v>3.03</v>
      </c>
      <c r="J114" s="94">
        <f t="shared" si="92"/>
        <v>3.4684065934065933E-4</v>
      </c>
      <c r="K114" s="94"/>
      <c r="L114" s="94"/>
      <c r="M114" s="22">
        <f t="shared" si="94"/>
        <v>0.21999999999999975</v>
      </c>
      <c r="N114" s="52">
        <f t="shared" si="95"/>
        <v>7.8291814946619132E-2</v>
      </c>
      <c r="O114" s="52">
        <f t="shared" si="93"/>
        <v>9.1292557999397408E-2</v>
      </c>
      <c r="Q114" s="162"/>
    </row>
    <row r="115" spans="1:17" ht="15.75">
      <c r="A115" s="25" t="s">
        <v>128</v>
      </c>
      <c r="B115" s="26">
        <f>SUM(B112:B114)</f>
        <v>100.61000000000001</v>
      </c>
      <c r="C115" s="145">
        <f>SUM(C112:C114)</f>
        <v>10.98</v>
      </c>
      <c r="D115" s="86">
        <f t="shared" si="90"/>
        <v>1.0940701002000812E-3</v>
      </c>
      <c r="E115" s="25"/>
      <c r="F115" s="25">
        <f>SUM(F112:F114)</f>
        <v>94.82</v>
      </c>
      <c r="G115" s="54">
        <f t="shared" si="91"/>
        <v>8.3880921292413726E-3</v>
      </c>
      <c r="H115" s="54"/>
      <c r="I115" s="25">
        <f>SUM(I112:I114)</f>
        <v>3.36</v>
      </c>
      <c r="J115" s="54">
        <f t="shared" si="92"/>
        <v>3.8461538461538462E-4</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58" customWidth="1"/>
    <col min="5" max="5" width="15.7109375" customWidth="1"/>
    <col min="6" max="6" width="20.140625" customWidth="1"/>
    <col min="7" max="7" width="12.28515625" customWidth="1"/>
  </cols>
  <sheetData>
    <row r="2" spans="1:7" ht="18.75">
      <c r="A2" s="445" t="s">
        <v>326</v>
      </c>
      <c r="B2" s="446"/>
      <c r="C2" s="446"/>
      <c r="D2" s="446"/>
      <c r="E2" s="446"/>
      <c r="F2" s="446"/>
      <c r="G2" s="447"/>
    </row>
    <row r="3" spans="1:7" ht="37.5">
      <c r="A3" s="259" t="s">
        <v>318</v>
      </c>
      <c r="B3" s="259" t="s">
        <v>313</v>
      </c>
      <c r="C3" s="259" t="s">
        <v>0</v>
      </c>
      <c r="D3" s="259" t="s">
        <v>320</v>
      </c>
      <c r="E3" s="259" t="s">
        <v>314</v>
      </c>
      <c r="F3" s="260" t="s">
        <v>327</v>
      </c>
      <c r="G3" s="259" t="s">
        <v>315</v>
      </c>
    </row>
    <row r="4" spans="1:7" ht="18.75">
      <c r="A4" s="261">
        <v>1</v>
      </c>
      <c r="B4" s="261">
        <v>8</v>
      </c>
      <c r="C4" s="261">
        <v>30</v>
      </c>
      <c r="D4" s="265" t="s">
        <v>321</v>
      </c>
      <c r="E4" s="261">
        <v>77.03</v>
      </c>
      <c r="F4" s="261">
        <v>90.81</v>
      </c>
      <c r="G4" s="261">
        <f>F4-E4</f>
        <v>13.780000000000001</v>
      </c>
    </row>
    <row r="5" spans="1:7" ht="18.75">
      <c r="A5" s="261">
        <v>2</v>
      </c>
      <c r="B5" s="261">
        <v>10</v>
      </c>
      <c r="C5" s="261">
        <v>30</v>
      </c>
      <c r="D5" s="265" t="s">
        <v>322</v>
      </c>
      <c r="E5" s="261">
        <v>892.98</v>
      </c>
      <c r="F5" s="261">
        <v>1056.8599999999999</v>
      </c>
      <c r="G5" s="261">
        <f t="shared" ref="G5:G12" si="0">F5-E5</f>
        <v>163.87999999999988</v>
      </c>
    </row>
    <row r="6" spans="1:7" ht="18.75">
      <c r="A6" s="261">
        <v>3</v>
      </c>
      <c r="B6" s="261">
        <v>10</v>
      </c>
      <c r="C6" s="261">
        <v>27</v>
      </c>
      <c r="D6" s="265" t="s">
        <v>323</v>
      </c>
      <c r="E6" s="261">
        <v>47.29</v>
      </c>
      <c r="F6" s="261">
        <v>57.22</v>
      </c>
      <c r="G6" s="261">
        <f t="shared" si="0"/>
        <v>9.93</v>
      </c>
    </row>
    <row r="7" spans="1:7" s="258" customFormat="1" ht="18.75">
      <c r="A7" s="261">
        <v>4</v>
      </c>
      <c r="B7" s="261">
        <v>10</v>
      </c>
      <c r="C7" s="261">
        <v>41</v>
      </c>
      <c r="D7" s="265" t="s">
        <v>110</v>
      </c>
      <c r="E7" s="261">
        <v>15.97</v>
      </c>
      <c r="F7" s="261">
        <v>16.71</v>
      </c>
      <c r="G7" s="261">
        <f t="shared" si="0"/>
        <v>0.74000000000000021</v>
      </c>
    </row>
    <row r="8" spans="1:7" ht="18.75">
      <c r="A8" s="261">
        <v>5</v>
      </c>
      <c r="B8" s="261">
        <v>6</v>
      </c>
      <c r="C8" s="262" t="s">
        <v>319</v>
      </c>
      <c r="D8" s="265" t="s">
        <v>193</v>
      </c>
      <c r="E8" s="261">
        <v>138.44999999999999</v>
      </c>
      <c r="F8" s="261">
        <v>149.69999999999999</v>
      </c>
      <c r="G8" s="261">
        <f t="shared" si="0"/>
        <v>11.25</v>
      </c>
    </row>
    <row r="9" spans="1:7" ht="18.75">
      <c r="A9" s="261">
        <v>6</v>
      </c>
      <c r="B9" s="262" t="s">
        <v>328</v>
      </c>
      <c r="C9" s="261">
        <v>99</v>
      </c>
      <c r="D9" s="265" t="s">
        <v>324</v>
      </c>
      <c r="E9" s="261">
        <v>194.56</v>
      </c>
      <c r="F9" s="261">
        <v>200.26</v>
      </c>
      <c r="G9" s="263">
        <f t="shared" si="0"/>
        <v>5.6999999999999886</v>
      </c>
    </row>
    <row r="10" spans="1:7" ht="18.75">
      <c r="A10" s="261">
        <v>7</v>
      </c>
      <c r="B10" s="262" t="s">
        <v>317</v>
      </c>
      <c r="C10" s="261"/>
      <c r="D10" s="265"/>
      <c r="E10" s="261">
        <v>336.91</v>
      </c>
      <c r="F10" s="261">
        <v>369.98</v>
      </c>
      <c r="G10" s="263">
        <f t="shared" si="0"/>
        <v>33.069999999999993</v>
      </c>
    </row>
    <row r="11" spans="1:7" ht="18.75">
      <c r="A11" s="261">
        <v>8</v>
      </c>
      <c r="B11" s="262" t="s">
        <v>316</v>
      </c>
      <c r="C11" s="261"/>
      <c r="D11" s="265"/>
      <c r="E11" s="261">
        <v>541.71</v>
      </c>
      <c r="F11" s="261">
        <v>545.21</v>
      </c>
      <c r="G11" s="263">
        <f t="shared" si="0"/>
        <v>3.5</v>
      </c>
    </row>
    <row r="12" spans="1:7" ht="18.75">
      <c r="A12" s="261">
        <v>9</v>
      </c>
      <c r="B12" s="262" t="s">
        <v>217</v>
      </c>
      <c r="C12" s="261"/>
      <c r="D12" s="265" t="s">
        <v>325</v>
      </c>
      <c r="E12" s="261">
        <v>39.18</v>
      </c>
      <c r="F12" s="261">
        <v>42.86</v>
      </c>
      <c r="G12" s="261">
        <f t="shared" si="0"/>
        <v>3.6799999999999997</v>
      </c>
    </row>
    <row r="13" spans="1:7" ht="18.75">
      <c r="A13" s="264"/>
      <c r="B13" s="448" t="s">
        <v>128</v>
      </c>
      <c r="C13" s="449"/>
      <c r="D13" s="450"/>
      <c r="E13" s="261">
        <f>SUM(E4:E12)</f>
        <v>2284.08</v>
      </c>
      <c r="F13" s="261">
        <f>SUM(F4:F12)</f>
        <v>2529.61</v>
      </c>
      <c r="G13" s="263">
        <f>SUM(G4:G12)</f>
        <v>245.52999999999989</v>
      </c>
    </row>
  </sheetData>
  <mergeCells count="2">
    <mergeCell ref="A2:G2"/>
    <mergeCell ref="B13:D13"/>
  </mergeCells>
  <pageMargins left="0.7" right="0.7" top="0.75" bottom="0.75" header="0.3" footer="0.3"/>
  <pageSetup scale="90" orientation="landscape" r:id="rId1"/>
</worksheet>
</file>

<file path=xl/worksheets/sheet13.xml><?xml version="1.0" encoding="utf-8"?>
<worksheet xmlns="http://schemas.openxmlformats.org/spreadsheetml/2006/main" xmlns:r="http://schemas.openxmlformats.org/officeDocument/2006/relationships">
  <dimension ref="A1:L26"/>
  <sheetViews>
    <sheetView workbookViewId="0">
      <selection activeCell="G27" sqref="G27"/>
    </sheetView>
  </sheetViews>
  <sheetFormatPr defaultRowHeight="15"/>
  <cols>
    <col min="1" max="1" width="10.7109375" style="291" customWidth="1"/>
    <col min="2" max="2" width="27" style="291" customWidth="1"/>
    <col min="3" max="3" width="9.28515625" style="291" customWidth="1"/>
    <col min="4" max="4" width="13.140625" style="291" customWidth="1"/>
    <col min="5" max="5" width="9.140625" style="291" hidden="1" customWidth="1"/>
    <col min="6" max="6" width="10.140625" style="291" customWidth="1"/>
    <col min="7" max="7" width="12.28515625" style="291" customWidth="1"/>
    <col min="8" max="8" width="9.5703125" style="291" customWidth="1"/>
    <col min="9" max="9" width="10.42578125" style="291" customWidth="1"/>
    <col min="10" max="10" width="10.85546875" style="291" customWidth="1"/>
    <col min="11" max="11" width="11" style="291" customWidth="1"/>
    <col min="12" max="12" width="14.42578125" style="291" customWidth="1"/>
    <col min="13" max="16384" width="9.140625" style="291"/>
  </cols>
  <sheetData>
    <row r="1" spans="1:12">
      <c r="A1" s="417" t="s">
        <v>342</v>
      </c>
      <c r="B1" s="417"/>
      <c r="C1" s="417"/>
      <c r="D1" s="417"/>
      <c r="E1" s="417"/>
      <c r="F1" s="417"/>
      <c r="G1" s="417"/>
      <c r="H1" s="417"/>
      <c r="I1" s="417"/>
      <c r="J1" s="417"/>
      <c r="K1" s="417"/>
      <c r="L1" s="294" t="s">
        <v>343</v>
      </c>
    </row>
    <row r="2" spans="1:12" ht="30">
      <c r="A2" s="295" t="s">
        <v>0</v>
      </c>
      <c r="B2" s="296" t="s">
        <v>344</v>
      </c>
      <c r="C2" s="296" t="s">
        <v>345</v>
      </c>
      <c r="D2" s="309" t="str">
        <f>Sheet1!F3</f>
        <v>RG 2023-24</v>
      </c>
      <c r="E2" s="296" t="s">
        <v>346</v>
      </c>
      <c r="F2" s="297" t="s">
        <v>347</v>
      </c>
      <c r="G2" s="297" t="s">
        <v>348</v>
      </c>
      <c r="H2" s="297" t="s">
        <v>349</v>
      </c>
      <c r="I2" s="296" t="s">
        <v>350</v>
      </c>
      <c r="J2" s="296" t="s">
        <v>351</v>
      </c>
      <c r="K2" s="298" t="s">
        <v>352</v>
      </c>
      <c r="L2" s="299" t="s">
        <v>353</v>
      </c>
    </row>
    <row r="3" spans="1:12">
      <c r="A3" s="293">
        <v>10</v>
      </c>
      <c r="B3" s="290" t="s">
        <v>75</v>
      </c>
      <c r="C3" s="22">
        <f>Sheet1!C19</f>
        <v>262.05</v>
      </c>
      <c r="D3" s="22">
        <f>Sheet1!F19</f>
        <v>308.26</v>
      </c>
      <c r="E3" s="300">
        <f>(D3-C3)/C3</f>
        <v>0.17634039305476046</v>
      </c>
      <c r="F3" s="301">
        <f>Sheet1!H19</f>
        <v>257.23</v>
      </c>
      <c r="G3" s="301">
        <f>Sheet1!I19</f>
        <v>273.77999999999997</v>
      </c>
      <c r="H3" s="301">
        <f>Sheet1!J19</f>
        <v>280.79000000000002</v>
      </c>
      <c r="I3" s="22">
        <f>H3-G3</f>
        <v>7.0100000000000477</v>
      </c>
      <c r="J3" s="52">
        <f>I3/G3</f>
        <v>2.5604499963474501E-2</v>
      </c>
      <c r="K3" s="302">
        <f>(H3-F3)/F3</f>
        <v>9.1591182987987407E-2</v>
      </c>
      <c r="L3" s="302">
        <f>H3/D3</f>
        <v>0.91088691364432628</v>
      </c>
    </row>
    <row r="4" spans="1:12" hidden="1">
      <c r="A4" s="293">
        <v>11</v>
      </c>
      <c r="B4" s="290" t="s">
        <v>354</v>
      </c>
      <c r="C4" s="22">
        <f>Sheet1!C20</f>
        <v>12.74</v>
      </c>
      <c r="D4" s="22">
        <f>Sheet1!F20</f>
        <v>20.149999999999999</v>
      </c>
      <c r="E4" s="300">
        <f t="shared" ref="E4:E9" si="0">(D4-C4)/C4</f>
        <v>0.58163265306122436</v>
      </c>
      <c r="F4" s="301">
        <f>Sheet1!H20</f>
        <v>12.67</v>
      </c>
      <c r="G4" s="301">
        <f>Sheet1!I20</f>
        <v>17.63</v>
      </c>
      <c r="H4" s="301">
        <f>Sheet1!J20</f>
        <v>20.41</v>
      </c>
      <c r="I4" s="22">
        <f t="shared" ref="I4:I9" si="1">H4-G4</f>
        <v>2.7800000000000011</v>
      </c>
      <c r="J4" s="52">
        <f t="shared" ref="J4:J9" si="2">I4/G4</f>
        <v>0.15768576290414074</v>
      </c>
      <c r="K4" s="302">
        <f t="shared" ref="K4:K9" si="3">(H4-F4)/F4</f>
        <v>0.61089187056037886</v>
      </c>
      <c r="L4" s="302">
        <f t="shared" ref="L4:L9" si="4">H4/D4</f>
        <v>1.0129032258064516</v>
      </c>
    </row>
    <row r="5" spans="1:12" hidden="1">
      <c r="A5" s="293">
        <v>12</v>
      </c>
      <c r="B5" s="290" t="s">
        <v>77</v>
      </c>
      <c r="C5" s="22">
        <f>Sheet1!C21</f>
        <v>52.98</v>
      </c>
      <c r="D5" s="22">
        <f>Sheet1!F21</f>
        <v>86.53</v>
      </c>
      <c r="E5" s="300">
        <f t="shared" si="0"/>
        <v>0.63325783314458295</v>
      </c>
      <c r="F5" s="301">
        <f>Sheet1!H21</f>
        <v>52.76</v>
      </c>
      <c r="G5" s="301">
        <f>Sheet1!I21</f>
        <v>73.22</v>
      </c>
      <c r="H5" s="301">
        <f>Sheet1!J21</f>
        <v>77.569999999999993</v>
      </c>
      <c r="I5" s="22">
        <f t="shared" si="1"/>
        <v>4.3499999999999943</v>
      </c>
      <c r="J5" s="52">
        <f t="shared" si="2"/>
        <v>5.9409997268505793E-2</v>
      </c>
      <c r="K5" s="302">
        <f t="shared" si="3"/>
        <v>0.47024260803639112</v>
      </c>
      <c r="L5" s="302">
        <f t="shared" si="4"/>
        <v>0.89645209753842592</v>
      </c>
    </row>
    <row r="6" spans="1:12">
      <c r="A6" s="293">
        <v>13</v>
      </c>
      <c r="B6" s="290" t="s">
        <v>355</v>
      </c>
      <c r="C6" s="22">
        <f>Sheet1!C22</f>
        <v>131.51</v>
      </c>
      <c r="D6" s="22">
        <f>Sheet1!F22</f>
        <v>142.96</v>
      </c>
      <c r="E6" s="300">
        <f t="shared" si="0"/>
        <v>8.706562238613047E-2</v>
      </c>
      <c r="F6" s="301">
        <f>Sheet1!H22</f>
        <v>125.42</v>
      </c>
      <c r="G6" s="301">
        <f>Sheet1!I22</f>
        <v>130.5</v>
      </c>
      <c r="H6" s="301">
        <f>Sheet1!J22</f>
        <v>133.86000000000001</v>
      </c>
      <c r="I6" s="22">
        <f t="shared" si="1"/>
        <v>3.3600000000000136</v>
      </c>
      <c r="J6" s="52">
        <f t="shared" si="2"/>
        <v>2.5747126436781714E-2</v>
      </c>
      <c r="K6" s="302">
        <f t="shared" si="3"/>
        <v>6.7293892521129106E-2</v>
      </c>
      <c r="L6" s="302">
        <f t="shared" si="4"/>
        <v>0.93634583100167879</v>
      </c>
    </row>
    <row r="7" spans="1:12">
      <c r="A7" s="293">
        <v>16</v>
      </c>
      <c r="B7" s="290" t="s">
        <v>81</v>
      </c>
      <c r="C7" s="22">
        <f>Sheet1!C23</f>
        <v>111.1</v>
      </c>
      <c r="D7" s="22">
        <f>Sheet1!F23</f>
        <v>127.18</v>
      </c>
      <c r="E7" s="300">
        <f t="shared" si="0"/>
        <v>0.14473447344734486</v>
      </c>
      <c r="F7" s="301">
        <f>Sheet1!H23</f>
        <v>111.1</v>
      </c>
      <c r="G7" s="301">
        <f>Sheet1!I23</f>
        <v>113.7</v>
      </c>
      <c r="H7" s="301">
        <f>Sheet1!J23</f>
        <v>119.94</v>
      </c>
      <c r="I7" s="22">
        <f t="shared" si="1"/>
        <v>6.2399999999999949</v>
      </c>
      <c r="J7" s="52">
        <f t="shared" si="2"/>
        <v>5.4881266490765128E-2</v>
      </c>
      <c r="K7" s="302">
        <f t="shared" si="3"/>
        <v>7.9567956795679601E-2</v>
      </c>
      <c r="L7" s="302">
        <f t="shared" si="4"/>
        <v>0.94307281019028144</v>
      </c>
    </row>
    <row r="8" spans="1:12">
      <c r="A8" s="303">
        <v>25</v>
      </c>
      <c r="B8" s="304" t="s">
        <v>84</v>
      </c>
      <c r="C8" s="22">
        <f>Sheet1!C24</f>
        <v>89</v>
      </c>
      <c r="D8" s="22">
        <f>Sheet1!F24</f>
        <v>98.12</v>
      </c>
      <c r="E8" s="300">
        <f t="shared" si="0"/>
        <v>0.10247191011235961</v>
      </c>
      <c r="F8" s="301">
        <f>Sheet1!H24</f>
        <v>89</v>
      </c>
      <c r="G8" s="301">
        <f>Sheet1!I24</f>
        <v>95.94</v>
      </c>
      <c r="H8" s="301">
        <f>Sheet1!J24</f>
        <v>99.92</v>
      </c>
      <c r="I8" s="22">
        <f t="shared" si="1"/>
        <v>3.980000000000004</v>
      </c>
      <c r="J8" s="52">
        <f t="shared" si="2"/>
        <v>4.1484260996456163E-2</v>
      </c>
      <c r="K8" s="302">
        <f t="shared" si="3"/>
        <v>0.12269662921348316</v>
      </c>
      <c r="L8" s="302">
        <f t="shared" si="4"/>
        <v>1.0183448838157358</v>
      </c>
    </row>
    <row r="9" spans="1:12" hidden="1">
      <c r="A9" s="303">
        <v>26</v>
      </c>
      <c r="B9" s="304" t="s">
        <v>356</v>
      </c>
      <c r="C9" s="22">
        <f>Sheet1!C25</f>
        <v>115.51</v>
      </c>
      <c r="D9" s="22">
        <f>Sheet1!F25</f>
        <v>176.47</v>
      </c>
      <c r="E9" s="300">
        <f t="shared" si="0"/>
        <v>0.52774651545320739</v>
      </c>
      <c r="F9" s="301">
        <f>Sheet1!H25</f>
        <v>115.32</v>
      </c>
      <c r="G9" s="301">
        <f>Sheet1!I25</f>
        <v>150.63999999999999</v>
      </c>
      <c r="H9" s="301">
        <f>Sheet1!J25</f>
        <v>171.98</v>
      </c>
      <c r="I9" s="22">
        <f t="shared" si="1"/>
        <v>21.340000000000003</v>
      </c>
      <c r="J9" s="52">
        <f t="shared" si="2"/>
        <v>0.14166224110462033</v>
      </c>
      <c r="K9" s="302">
        <f t="shared" si="3"/>
        <v>0.49132847728061046</v>
      </c>
      <c r="L9" s="302">
        <f t="shared" si="4"/>
        <v>0.97455658185527283</v>
      </c>
    </row>
    <row r="11" spans="1:12">
      <c r="A11" s="417" t="s">
        <v>357</v>
      </c>
      <c r="B11" s="417"/>
      <c r="C11" s="417"/>
      <c r="D11" s="417"/>
      <c r="E11" s="417"/>
      <c r="F11" s="417"/>
      <c r="G11" s="417"/>
      <c r="H11" s="417"/>
      <c r="I11" s="417"/>
      <c r="J11" s="417"/>
      <c r="K11" s="417"/>
      <c r="L11" s="294" t="s">
        <v>343</v>
      </c>
    </row>
    <row r="12" spans="1:12" ht="30">
      <c r="A12" s="295" t="s">
        <v>0</v>
      </c>
      <c r="B12" s="296" t="s">
        <v>344</v>
      </c>
      <c r="C12" s="296" t="s">
        <v>345</v>
      </c>
      <c r="D12" s="309" t="str">
        <f>D2</f>
        <v>RG 2023-24</v>
      </c>
      <c r="E12" s="296" t="s">
        <v>346</v>
      </c>
      <c r="F12" s="297" t="s">
        <v>347</v>
      </c>
      <c r="G12" s="297" t="s">
        <v>348</v>
      </c>
      <c r="H12" s="297" t="s">
        <v>349</v>
      </c>
      <c r="I12" s="296" t="s">
        <v>350</v>
      </c>
      <c r="J12" s="296" t="s">
        <v>351</v>
      </c>
      <c r="K12" s="298" t="s">
        <v>352</v>
      </c>
      <c r="L12" s="299" t="s">
        <v>353</v>
      </c>
    </row>
    <row r="13" spans="1:12">
      <c r="A13" s="293"/>
      <c r="B13" s="25" t="s">
        <v>358</v>
      </c>
      <c r="C13" s="313">
        <f>Sheet1!C42</f>
        <v>483.2</v>
      </c>
      <c r="D13" s="313">
        <f>Sheet1!F42</f>
        <v>208.20999999999998</v>
      </c>
      <c r="E13" s="313">
        <f>Sheet1!G42</f>
        <v>1.8418948135723964E-2</v>
      </c>
      <c r="F13" s="314">
        <f>Sheet1!H42</f>
        <v>463.93000000000006</v>
      </c>
      <c r="G13" s="314">
        <f>Sheet1!I42</f>
        <v>200.25</v>
      </c>
      <c r="H13" s="314">
        <f>Sheet1!J42</f>
        <v>209.4</v>
      </c>
      <c r="I13" s="313">
        <f>H13-G13</f>
        <v>9.1500000000000057</v>
      </c>
      <c r="J13" s="315">
        <f>I13/G13</f>
        <v>4.5692883895131112E-2</v>
      </c>
      <c r="K13" s="316">
        <f>(H13-F13)/F13</f>
        <v>-0.5486388032677344</v>
      </c>
      <c r="L13" s="317">
        <f>H13/D13</f>
        <v>1.0057153835070363</v>
      </c>
    </row>
    <row r="14" spans="1:12">
      <c r="A14" s="293">
        <v>30</v>
      </c>
      <c r="B14" s="25" t="s">
        <v>359</v>
      </c>
      <c r="C14" s="313">
        <f>Sheet1!C49</f>
        <v>1505.52</v>
      </c>
      <c r="D14" s="313">
        <f>Sheet1!F49</f>
        <v>1590.14</v>
      </c>
      <c r="E14" s="313">
        <f>Sheet1!G49</f>
        <v>0.14066906579194136</v>
      </c>
      <c r="F14" s="314">
        <f>Sheet1!H49</f>
        <v>1364.27</v>
      </c>
      <c r="G14" s="314">
        <f>Sheet1!I49</f>
        <v>1485.95</v>
      </c>
      <c r="H14" s="314">
        <f>Sheet1!J49</f>
        <v>1423.78</v>
      </c>
      <c r="I14" s="313">
        <f>H14-G14</f>
        <v>-62.170000000000073</v>
      </c>
      <c r="J14" s="315">
        <f>I14/G14</f>
        <v>-4.1838554460109742E-2</v>
      </c>
      <c r="K14" s="316">
        <f>(H14-F14)/F14</f>
        <v>4.3620397721858571E-2</v>
      </c>
      <c r="L14" s="317">
        <f>H14/D14</f>
        <v>0.89538028098154876</v>
      </c>
    </row>
    <row r="15" spans="1:12">
      <c r="A15" s="293">
        <v>21</v>
      </c>
      <c r="B15" s="25" t="s">
        <v>360</v>
      </c>
      <c r="C15" s="313">
        <f>Sheet1!C35</f>
        <v>17.22</v>
      </c>
      <c r="D15" s="313">
        <f>Sheet1!F35</f>
        <v>19.18</v>
      </c>
      <c r="E15" s="313">
        <f>Sheet1!G35</f>
        <v>1.6967265032572193E-3</v>
      </c>
      <c r="F15" s="314">
        <f>Sheet1!H35</f>
        <v>16.45</v>
      </c>
      <c r="G15" s="314">
        <f>Sheet1!I35</f>
        <v>17.37</v>
      </c>
      <c r="H15" s="314">
        <f>Sheet1!J35</f>
        <v>19.2</v>
      </c>
      <c r="I15" s="313">
        <f>H15-G15</f>
        <v>1.8299999999999983</v>
      </c>
      <c r="J15" s="315">
        <f>I15/G15</f>
        <v>0.10535405872193426</v>
      </c>
      <c r="K15" s="318">
        <f>(H15-F15)/F15</f>
        <v>0.16717325227963525</v>
      </c>
      <c r="L15" s="318">
        <f>H15/D15</f>
        <v>1.0010427528675703</v>
      </c>
    </row>
    <row r="16" spans="1:12" ht="30" hidden="1">
      <c r="A16" s="293">
        <v>27</v>
      </c>
      <c r="B16" s="292" t="s">
        <v>361</v>
      </c>
      <c r="C16" s="313">
        <f>Sheet1!C53</f>
        <v>174.37</v>
      </c>
      <c r="D16" s="313">
        <f>Sheet1!F53</f>
        <v>186.57</v>
      </c>
      <c r="E16" s="313">
        <f>Sheet1!G53</f>
        <v>1.6504601861975984E-2</v>
      </c>
      <c r="F16" s="314">
        <f>Sheet1!H53</f>
        <v>128.33999999999997</v>
      </c>
      <c r="G16" s="314">
        <f>Sheet1!I53</f>
        <v>162.03</v>
      </c>
      <c r="H16" s="314">
        <f>Sheet1!J53</f>
        <v>164.12</v>
      </c>
      <c r="I16" s="313">
        <f t="shared" ref="I16:I22" si="5">H16-G16</f>
        <v>2.0900000000000034</v>
      </c>
      <c r="J16" s="315">
        <f t="shared" ref="J16:J22" si="6">I16/G16</f>
        <v>1.2898845892735935E-2</v>
      </c>
      <c r="K16" s="318">
        <f t="shared" ref="K16:K22" si="7">(H16-F16)/F16</f>
        <v>0.2787907121707966</v>
      </c>
      <c r="L16" s="318">
        <f t="shared" ref="L16:L22" si="8">H16/D16</f>
        <v>0.87966982901859903</v>
      </c>
    </row>
    <row r="17" spans="1:12">
      <c r="A17" s="293">
        <v>28</v>
      </c>
      <c r="B17" s="25" t="s">
        <v>362</v>
      </c>
      <c r="C17" s="313">
        <f>Sheet1!C54</f>
        <v>127.01</v>
      </c>
      <c r="D17" s="313">
        <f>Sheet1!F54</f>
        <v>129.22</v>
      </c>
      <c r="E17" s="313">
        <f>Sheet1!G54</f>
        <v>1.1431230383258493E-2</v>
      </c>
      <c r="F17" s="314">
        <f>Sheet1!H54</f>
        <v>124.43</v>
      </c>
      <c r="G17" s="314">
        <f>Sheet1!I54</f>
        <v>116.88</v>
      </c>
      <c r="H17" s="314">
        <f>Sheet1!J54</f>
        <v>130.86000000000001</v>
      </c>
      <c r="I17" s="313">
        <f t="shared" si="5"/>
        <v>13.980000000000018</v>
      </c>
      <c r="J17" s="315">
        <f t="shared" si="6"/>
        <v>0.11960985626283384</v>
      </c>
      <c r="K17" s="318">
        <f t="shared" si="7"/>
        <v>5.1675640922607138E-2</v>
      </c>
      <c r="L17" s="318">
        <f t="shared" si="8"/>
        <v>1.0126915338182945</v>
      </c>
    </row>
    <row r="18" spans="1:12">
      <c r="A18" s="293">
        <v>32</v>
      </c>
      <c r="B18" s="25" t="s">
        <v>363</v>
      </c>
      <c r="C18" s="313">
        <f>Sheet1!C57</f>
        <v>375.28</v>
      </c>
      <c r="D18" s="313">
        <f>Sheet1!F57</f>
        <v>422.86</v>
      </c>
      <c r="E18" s="313">
        <f>Sheet1!G57</f>
        <v>3.7407600060862765E-2</v>
      </c>
      <c r="F18" s="314">
        <f>Sheet1!H57</f>
        <v>356.51</v>
      </c>
      <c r="G18" s="314">
        <f>Sheet1!I57</f>
        <v>382.19</v>
      </c>
      <c r="H18" s="314">
        <f>Sheet1!J57</f>
        <v>410.27</v>
      </c>
      <c r="I18" s="313">
        <f t="shared" si="5"/>
        <v>28.079999999999984</v>
      </c>
      <c r="J18" s="315">
        <f t="shared" si="6"/>
        <v>7.3471310081373101E-2</v>
      </c>
      <c r="K18" s="318">
        <f t="shared" si="7"/>
        <v>0.15079520911054387</v>
      </c>
      <c r="L18" s="318">
        <f t="shared" si="8"/>
        <v>0.97022655252329371</v>
      </c>
    </row>
    <row r="19" spans="1:12">
      <c r="A19" s="293"/>
      <c r="B19" s="25" t="s">
        <v>364</v>
      </c>
      <c r="C19" s="313">
        <f>Sheet1!C69</f>
        <v>1875.25</v>
      </c>
      <c r="D19" s="313">
        <f>Sheet1!F69</f>
        <v>1667.6399999999999</v>
      </c>
      <c r="E19" s="313">
        <f>Sheet1!G69</f>
        <v>0.14752497319561361</v>
      </c>
      <c r="F19" s="314">
        <f>Sheet1!H69</f>
        <v>1720.7</v>
      </c>
      <c r="G19" s="314">
        <f>Sheet1!I69</f>
        <v>1604.46</v>
      </c>
      <c r="H19" s="314">
        <f>Sheet1!J69</f>
        <v>19.55</v>
      </c>
      <c r="I19" s="313">
        <f t="shared" si="5"/>
        <v>-1584.91</v>
      </c>
      <c r="J19" s="315">
        <f t="shared" si="6"/>
        <v>-0.98781521508794234</v>
      </c>
      <c r="K19" s="316">
        <f t="shared" si="7"/>
        <v>-0.98863834485965019</v>
      </c>
      <c r="L19" s="317">
        <f t="shared" si="8"/>
        <v>1.1723153678251903E-2</v>
      </c>
    </row>
    <row r="20" spans="1:12" hidden="1">
      <c r="A20" s="293">
        <v>35</v>
      </c>
      <c r="B20" s="25" t="s">
        <v>365</v>
      </c>
      <c r="C20" s="319">
        <f>Sheet1!C99</f>
        <v>67.510000000000005</v>
      </c>
      <c r="D20" s="313">
        <f>Sheet1!F99</f>
        <v>85.729299999999995</v>
      </c>
      <c r="E20" s="313">
        <f>Sheet1!G99</f>
        <v>7.5838986139566801E-3</v>
      </c>
      <c r="F20" s="314">
        <f>Sheet1!H99</f>
        <v>64.016800000000003</v>
      </c>
      <c r="G20" s="320">
        <v>44.5</v>
      </c>
      <c r="H20" s="321">
        <f>Sheet1!I99</f>
        <v>70.247900000000001</v>
      </c>
      <c r="I20" s="313">
        <f t="shared" ref="I20:I21" si="9">H20-G20</f>
        <v>25.747900000000001</v>
      </c>
      <c r="J20" s="315">
        <f t="shared" ref="J20:J21" si="10">I20/G20</f>
        <v>0.57860449438202255</v>
      </c>
      <c r="K20" s="316">
        <f t="shared" ref="K20:K21" si="11">(H20-F20)/F20</f>
        <v>9.7335386960922712E-2</v>
      </c>
      <c r="L20" s="317">
        <f t="shared" ref="L20:L21" si="12">H20/D20</f>
        <v>0.81941529908677668</v>
      </c>
    </row>
    <row r="21" spans="1:12">
      <c r="A21" s="293">
        <v>34</v>
      </c>
      <c r="B21" s="25" t="s">
        <v>370</v>
      </c>
      <c r="C21" s="319">
        <f>Sheet1!C95</f>
        <v>65.53</v>
      </c>
      <c r="D21" s="313">
        <f>Sheet1!F95</f>
        <v>81.708900000000014</v>
      </c>
      <c r="E21" s="319">
        <f>Sheet1!E95</f>
        <v>0</v>
      </c>
      <c r="F21" s="314">
        <f>Sheet1!H95</f>
        <v>62.529600000000002</v>
      </c>
      <c r="G21" s="322">
        <v>67.84</v>
      </c>
      <c r="H21" s="314">
        <f>Sheet1!I95</f>
        <v>62.069000000000003</v>
      </c>
      <c r="I21" s="313">
        <f t="shared" si="9"/>
        <v>-5.7710000000000008</v>
      </c>
      <c r="J21" s="323">
        <f t="shared" si="10"/>
        <v>-8.5067806603773596E-2</v>
      </c>
      <c r="K21" s="317">
        <f t="shared" si="11"/>
        <v>-7.3661114096363872E-3</v>
      </c>
      <c r="L21" s="317">
        <f t="shared" si="12"/>
        <v>0.75963573123613204</v>
      </c>
    </row>
    <row r="22" spans="1:12">
      <c r="A22" s="293">
        <v>64</v>
      </c>
      <c r="B22" s="25" t="s">
        <v>366</v>
      </c>
      <c r="C22" s="313">
        <f>Sheet1!C105</f>
        <v>186.74</v>
      </c>
      <c r="D22" s="313">
        <f>Sheet1!F105</f>
        <v>192.83259999999999</v>
      </c>
      <c r="E22" s="313">
        <f>Sheet1!G105</f>
        <v>1.7058612258185508E-2</v>
      </c>
      <c r="F22" s="314">
        <f>Sheet1!H105</f>
        <v>164.4468</v>
      </c>
      <c r="G22" s="321">
        <v>147.91999999999999</v>
      </c>
      <c r="H22" s="321">
        <f>Sheet1!I105</f>
        <v>146.12819999999999</v>
      </c>
      <c r="I22" s="313">
        <f t="shared" si="5"/>
        <v>-1.791799999999995</v>
      </c>
      <c r="J22" s="315">
        <f t="shared" si="6"/>
        <v>-1.2113304488912893E-2</v>
      </c>
      <c r="K22" s="316">
        <f t="shared" si="7"/>
        <v>-0.11139529622954052</v>
      </c>
      <c r="L22" s="317">
        <f t="shared" si="8"/>
        <v>0.75779821461723795</v>
      </c>
    </row>
    <row r="23" spans="1:12">
      <c r="A23" s="293">
        <v>99</v>
      </c>
      <c r="B23" s="25" t="s">
        <v>324</v>
      </c>
      <c r="C23" s="313">
        <f>Sheet1!C84</f>
        <v>260.77</v>
      </c>
      <c r="D23" s="313">
        <f>Sheet1!F84</f>
        <v>308.8799999999992</v>
      </c>
      <c r="E23" s="313">
        <f>Sheet1!G84</f>
        <v>2.7324550694790853E-2</v>
      </c>
      <c r="F23" s="314">
        <f>Sheet1!H84</f>
        <v>243.15999999999985</v>
      </c>
      <c r="G23" s="314">
        <f>Sheet1!I84</f>
        <v>261.99</v>
      </c>
      <c r="H23" s="314">
        <f>Sheet1!J84</f>
        <v>208.86999999999989</v>
      </c>
      <c r="I23" s="313">
        <f>H23-G23</f>
        <v>-53.120000000000118</v>
      </c>
      <c r="J23" s="315">
        <f>I23/G23</f>
        <v>-0.20275583037520561</v>
      </c>
      <c r="K23" s="317">
        <f>(H23-F23)/F23</f>
        <v>-0.14101825958216804</v>
      </c>
      <c r="L23" s="317">
        <f>H23/D23</f>
        <v>0.67621730121730261</v>
      </c>
    </row>
    <row r="24" spans="1:12" ht="30">
      <c r="A24" s="305" t="s">
        <v>217</v>
      </c>
      <c r="B24" s="306" t="s">
        <v>367</v>
      </c>
      <c r="C24" s="324">
        <f>Sheet1!C115</f>
        <v>50.51</v>
      </c>
      <c r="D24" s="324">
        <f>Sheet1!F115</f>
        <v>46.15</v>
      </c>
      <c r="E24" s="325"/>
      <c r="F24" s="326">
        <f>Sheet1!H115</f>
        <v>53.96</v>
      </c>
      <c r="G24" s="330">
        <v>32.619999999999997</v>
      </c>
      <c r="H24" s="327">
        <f>Sheet1!I115</f>
        <v>52</v>
      </c>
      <c r="I24" s="324">
        <f>H24-G24</f>
        <v>19.380000000000003</v>
      </c>
      <c r="J24" s="328">
        <f>I24/G24</f>
        <v>0.59411404046597194</v>
      </c>
      <c r="K24" s="311">
        <f>(H24-F24)/F24</f>
        <v>-3.6323202372127515E-2</v>
      </c>
      <c r="L24" s="311">
        <f>H24/D24</f>
        <v>1.1267605633802817</v>
      </c>
    </row>
    <row r="25" spans="1:12">
      <c r="A25" s="305" t="s">
        <v>218</v>
      </c>
      <c r="B25" s="307" t="s">
        <v>368</v>
      </c>
      <c r="C25" s="324">
        <f>Sheet1!C116</f>
        <v>41.41</v>
      </c>
      <c r="D25" s="324">
        <f>Sheet1!F116</f>
        <v>44.69</v>
      </c>
      <c r="E25" s="325"/>
      <c r="F25" s="326">
        <f>Sheet1!H116</f>
        <v>38.75</v>
      </c>
      <c r="G25" s="310">
        <v>32.56</v>
      </c>
      <c r="H25" s="326">
        <f>Sheet1!I116</f>
        <v>45.19</v>
      </c>
      <c r="I25" s="324">
        <f t="shared" ref="I25:I26" si="13">H25-G25</f>
        <v>12.629999999999995</v>
      </c>
      <c r="J25" s="328">
        <f t="shared" ref="J25:J26" si="14">I25/G25</f>
        <v>0.38789926289926274</v>
      </c>
      <c r="K25" s="311">
        <f t="shared" ref="K25:K26" si="15">(H25-F25)/F25</f>
        <v>0.16619354838709671</v>
      </c>
      <c r="L25" s="311">
        <f t="shared" ref="L25:L26" si="16">H25/D25</f>
        <v>1.0111881852763482</v>
      </c>
    </row>
    <row r="26" spans="1:12">
      <c r="A26" s="305" t="s">
        <v>219</v>
      </c>
      <c r="B26" s="308" t="s">
        <v>369</v>
      </c>
      <c r="C26" s="324">
        <f>Sheet1!C117</f>
        <v>36.520000000000003</v>
      </c>
      <c r="D26" s="324">
        <f>Sheet1!F117</f>
        <v>42.61</v>
      </c>
      <c r="E26" s="325"/>
      <c r="F26" s="326">
        <f>Sheet1!H117</f>
        <v>33.5</v>
      </c>
      <c r="G26" s="310">
        <v>36.07</v>
      </c>
      <c r="H26" s="326">
        <f>Sheet1!I117</f>
        <v>33.950000000000003</v>
      </c>
      <c r="I26" s="324">
        <f t="shared" si="13"/>
        <v>-2.1199999999999974</v>
      </c>
      <c r="J26" s="328">
        <f t="shared" si="14"/>
        <v>-5.8774604934848831E-2</v>
      </c>
      <c r="K26" s="329">
        <f t="shared" si="15"/>
        <v>1.3432835820895607E-2</v>
      </c>
      <c r="L26" s="312">
        <f t="shared" si="16"/>
        <v>0.79676132363295005</v>
      </c>
    </row>
  </sheetData>
  <mergeCells count="2">
    <mergeCell ref="A1:K1"/>
    <mergeCell ref="A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X47"/>
  <sheetViews>
    <sheetView topLeftCell="A28" workbookViewId="0">
      <selection activeCell="C31" sqref="C31"/>
    </sheetView>
  </sheetViews>
  <sheetFormatPr defaultRowHeight="15"/>
  <cols>
    <col min="2" max="2" width="19.42578125" customWidth="1"/>
    <col min="3" max="3" width="16" customWidth="1"/>
    <col min="4" max="4" width="21.140625" customWidth="1"/>
    <col min="5" max="5" width="21.5703125" customWidth="1"/>
    <col min="6" max="6" width="20.42578125" customWidth="1"/>
    <col min="7" max="7" width="19.28515625" customWidth="1"/>
    <col min="8" max="8" width="26.140625" customWidth="1"/>
    <col min="9" max="9" width="28.85546875" customWidth="1"/>
    <col min="10" max="10" width="30" customWidth="1"/>
    <col min="11" max="11" width="33" customWidth="1"/>
    <col min="12" max="12" width="16.7109375" customWidth="1"/>
  </cols>
  <sheetData>
    <row r="1" spans="2:24" ht="34.5">
      <c r="B1" s="454" t="s">
        <v>371</v>
      </c>
      <c r="C1" s="454"/>
      <c r="D1" s="454"/>
      <c r="E1" s="454"/>
      <c r="F1" s="454"/>
      <c r="G1" s="454"/>
      <c r="H1" s="454"/>
      <c r="I1" s="454"/>
      <c r="J1" s="454"/>
      <c r="K1" s="454"/>
      <c r="L1" s="338"/>
      <c r="M1" s="338"/>
      <c r="N1" s="338"/>
      <c r="O1" s="338"/>
      <c r="P1" s="338"/>
      <c r="Q1" s="338"/>
      <c r="R1" s="338"/>
      <c r="S1" s="338"/>
      <c r="T1" s="338"/>
      <c r="U1" s="338"/>
      <c r="V1" s="338" t="s">
        <v>371</v>
      </c>
      <c r="W1" s="338"/>
      <c r="X1" s="338"/>
    </row>
    <row r="2" spans="2:24" ht="15.75" thickBot="1"/>
    <row r="3" spans="2:24" ht="23.25" thickBot="1">
      <c r="B3" s="455" t="s">
        <v>372</v>
      </c>
      <c r="C3" s="332" t="s">
        <v>373</v>
      </c>
      <c r="D3" s="457" t="s">
        <v>374</v>
      </c>
      <c r="E3" s="458"/>
      <c r="F3" s="458"/>
      <c r="G3" s="458"/>
      <c r="H3" s="459"/>
      <c r="I3" s="460" t="s">
        <v>375</v>
      </c>
      <c r="J3" s="461"/>
      <c r="K3" s="333"/>
    </row>
    <row r="4" spans="2:24" ht="67.5" customHeight="1" thickBot="1">
      <c r="B4" s="456"/>
      <c r="C4" s="334" t="s">
        <v>376</v>
      </c>
      <c r="D4" s="334" t="s">
        <v>377</v>
      </c>
      <c r="E4" s="334" t="s">
        <v>378</v>
      </c>
      <c r="F4" s="334" t="s">
        <v>379</v>
      </c>
      <c r="G4" s="334" t="s">
        <v>437</v>
      </c>
      <c r="H4" s="334" t="s">
        <v>438</v>
      </c>
      <c r="I4" s="334" t="s">
        <v>380</v>
      </c>
      <c r="J4" s="334" t="s">
        <v>381</v>
      </c>
      <c r="K4" s="334" t="s">
        <v>392</v>
      </c>
    </row>
    <row r="5" spans="2:24" ht="23.25" thickBot="1">
      <c r="B5" s="333"/>
      <c r="C5" s="333" t="s">
        <v>382</v>
      </c>
      <c r="D5" s="333" t="s">
        <v>383</v>
      </c>
      <c r="E5" s="333" t="s">
        <v>384</v>
      </c>
      <c r="F5" s="333" t="s">
        <v>385</v>
      </c>
      <c r="G5" s="333" t="s">
        <v>386</v>
      </c>
      <c r="H5" s="333" t="s">
        <v>387</v>
      </c>
      <c r="I5" s="333" t="s">
        <v>388</v>
      </c>
      <c r="J5" s="333" t="s">
        <v>389</v>
      </c>
      <c r="K5" s="333" t="s">
        <v>390</v>
      </c>
    </row>
    <row r="6" spans="2:24" ht="23.25" thickBot="1">
      <c r="B6" s="333" t="s">
        <v>146</v>
      </c>
      <c r="C6" s="336">
        <f>Sheet1!F5</f>
        <v>6281.79</v>
      </c>
      <c r="D6" s="335">
        <v>4575.6400000000003</v>
      </c>
      <c r="E6" s="335">
        <v>5075</v>
      </c>
      <c r="F6" s="337">
        <f>Sheet1!C5</f>
        <v>5612.42</v>
      </c>
      <c r="G6" s="337">
        <f>Sheet1!H5</f>
        <v>5217.8500000000004</v>
      </c>
      <c r="H6" s="337">
        <f>Sheet1!J5</f>
        <v>5746.08</v>
      </c>
      <c r="I6" s="337">
        <f>H6-G6</f>
        <v>528.22999999999956</v>
      </c>
      <c r="J6" s="337">
        <f>I6/G6*100</f>
        <v>10.123518307348803</v>
      </c>
      <c r="K6" s="337">
        <f>H6/C6*100</f>
        <v>91.472016734083766</v>
      </c>
    </row>
    <row r="7" spans="2:24" ht="49.5" customHeight="1" thickBot="1">
      <c r="B7" s="333" t="s">
        <v>142</v>
      </c>
      <c r="C7" s="336">
        <f>Sheet1!F6</f>
        <v>5022.3300000000008</v>
      </c>
      <c r="D7" s="335">
        <v>3242.37</v>
      </c>
      <c r="E7" s="335">
        <v>4188.91</v>
      </c>
      <c r="F7" s="337">
        <f>Sheet1!C6</f>
        <v>5254.65</v>
      </c>
      <c r="G7" s="337">
        <f>Sheet1!H6</f>
        <v>4818.07</v>
      </c>
      <c r="H7" s="337">
        <f>Sheet1!J6</f>
        <v>2989.92</v>
      </c>
      <c r="I7" s="337">
        <f t="shared" ref="I7:I8" si="0">H7-G7</f>
        <v>-1828.1499999999996</v>
      </c>
      <c r="J7" s="337">
        <f t="shared" ref="J7:J8" si="1">I7/G7*100</f>
        <v>-37.943616427324628</v>
      </c>
      <c r="K7" s="337">
        <f t="shared" ref="K7:K8" si="2">H7/C7*100</f>
        <v>59.532527731152662</v>
      </c>
    </row>
    <row r="8" spans="2:24" ht="23.25" thickBot="1">
      <c r="B8" s="333" t="s">
        <v>391</v>
      </c>
      <c r="C8" s="336">
        <f>SUM(C6:C7)</f>
        <v>11304.12</v>
      </c>
      <c r="D8" s="336">
        <f>SUM(D6:D7)</f>
        <v>7818.01</v>
      </c>
      <c r="E8" s="336">
        <f t="shared" ref="E8:H8" si="3">SUM(E6:E7)</f>
        <v>9263.91</v>
      </c>
      <c r="F8" s="336">
        <f t="shared" si="3"/>
        <v>10867.07</v>
      </c>
      <c r="G8" s="336">
        <f t="shared" si="3"/>
        <v>10035.92</v>
      </c>
      <c r="H8" s="336">
        <f t="shared" si="3"/>
        <v>8736</v>
      </c>
      <c r="I8" s="337">
        <f t="shared" si="0"/>
        <v>-1299.92</v>
      </c>
      <c r="J8" s="337">
        <f t="shared" si="1"/>
        <v>-12.952673995009926</v>
      </c>
      <c r="K8" s="337">
        <f t="shared" si="2"/>
        <v>77.281557520620794</v>
      </c>
    </row>
    <row r="10" spans="2:24" ht="35.25">
      <c r="B10" s="454" t="s">
        <v>393</v>
      </c>
      <c r="C10" s="454"/>
      <c r="D10" s="454"/>
      <c r="E10" s="454"/>
      <c r="F10" s="454"/>
      <c r="G10" s="454"/>
      <c r="H10" s="454"/>
      <c r="I10" s="454"/>
      <c r="J10" s="454"/>
      <c r="K10" s="454"/>
    </row>
    <row r="11" spans="2:24" ht="15.75" thickBot="1"/>
    <row r="12" spans="2:24" ht="55.5" customHeight="1" thickBot="1">
      <c r="B12" s="339" t="s">
        <v>415</v>
      </c>
      <c r="C12" s="340" t="s">
        <v>394</v>
      </c>
      <c r="D12" s="348" t="str">
        <f>Sheet1!F11</f>
        <v>RG 2023-24</v>
      </c>
      <c r="E12" s="340" t="s">
        <v>395</v>
      </c>
      <c r="F12" s="340" t="s">
        <v>396</v>
      </c>
      <c r="G12" s="340" t="s">
        <v>397</v>
      </c>
      <c r="H12" s="340" t="s">
        <v>437</v>
      </c>
      <c r="I12" s="340" t="s">
        <v>439</v>
      </c>
      <c r="J12" s="340" t="s">
        <v>398</v>
      </c>
      <c r="K12" s="340" t="s">
        <v>399</v>
      </c>
      <c r="L12" s="340" t="s">
        <v>400</v>
      </c>
    </row>
    <row r="13" spans="2:24" ht="38.25" thickBot="1">
      <c r="B13" s="341"/>
      <c r="C13" s="342"/>
      <c r="D13" s="343" t="s">
        <v>382</v>
      </c>
      <c r="E13" s="343" t="s">
        <v>383</v>
      </c>
      <c r="F13" s="343" t="s">
        <v>384</v>
      </c>
      <c r="G13" s="343" t="s">
        <v>385</v>
      </c>
      <c r="H13" s="343" t="s">
        <v>386</v>
      </c>
      <c r="I13" s="343" t="s">
        <v>387</v>
      </c>
      <c r="J13" s="343" t="s">
        <v>388</v>
      </c>
      <c r="K13" s="343" t="s">
        <v>389</v>
      </c>
      <c r="L13" s="343" t="s">
        <v>390</v>
      </c>
    </row>
    <row r="14" spans="2:24" ht="21" thickBot="1">
      <c r="B14" s="344" t="s">
        <v>401</v>
      </c>
      <c r="C14" s="345">
        <v>1</v>
      </c>
      <c r="D14" s="349">
        <f>Sheet1!F13</f>
        <v>2699.87</v>
      </c>
      <c r="E14" s="349">
        <f>Sheet1!C13</f>
        <v>2619.71</v>
      </c>
      <c r="F14" s="346">
        <v>2573.1999999999998</v>
      </c>
      <c r="G14" s="346">
        <v>2522.8000000000002</v>
      </c>
      <c r="H14" s="346">
        <v>2190.61</v>
      </c>
      <c r="I14" s="346">
        <v>2269.08</v>
      </c>
      <c r="J14" s="346">
        <f>I14-H14</f>
        <v>78.4699999999998</v>
      </c>
      <c r="K14" s="349">
        <f>J14/H14*100</f>
        <v>3.5821072669256417</v>
      </c>
      <c r="L14" s="349">
        <f>I14/D14*100</f>
        <v>84.044046565204994</v>
      </c>
    </row>
    <row r="15" spans="2:24" ht="21" thickBot="1">
      <c r="B15" s="344" t="s">
        <v>402</v>
      </c>
      <c r="C15" s="345">
        <v>2</v>
      </c>
      <c r="D15" s="349">
        <f>Sheet1!F14</f>
        <v>1314.78</v>
      </c>
      <c r="E15" s="349">
        <f>Sheet1!C14</f>
        <v>1019.04</v>
      </c>
      <c r="F15" s="346">
        <v>735.31</v>
      </c>
      <c r="G15" s="346">
        <v>441.91</v>
      </c>
      <c r="H15" s="346">
        <v>851.96</v>
      </c>
      <c r="I15" s="346">
        <v>1081.42</v>
      </c>
      <c r="J15" s="346">
        <f>I15-H15</f>
        <v>229.46000000000004</v>
      </c>
      <c r="K15" s="349">
        <f t="shared" ref="K15:K30" si="4">J15/H15*100</f>
        <v>26.933189351612757</v>
      </c>
      <c r="L15" s="349">
        <f t="shared" ref="L15:L30" si="5">I15/D15*100</f>
        <v>82.25102298483398</v>
      </c>
    </row>
    <row r="16" spans="2:24" ht="21" thickBot="1">
      <c r="B16" s="344" t="s">
        <v>403</v>
      </c>
      <c r="C16" s="345">
        <v>3</v>
      </c>
      <c r="D16" s="349">
        <f>Sheet1!F15</f>
        <v>103.65</v>
      </c>
      <c r="E16" s="349">
        <f>Sheet1!C15</f>
        <v>101.84</v>
      </c>
      <c r="F16" s="346">
        <v>98.44</v>
      </c>
      <c r="G16" s="346">
        <v>98.16</v>
      </c>
      <c r="H16" s="346">
        <v>101.76</v>
      </c>
      <c r="I16" s="346">
        <v>101.01</v>
      </c>
      <c r="J16" s="346">
        <f t="shared" ref="J16:J30" si="6">I16-H16</f>
        <v>-0.75</v>
      </c>
      <c r="K16" s="349">
        <f t="shared" si="4"/>
        <v>-0.73702830188679236</v>
      </c>
      <c r="L16" s="349">
        <f t="shared" si="5"/>
        <v>97.452966714905926</v>
      </c>
    </row>
    <row r="17" spans="1:12" ht="21" thickBot="1">
      <c r="B17" s="344" t="s">
        <v>404</v>
      </c>
      <c r="C17" s="345">
        <v>4</v>
      </c>
      <c r="D17" s="349">
        <f>Sheet1!F16</f>
        <v>338.26</v>
      </c>
      <c r="E17" s="349">
        <f>Sheet1!C16</f>
        <v>322.14</v>
      </c>
      <c r="F17" s="346">
        <v>301.08999999999997</v>
      </c>
      <c r="G17" s="346">
        <v>264.85000000000002</v>
      </c>
      <c r="H17" s="346">
        <v>269.91000000000003</v>
      </c>
      <c r="I17" s="346">
        <v>281.12</v>
      </c>
      <c r="J17" s="346">
        <f t="shared" si="6"/>
        <v>11.20999999999998</v>
      </c>
      <c r="K17" s="349">
        <f t="shared" si="4"/>
        <v>4.1532362639398235</v>
      </c>
      <c r="L17" s="349">
        <f t="shared" si="5"/>
        <v>83.10766865724591</v>
      </c>
    </row>
    <row r="18" spans="1:12" ht="21" thickBot="1">
      <c r="B18" s="344" t="s">
        <v>405</v>
      </c>
      <c r="C18" s="345">
        <v>7</v>
      </c>
      <c r="D18" s="349">
        <f>Sheet1!F17</f>
        <v>187.54</v>
      </c>
      <c r="E18" s="349">
        <f>Sheet1!C17</f>
        <v>169.94</v>
      </c>
      <c r="F18" s="346">
        <v>152.97</v>
      </c>
      <c r="G18" s="346">
        <v>134.78</v>
      </c>
      <c r="H18" s="346">
        <v>142.12</v>
      </c>
      <c r="I18" s="346">
        <v>156.13</v>
      </c>
      <c r="J18" s="346">
        <f t="shared" si="6"/>
        <v>14.009999999999991</v>
      </c>
      <c r="K18" s="349">
        <f t="shared" si="4"/>
        <v>9.8578665916127157</v>
      </c>
      <c r="L18" s="349">
        <f t="shared" si="5"/>
        <v>83.251572997760476</v>
      </c>
    </row>
    <row r="19" spans="1:12" ht="21" thickBot="1">
      <c r="B19" s="344" t="s">
        <v>75</v>
      </c>
      <c r="C19" s="345">
        <v>10</v>
      </c>
      <c r="D19" s="349">
        <f>Sheet1!F19</f>
        <v>308.26</v>
      </c>
      <c r="E19" s="349">
        <f>Sheet1!C19</f>
        <v>262.05</v>
      </c>
      <c r="F19" s="346">
        <v>216.63</v>
      </c>
      <c r="G19" s="346">
        <v>188.24</v>
      </c>
      <c r="H19" s="346">
        <v>237.48</v>
      </c>
      <c r="I19" s="346">
        <v>257.24</v>
      </c>
      <c r="J19" s="346">
        <f t="shared" si="6"/>
        <v>19.760000000000019</v>
      </c>
      <c r="K19" s="349">
        <f t="shared" si="4"/>
        <v>8.3207006905844789</v>
      </c>
      <c r="L19" s="349">
        <f t="shared" si="5"/>
        <v>83.449036527606566</v>
      </c>
    </row>
    <row r="20" spans="1:12" ht="21" thickBot="1">
      <c r="B20" s="344" t="s">
        <v>354</v>
      </c>
      <c r="C20" s="345">
        <v>11</v>
      </c>
      <c r="D20" s="349">
        <f>Sheet1!F20</f>
        <v>20.149999999999999</v>
      </c>
      <c r="E20" s="349">
        <f>Sheet1!C20</f>
        <v>12.74</v>
      </c>
      <c r="F20" s="346">
        <v>5.13</v>
      </c>
      <c r="G20" s="346">
        <v>12.03</v>
      </c>
      <c r="H20" s="346">
        <v>12.41</v>
      </c>
      <c r="I20" s="346">
        <v>18.489999999999998</v>
      </c>
      <c r="J20" s="346">
        <f t="shared" si="6"/>
        <v>6.0799999999999983</v>
      </c>
      <c r="K20" s="349">
        <f t="shared" si="4"/>
        <v>48.992747784045108</v>
      </c>
      <c r="L20" s="349">
        <f t="shared" si="5"/>
        <v>91.761786600496279</v>
      </c>
    </row>
    <row r="21" spans="1:12" ht="21" thickBot="1">
      <c r="B21" s="344" t="s">
        <v>406</v>
      </c>
      <c r="C21" s="345">
        <v>12</v>
      </c>
      <c r="D21" s="349">
        <f>Sheet1!F21</f>
        <v>86.53</v>
      </c>
      <c r="E21" s="349">
        <f>Sheet1!C21</f>
        <v>52.98</v>
      </c>
      <c r="F21" s="346">
        <v>41.11</v>
      </c>
      <c r="G21" s="346">
        <v>48.93</v>
      </c>
      <c r="H21" s="346">
        <v>51.26</v>
      </c>
      <c r="I21" s="346">
        <v>72.08</v>
      </c>
      <c r="J21" s="346">
        <f t="shared" si="6"/>
        <v>20.82</v>
      </c>
      <c r="K21" s="349">
        <f t="shared" si="4"/>
        <v>40.616465079984394</v>
      </c>
      <c r="L21" s="349">
        <f t="shared" si="5"/>
        <v>83.300589390962671</v>
      </c>
    </row>
    <row r="22" spans="1:12" ht="21" thickBot="1">
      <c r="B22" s="344" t="s">
        <v>407</v>
      </c>
      <c r="C22" s="345">
        <v>13</v>
      </c>
      <c r="D22" s="349">
        <f>Sheet1!F22</f>
        <v>142.96</v>
      </c>
      <c r="E22" s="349">
        <f>Sheet1!C22</f>
        <v>131.51</v>
      </c>
      <c r="F22" s="346">
        <v>126.37</v>
      </c>
      <c r="G22" s="346">
        <v>120.4</v>
      </c>
      <c r="H22" s="346">
        <v>118.5</v>
      </c>
      <c r="I22" s="346">
        <v>124.27</v>
      </c>
      <c r="J22" s="346">
        <f t="shared" si="6"/>
        <v>5.769999999999996</v>
      </c>
      <c r="K22" s="349">
        <f t="shared" si="4"/>
        <v>4.8691983122362839</v>
      </c>
      <c r="L22" s="349">
        <f t="shared" si="5"/>
        <v>86.926412982652479</v>
      </c>
    </row>
    <row r="23" spans="1:12" ht="21" thickBot="1">
      <c r="A23" s="358"/>
      <c r="B23" s="350" t="s">
        <v>408</v>
      </c>
      <c r="C23" s="345">
        <v>14</v>
      </c>
      <c r="D23" s="349">
        <f>'PU Wise OWE'!N126/10000</f>
        <v>3.7231000000000001</v>
      </c>
      <c r="E23" s="346">
        <v>1.47</v>
      </c>
      <c r="F23" s="346">
        <v>2.65</v>
      </c>
      <c r="G23" s="346">
        <v>2.44</v>
      </c>
      <c r="H23" s="346">
        <v>1.45</v>
      </c>
      <c r="I23" s="346">
        <v>1.42</v>
      </c>
      <c r="J23" s="346">
        <f t="shared" si="6"/>
        <v>-3.0000000000000027E-2</v>
      </c>
      <c r="K23" s="349">
        <f t="shared" si="4"/>
        <v>-2.0689655172413812</v>
      </c>
      <c r="L23" s="349">
        <f t="shared" si="5"/>
        <v>38.140259461201687</v>
      </c>
    </row>
    <row r="24" spans="1:12" ht="38.25" thickBot="1">
      <c r="A24" s="358"/>
      <c r="B24" s="350" t="s">
        <v>409</v>
      </c>
      <c r="C24" s="345">
        <v>15</v>
      </c>
      <c r="D24" s="349">
        <f>'PU Wise OWE'!O126/10000</f>
        <v>10.4999</v>
      </c>
      <c r="E24" s="346">
        <v>7.94</v>
      </c>
      <c r="F24" s="346">
        <v>8.18</v>
      </c>
      <c r="G24" s="346">
        <v>9.41</v>
      </c>
      <c r="H24" s="346">
        <v>7.82</v>
      </c>
      <c r="I24" s="346">
        <v>9.98</v>
      </c>
      <c r="J24" s="346">
        <f t="shared" si="6"/>
        <v>2.16</v>
      </c>
      <c r="K24" s="349">
        <f t="shared" si="4"/>
        <v>27.621483375959084</v>
      </c>
      <c r="L24" s="349">
        <f t="shared" si="5"/>
        <v>95.04852427165973</v>
      </c>
    </row>
    <row r="25" spans="1:12" ht="21" thickBot="1">
      <c r="B25" s="344" t="s">
        <v>410</v>
      </c>
      <c r="C25" s="345">
        <v>16</v>
      </c>
      <c r="D25" s="349">
        <f>Sheet1!F23</f>
        <v>127.18</v>
      </c>
      <c r="E25" s="349">
        <f>Sheet1!C23</f>
        <v>111.1</v>
      </c>
      <c r="F25" s="346">
        <v>102.79</v>
      </c>
      <c r="G25" s="346">
        <v>88.73</v>
      </c>
      <c r="H25" s="346">
        <v>104.66</v>
      </c>
      <c r="I25" s="346">
        <v>111.89</v>
      </c>
      <c r="J25" s="346">
        <f t="shared" si="6"/>
        <v>7.230000000000004</v>
      </c>
      <c r="K25" s="349">
        <f t="shared" si="4"/>
        <v>6.9080833174087557</v>
      </c>
      <c r="L25" s="349">
        <f t="shared" si="5"/>
        <v>87.977669444881272</v>
      </c>
    </row>
    <row r="26" spans="1:12" ht="21" thickBot="1">
      <c r="B26" s="344" t="s">
        <v>84</v>
      </c>
      <c r="C26" s="345">
        <v>25</v>
      </c>
      <c r="D26" s="349">
        <f>Sheet1!F24</f>
        <v>98.12</v>
      </c>
      <c r="E26" s="349">
        <f>Sheet1!C24</f>
        <v>89</v>
      </c>
      <c r="F26" s="346">
        <v>85.41</v>
      </c>
      <c r="G26" s="346">
        <v>81.78</v>
      </c>
      <c r="H26" s="346">
        <v>88.97</v>
      </c>
      <c r="I26" s="346">
        <v>99.66</v>
      </c>
      <c r="J26" s="346">
        <f t="shared" si="6"/>
        <v>10.689999999999998</v>
      </c>
      <c r="K26" s="349">
        <f t="shared" si="4"/>
        <v>12.015286051478023</v>
      </c>
      <c r="L26" s="349">
        <f t="shared" si="5"/>
        <v>101.56950672645739</v>
      </c>
    </row>
    <row r="27" spans="1:12" ht="38.25" thickBot="1">
      <c r="B27" s="344" t="s">
        <v>411</v>
      </c>
      <c r="C27" s="345">
        <v>26</v>
      </c>
      <c r="D27" s="349">
        <f>Sheet1!F25</f>
        <v>176.47</v>
      </c>
      <c r="E27" s="349">
        <f>Sheet1!C25</f>
        <v>115.51</v>
      </c>
      <c r="F27" s="346">
        <v>115.54</v>
      </c>
      <c r="G27" s="346">
        <v>90.5</v>
      </c>
      <c r="H27" s="346">
        <v>105.66</v>
      </c>
      <c r="I27" s="346">
        <v>139.87</v>
      </c>
      <c r="J27" s="346">
        <f t="shared" si="6"/>
        <v>34.210000000000008</v>
      </c>
      <c r="K27" s="349">
        <f t="shared" si="4"/>
        <v>32.377437062275234</v>
      </c>
      <c r="L27" s="349">
        <f t="shared" si="5"/>
        <v>79.259930866436221</v>
      </c>
    </row>
    <row r="28" spans="1:12" ht="38.25" thickBot="1">
      <c r="B28" s="344" t="s">
        <v>412</v>
      </c>
      <c r="C28" s="345">
        <v>34</v>
      </c>
      <c r="D28" s="349">
        <f>Sheet1!F26</f>
        <v>81.709999999999994</v>
      </c>
      <c r="E28" s="349">
        <f>Sheet1!C26</f>
        <v>65.53</v>
      </c>
      <c r="F28" s="346">
        <v>49.12</v>
      </c>
      <c r="G28" s="346">
        <v>41.07</v>
      </c>
      <c r="H28" s="346">
        <v>57.16</v>
      </c>
      <c r="I28" s="346">
        <v>62.15</v>
      </c>
      <c r="J28" s="346">
        <f t="shared" si="6"/>
        <v>4.990000000000002</v>
      </c>
      <c r="K28" s="349">
        <f t="shared" si="4"/>
        <v>8.7298810356892975</v>
      </c>
      <c r="L28" s="349">
        <f t="shared" si="5"/>
        <v>76.061681556725006</v>
      </c>
    </row>
    <row r="29" spans="1:12" ht="38.25" thickBot="1">
      <c r="B29" s="344" t="s">
        <v>413</v>
      </c>
      <c r="C29" s="345">
        <v>63</v>
      </c>
      <c r="D29" s="349">
        <f>Sheet1!F27</f>
        <v>178.36</v>
      </c>
      <c r="E29" s="349">
        <f>Sheet1!C27</f>
        <v>178.36</v>
      </c>
      <c r="F29" s="346">
        <v>132.41</v>
      </c>
      <c r="G29" s="346">
        <v>169.78</v>
      </c>
      <c r="H29" s="346">
        <v>146.28</v>
      </c>
      <c r="I29" s="346">
        <v>114.69</v>
      </c>
      <c r="J29" s="346">
        <f t="shared" si="6"/>
        <v>-31.590000000000003</v>
      </c>
      <c r="K29" s="349">
        <f t="shared" si="4"/>
        <v>-21.595570139458577</v>
      </c>
      <c r="L29" s="349">
        <f t="shared" si="5"/>
        <v>64.302534200493383</v>
      </c>
    </row>
    <row r="30" spans="1:12" ht="21" thickBot="1">
      <c r="B30" s="451" t="s">
        <v>414</v>
      </c>
      <c r="C30" s="452"/>
      <c r="D30" s="351">
        <f>C6</f>
        <v>6281.79</v>
      </c>
      <c r="E30" s="351">
        <f>F6</f>
        <v>5612.42</v>
      </c>
      <c r="F30" s="347">
        <f>E6</f>
        <v>5075</v>
      </c>
      <c r="G30" s="347">
        <f>D6</f>
        <v>4575.6400000000003</v>
      </c>
      <c r="H30" s="351">
        <f>G6</f>
        <v>5217.8500000000004</v>
      </c>
      <c r="I30" s="351">
        <f>H6</f>
        <v>5746.08</v>
      </c>
      <c r="J30" s="351">
        <f t="shared" si="6"/>
        <v>528.22999999999956</v>
      </c>
      <c r="K30" s="351">
        <f t="shared" si="4"/>
        <v>10.123518307348803</v>
      </c>
      <c r="L30" s="351">
        <f t="shared" si="5"/>
        <v>91.472016734083766</v>
      </c>
    </row>
    <row r="32" spans="1:12" ht="35.25">
      <c r="B32" s="453" t="s">
        <v>416</v>
      </c>
      <c r="C32" s="453"/>
      <c r="D32" s="453"/>
      <c r="E32" s="453"/>
      <c r="F32" s="453"/>
      <c r="G32" s="453"/>
      <c r="H32" s="453"/>
      <c r="I32" s="453"/>
      <c r="J32" s="453"/>
      <c r="K32" s="453"/>
      <c r="L32" s="453"/>
    </row>
    <row r="33" spans="1:12" ht="21" thickBot="1">
      <c r="D33" s="352"/>
    </row>
    <row r="34" spans="1:12" ht="50.25" customHeight="1" thickBot="1">
      <c r="B34" s="353" t="str">
        <f>B12</f>
        <v>Primary Unit</v>
      </c>
      <c r="C34" s="353" t="str">
        <f t="shared" ref="C34:L34" si="7">C12</f>
        <v>PUs</v>
      </c>
      <c r="D34" s="353" t="str">
        <f t="shared" si="7"/>
        <v>RG 2023-24</v>
      </c>
      <c r="E34" s="353" t="str">
        <f t="shared" si="7"/>
        <v>Exp. upto March-23</v>
      </c>
      <c r="F34" s="353" t="str">
        <f t="shared" si="7"/>
        <v>Exp. upto March-22</v>
      </c>
      <c r="G34" s="353" t="str">
        <f t="shared" si="7"/>
        <v>Exp. upto March-21</v>
      </c>
      <c r="H34" s="353" t="str">
        <f t="shared" si="7"/>
        <v>Exp. upto Feb for 2022-23</v>
      </c>
      <c r="I34" s="353" t="str">
        <f t="shared" si="7"/>
        <v>Exp. Upto Feb  for 2023-24</v>
      </c>
      <c r="J34" s="353" t="str">
        <f t="shared" si="7"/>
        <v>Excess/Saving over COPPY</v>
      </c>
      <c r="K34" s="353" t="str">
        <f t="shared" si="7"/>
        <v>Excess/Saving over COPPY in %</v>
      </c>
      <c r="L34" s="353" t="str">
        <f t="shared" si="7"/>
        <v xml:space="preserve">% utilisation of BGSL </v>
      </c>
    </row>
    <row r="35" spans="1:12" ht="38.25" thickBot="1">
      <c r="B35" s="354"/>
      <c r="C35" s="354"/>
      <c r="D35" s="355" t="s">
        <v>382</v>
      </c>
      <c r="E35" s="355" t="s">
        <v>383</v>
      </c>
      <c r="F35" s="355" t="s">
        <v>384</v>
      </c>
      <c r="G35" s="355" t="s">
        <v>385</v>
      </c>
      <c r="H35" s="355" t="s">
        <v>386</v>
      </c>
      <c r="I35" s="355" t="s">
        <v>387</v>
      </c>
      <c r="J35" s="355" t="s">
        <v>388</v>
      </c>
      <c r="K35" s="355" t="s">
        <v>389</v>
      </c>
      <c r="L35" s="355" t="s">
        <v>390</v>
      </c>
    </row>
    <row r="36" spans="1:12" ht="21" thickBot="1">
      <c r="A36" s="360"/>
      <c r="B36" s="344" t="s">
        <v>417</v>
      </c>
      <c r="C36" s="345">
        <v>21</v>
      </c>
      <c r="D36" s="349">
        <f>Sheet1!F35</f>
        <v>19.18</v>
      </c>
      <c r="E36" s="349">
        <f>Sheet1!C35</f>
        <v>17.22</v>
      </c>
      <c r="F36" s="346">
        <v>21.46</v>
      </c>
      <c r="G36" s="346">
        <v>1.68</v>
      </c>
      <c r="H36" s="349">
        <f>Sheet1!H35</f>
        <v>16.45</v>
      </c>
      <c r="I36" s="346">
        <f>Sheet1!J35</f>
        <v>19.2</v>
      </c>
      <c r="J36" s="349">
        <f t="shared" ref="J36:J43" si="8">I36-H36</f>
        <v>2.75</v>
      </c>
      <c r="K36" s="349">
        <f t="shared" ref="K36:K43" si="9">J36/H36*100</f>
        <v>16.717325227963524</v>
      </c>
      <c r="L36" s="349">
        <f t="shared" ref="L36:L43" si="10">I36/D36*100</f>
        <v>100.10427528675703</v>
      </c>
    </row>
    <row r="37" spans="1:12" ht="38.25" thickBot="1">
      <c r="A37" s="358"/>
      <c r="B37" s="344" t="s">
        <v>418</v>
      </c>
      <c r="C37" s="345">
        <v>27</v>
      </c>
      <c r="D37" s="349">
        <f>Sheet1!F53+Sheet1!F43</f>
        <v>224.22</v>
      </c>
      <c r="E37" s="346">
        <v>242.71</v>
      </c>
      <c r="F37" s="346">
        <v>187.82</v>
      </c>
      <c r="G37" s="346">
        <v>12.13</v>
      </c>
      <c r="H37" s="462">
        <v>193.23</v>
      </c>
      <c r="I37" s="462">
        <v>196.57</v>
      </c>
      <c r="J37" s="349">
        <f t="shared" si="8"/>
        <v>3.3400000000000034</v>
      </c>
      <c r="K37" s="349">
        <f t="shared" si="9"/>
        <v>1.7285100657247858</v>
      </c>
      <c r="L37" s="349">
        <f t="shared" si="10"/>
        <v>87.668361430737662</v>
      </c>
    </row>
    <row r="38" spans="1:12" ht="38.25" thickBot="1">
      <c r="A38" s="360"/>
      <c r="B38" s="344" t="s">
        <v>419</v>
      </c>
      <c r="C38" s="345">
        <v>28</v>
      </c>
      <c r="D38" s="349">
        <f>Sheet1!F54</f>
        <v>129.22</v>
      </c>
      <c r="E38" s="349">
        <f>Sheet1!C54</f>
        <v>127.01</v>
      </c>
      <c r="F38" s="346">
        <v>113.64</v>
      </c>
      <c r="G38" s="346">
        <v>23.68</v>
      </c>
      <c r="H38" s="349">
        <f>Sheet1!H54</f>
        <v>124.43</v>
      </c>
      <c r="I38" s="346">
        <f>Sheet1!J54</f>
        <v>130.86000000000001</v>
      </c>
      <c r="J38" s="349">
        <f t="shared" si="8"/>
        <v>6.4300000000000068</v>
      </c>
      <c r="K38" s="349">
        <f t="shared" si="9"/>
        <v>5.1675640922607142</v>
      </c>
      <c r="L38" s="349">
        <f t="shared" si="10"/>
        <v>101.26915338182944</v>
      </c>
    </row>
    <row r="39" spans="1:12" ht="21" thickBot="1">
      <c r="A39" s="358"/>
      <c r="B39" s="344" t="s">
        <v>102</v>
      </c>
      <c r="C39" s="345">
        <v>30</v>
      </c>
      <c r="D39" s="346">
        <v>1775.46</v>
      </c>
      <c r="E39" s="346">
        <v>1686.94</v>
      </c>
      <c r="F39" s="346">
        <v>1187.54</v>
      </c>
      <c r="G39" s="346">
        <v>78.28</v>
      </c>
      <c r="H39" s="346">
        <v>1526.39</v>
      </c>
      <c r="I39" s="346">
        <v>1563.82</v>
      </c>
      <c r="J39" s="349">
        <f t="shared" si="8"/>
        <v>37.429999999999836</v>
      </c>
      <c r="K39" s="349">
        <f t="shared" si="9"/>
        <v>2.4521911176042712</v>
      </c>
      <c r="L39" s="349">
        <f t="shared" si="10"/>
        <v>88.079708920505112</v>
      </c>
    </row>
    <row r="40" spans="1:12" ht="38.25" thickBot="1">
      <c r="A40" s="358"/>
      <c r="B40" s="344" t="s">
        <v>420</v>
      </c>
      <c r="C40" s="345">
        <v>31</v>
      </c>
      <c r="D40" s="346">
        <v>48.3</v>
      </c>
      <c r="E40" s="346">
        <v>33.06</v>
      </c>
      <c r="F40" s="346">
        <v>20.66</v>
      </c>
      <c r="G40" s="346">
        <v>2.08</v>
      </c>
      <c r="H40" s="346">
        <v>31.9</v>
      </c>
      <c r="I40" s="346">
        <v>43.77</v>
      </c>
      <c r="J40" s="349">
        <f t="shared" si="8"/>
        <v>11.870000000000005</v>
      </c>
      <c r="K40" s="349">
        <f t="shared" si="9"/>
        <v>37.210031347962399</v>
      </c>
      <c r="L40" s="349">
        <f t="shared" si="10"/>
        <v>90.621118012422372</v>
      </c>
    </row>
    <row r="41" spans="1:12" ht="38.25" thickBot="1">
      <c r="A41" s="360"/>
      <c r="B41" s="344" t="s">
        <v>421</v>
      </c>
      <c r="C41" s="345">
        <v>32</v>
      </c>
      <c r="D41" s="349">
        <f>Sheet1!F57</f>
        <v>422.86</v>
      </c>
      <c r="E41" s="349">
        <f>Sheet1!C57</f>
        <v>375.28</v>
      </c>
      <c r="F41" s="346">
        <v>350.79</v>
      </c>
      <c r="G41" s="346">
        <v>38.840000000000003</v>
      </c>
      <c r="H41" s="349">
        <f>Sheet1!H57</f>
        <v>356.51</v>
      </c>
      <c r="I41" s="349">
        <f>Sheet1!J57</f>
        <v>410.27</v>
      </c>
      <c r="J41" s="349">
        <f t="shared" si="8"/>
        <v>53.759999999999991</v>
      </c>
      <c r="K41" s="349">
        <f t="shared" si="9"/>
        <v>15.079520911054386</v>
      </c>
      <c r="L41" s="349">
        <f t="shared" si="10"/>
        <v>97.022655252329372</v>
      </c>
    </row>
    <row r="42" spans="1:12" ht="38.25" thickBot="1">
      <c r="A42" s="360"/>
      <c r="B42" s="344" t="s">
        <v>422</v>
      </c>
      <c r="C42" s="345">
        <v>35</v>
      </c>
      <c r="D42" s="349">
        <f>Sheet1!F99</f>
        <v>85.729299999999995</v>
      </c>
      <c r="E42" s="346">
        <f>Sheet1!C99</f>
        <v>67.510000000000005</v>
      </c>
      <c r="F42" s="346">
        <v>122.77</v>
      </c>
      <c r="G42" s="346">
        <v>4.47</v>
      </c>
      <c r="H42" s="349">
        <f>Sheet1!H99</f>
        <v>64.016800000000003</v>
      </c>
      <c r="I42" s="349">
        <f>Sheet1!I99</f>
        <v>70.247900000000001</v>
      </c>
      <c r="J42" s="349">
        <f t="shared" si="8"/>
        <v>6.2310999999999979</v>
      </c>
      <c r="K42" s="349">
        <f t="shared" si="9"/>
        <v>9.7335386960922712</v>
      </c>
      <c r="L42" s="349">
        <f t="shared" si="10"/>
        <v>81.941529908677666</v>
      </c>
    </row>
    <row r="43" spans="1:12" ht="38.25" thickBot="1">
      <c r="A43" s="360"/>
      <c r="B43" s="344" t="s">
        <v>423</v>
      </c>
      <c r="C43" s="345">
        <v>64</v>
      </c>
      <c r="D43" s="349">
        <f>Sheet1!F105</f>
        <v>192.83259999999999</v>
      </c>
      <c r="E43" s="349">
        <f>Sheet1!C105</f>
        <v>186.74</v>
      </c>
      <c r="F43" s="346">
        <v>21.46</v>
      </c>
      <c r="G43" s="346">
        <v>6.79</v>
      </c>
      <c r="H43" s="349">
        <f>Sheet1!H105</f>
        <v>164.4468</v>
      </c>
      <c r="I43" s="349">
        <f>Sheet1!I105</f>
        <v>146.12819999999999</v>
      </c>
      <c r="J43" s="349">
        <f t="shared" si="8"/>
        <v>-18.318600000000004</v>
      </c>
      <c r="K43" s="349">
        <f t="shared" si="9"/>
        <v>-11.139529622954052</v>
      </c>
      <c r="L43" s="349">
        <f t="shared" si="10"/>
        <v>75.779821461723799</v>
      </c>
    </row>
    <row r="44" spans="1:12" ht="21" thickBot="1">
      <c r="A44" s="360"/>
      <c r="B44" s="344" t="s">
        <v>424</v>
      </c>
      <c r="C44" s="345">
        <v>99</v>
      </c>
      <c r="D44" s="349">
        <f>Sheet1!F84</f>
        <v>308.8799999999992</v>
      </c>
      <c r="E44" s="349">
        <f>Sheet1!C84</f>
        <v>260.77</v>
      </c>
      <c r="F44" s="346">
        <v>200.24</v>
      </c>
      <c r="G44" s="346">
        <v>49.87</v>
      </c>
      <c r="H44" s="349">
        <f>Sheet1!H84</f>
        <v>243.15999999999985</v>
      </c>
      <c r="I44" s="346">
        <f>Sheet1!J84</f>
        <v>208.86999999999989</v>
      </c>
      <c r="J44" s="349">
        <f>I44-H44</f>
        <v>-34.289999999999964</v>
      </c>
      <c r="K44" s="349">
        <f>J44/H44*100</f>
        <v>-14.101825958216804</v>
      </c>
      <c r="L44" s="349">
        <f>I44/D44*100</f>
        <v>67.621730121730266</v>
      </c>
    </row>
    <row r="45" spans="1:12" ht="38.25" thickBot="1">
      <c r="A45" s="360"/>
      <c r="B45" s="344" t="s">
        <v>425</v>
      </c>
      <c r="C45" s="356"/>
      <c r="D45" s="359">
        <f>C7</f>
        <v>5022.3300000000008</v>
      </c>
      <c r="E45" s="359">
        <f>F7</f>
        <v>5254.65</v>
      </c>
      <c r="F45" s="357">
        <v>4188.91</v>
      </c>
      <c r="G45" s="357">
        <v>677.45</v>
      </c>
      <c r="H45" s="359">
        <f>G7</f>
        <v>4818.07</v>
      </c>
      <c r="I45" s="359">
        <f>H7</f>
        <v>2989.92</v>
      </c>
      <c r="J45" s="359">
        <f>I45-H45</f>
        <v>-1828.1499999999996</v>
      </c>
      <c r="K45" s="359">
        <f>J45/H45*100</f>
        <v>-37.943616427324628</v>
      </c>
      <c r="L45" s="359">
        <f>I45/D45*100</f>
        <v>59.532527731152662</v>
      </c>
    </row>
    <row r="46" spans="1:12" ht="20.25">
      <c r="D46" s="352"/>
    </row>
    <row r="47" spans="1:12" ht="20.25">
      <c r="D47" s="352"/>
    </row>
  </sheetData>
  <mergeCells count="7">
    <mergeCell ref="B30:C30"/>
    <mergeCell ref="B32:L32"/>
    <mergeCell ref="B1:K1"/>
    <mergeCell ref="B10:K10"/>
    <mergeCell ref="B3:B4"/>
    <mergeCell ref="D3:H3"/>
    <mergeCell ref="I3:J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61"/>
  <sheetViews>
    <sheetView topLeftCell="A43" workbookViewId="0">
      <selection activeCell="P9" sqref="P9"/>
    </sheetView>
  </sheetViews>
  <sheetFormatPr defaultRowHeight="15"/>
  <cols>
    <col min="1" max="1" width="14.7109375" style="331" customWidth="1"/>
    <col min="2" max="13" width="10.85546875" style="331" customWidth="1"/>
    <col min="14" max="14" width="10.28515625" style="331" customWidth="1"/>
    <col min="15" max="256" width="9.140625" style="331"/>
    <col min="257" max="257" width="14.7109375" style="331" customWidth="1"/>
    <col min="258" max="269" width="10.85546875" style="331" customWidth="1"/>
    <col min="270" max="270" width="10.28515625" style="331" customWidth="1"/>
    <col min="271" max="512" width="9.140625" style="331"/>
    <col min="513" max="513" width="14.7109375" style="331" customWidth="1"/>
    <col min="514" max="525" width="10.85546875" style="331" customWidth="1"/>
    <col min="526" max="526" width="10.28515625" style="331" customWidth="1"/>
    <col min="527" max="768" width="9.140625" style="331"/>
    <col min="769" max="769" width="14.7109375" style="331" customWidth="1"/>
    <col min="770" max="781" width="10.85546875" style="331" customWidth="1"/>
    <col min="782" max="782" width="10.28515625" style="331" customWidth="1"/>
    <col min="783" max="1024" width="9.140625" style="331"/>
    <col min="1025" max="1025" width="14.7109375" style="331" customWidth="1"/>
    <col min="1026" max="1037" width="10.85546875" style="331" customWidth="1"/>
    <col min="1038" max="1038" width="10.28515625" style="331" customWidth="1"/>
    <col min="1039" max="1280" width="9.140625" style="331"/>
    <col min="1281" max="1281" width="14.7109375" style="331" customWidth="1"/>
    <col min="1282" max="1293" width="10.85546875" style="331" customWidth="1"/>
    <col min="1294" max="1294" width="10.28515625" style="331" customWidth="1"/>
    <col min="1295" max="1536" width="9.140625" style="331"/>
    <col min="1537" max="1537" width="14.7109375" style="331" customWidth="1"/>
    <col min="1538" max="1549" width="10.85546875" style="331" customWidth="1"/>
    <col min="1550" max="1550" width="10.28515625" style="331" customWidth="1"/>
    <col min="1551" max="1792" width="9.140625" style="331"/>
    <col min="1793" max="1793" width="14.7109375" style="331" customWidth="1"/>
    <col min="1794" max="1805" width="10.85546875" style="331" customWidth="1"/>
    <col min="1806" max="1806" width="10.28515625" style="331" customWidth="1"/>
    <col min="1807" max="2048" width="9.140625" style="331"/>
    <col min="2049" max="2049" width="14.7109375" style="331" customWidth="1"/>
    <col min="2050" max="2061" width="10.85546875" style="331" customWidth="1"/>
    <col min="2062" max="2062" width="10.28515625" style="331" customWidth="1"/>
    <col min="2063" max="2304" width="9.140625" style="331"/>
    <col min="2305" max="2305" width="14.7109375" style="331" customWidth="1"/>
    <col min="2306" max="2317" width="10.85546875" style="331" customWidth="1"/>
    <col min="2318" max="2318" width="10.28515625" style="331" customWidth="1"/>
    <col min="2319" max="2560" width="9.140625" style="331"/>
    <col min="2561" max="2561" width="14.7109375" style="331" customWidth="1"/>
    <col min="2562" max="2573" width="10.85546875" style="331" customWidth="1"/>
    <col min="2574" max="2574" width="10.28515625" style="331" customWidth="1"/>
    <col min="2575" max="2816" width="9.140625" style="331"/>
    <col min="2817" max="2817" width="14.7109375" style="331" customWidth="1"/>
    <col min="2818" max="2829" width="10.85546875" style="331" customWidth="1"/>
    <col min="2830" max="2830" width="10.28515625" style="331" customWidth="1"/>
    <col min="2831" max="3072" width="9.140625" style="331"/>
    <col min="3073" max="3073" width="14.7109375" style="331" customWidth="1"/>
    <col min="3074" max="3085" width="10.85546875" style="331" customWidth="1"/>
    <col min="3086" max="3086" width="10.28515625" style="331" customWidth="1"/>
    <col min="3087" max="3328" width="9.140625" style="331"/>
    <col min="3329" max="3329" width="14.7109375" style="331" customWidth="1"/>
    <col min="3330" max="3341" width="10.85546875" style="331" customWidth="1"/>
    <col min="3342" max="3342" width="10.28515625" style="331" customWidth="1"/>
    <col min="3343" max="3584" width="9.140625" style="331"/>
    <col min="3585" max="3585" width="14.7109375" style="331" customWidth="1"/>
    <col min="3586" max="3597" width="10.85546875" style="331" customWidth="1"/>
    <col min="3598" max="3598" width="10.28515625" style="331" customWidth="1"/>
    <col min="3599" max="3840" width="9.140625" style="331"/>
    <col min="3841" max="3841" width="14.7109375" style="331" customWidth="1"/>
    <col min="3842" max="3853" width="10.85546875" style="331" customWidth="1"/>
    <col min="3854" max="3854" width="10.28515625" style="331" customWidth="1"/>
    <col min="3855" max="4096" width="9.140625" style="331"/>
    <col min="4097" max="4097" width="14.7109375" style="331" customWidth="1"/>
    <col min="4098" max="4109" width="10.85546875" style="331" customWidth="1"/>
    <col min="4110" max="4110" width="10.28515625" style="331" customWidth="1"/>
    <col min="4111" max="4352" width="9.140625" style="331"/>
    <col min="4353" max="4353" width="14.7109375" style="331" customWidth="1"/>
    <col min="4354" max="4365" width="10.85546875" style="331" customWidth="1"/>
    <col min="4366" max="4366" width="10.28515625" style="331" customWidth="1"/>
    <col min="4367" max="4608" width="9.140625" style="331"/>
    <col min="4609" max="4609" width="14.7109375" style="331" customWidth="1"/>
    <col min="4610" max="4621" width="10.85546875" style="331" customWidth="1"/>
    <col min="4622" max="4622" width="10.28515625" style="331" customWidth="1"/>
    <col min="4623" max="4864" width="9.140625" style="331"/>
    <col min="4865" max="4865" width="14.7109375" style="331" customWidth="1"/>
    <col min="4866" max="4877" width="10.85546875" style="331" customWidth="1"/>
    <col min="4878" max="4878" width="10.28515625" style="331" customWidth="1"/>
    <col min="4879" max="5120" width="9.140625" style="331"/>
    <col min="5121" max="5121" width="14.7109375" style="331" customWidth="1"/>
    <col min="5122" max="5133" width="10.85546875" style="331" customWidth="1"/>
    <col min="5134" max="5134" width="10.28515625" style="331" customWidth="1"/>
    <col min="5135" max="5376" width="9.140625" style="331"/>
    <col min="5377" max="5377" width="14.7109375" style="331" customWidth="1"/>
    <col min="5378" max="5389" width="10.85546875" style="331" customWidth="1"/>
    <col min="5390" max="5390" width="10.28515625" style="331" customWidth="1"/>
    <col min="5391" max="5632" width="9.140625" style="331"/>
    <col min="5633" max="5633" width="14.7109375" style="331" customWidth="1"/>
    <col min="5634" max="5645" width="10.85546875" style="331" customWidth="1"/>
    <col min="5646" max="5646" width="10.28515625" style="331" customWidth="1"/>
    <col min="5647" max="5888" width="9.140625" style="331"/>
    <col min="5889" max="5889" width="14.7109375" style="331" customWidth="1"/>
    <col min="5890" max="5901" width="10.85546875" style="331" customWidth="1"/>
    <col min="5902" max="5902" width="10.28515625" style="331" customWidth="1"/>
    <col min="5903" max="6144" width="9.140625" style="331"/>
    <col min="6145" max="6145" width="14.7109375" style="331" customWidth="1"/>
    <col min="6146" max="6157" width="10.85546875" style="331" customWidth="1"/>
    <col min="6158" max="6158" width="10.28515625" style="331" customWidth="1"/>
    <col min="6159" max="6400" width="9.140625" style="331"/>
    <col min="6401" max="6401" width="14.7109375" style="331" customWidth="1"/>
    <col min="6402" max="6413" width="10.85546875" style="331" customWidth="1"/>
    <col min="6414" max="6414" width="10.28515625" style="331" customWidth="1"/>
    <col min="6415" max="6656" width="9.140625" style="331"/>
    <col min="6657" max="6657" width="14.7109375" style="331" customWidth="1"/>
    <col min="6658" max="6669" width="10.85546875" style="331" customWidth="1"/>
    <col min="6670" max="6670" width="10.28515625" style="331" customWidth="1"/>
    <col min="6671" max="6912" width="9.140625" style="331"/>
    <col min="6913" max="6913" width="14.7109375" style="331" customWidth="1"/>
    <col min="6914" max="6925" width="10.85546875" style="331" customWidth="1"/>
    <col min="6926" max="6926" width="10.28515625" style="331" customWidth="1"/>
    <col min="6927" max="7168" width="9.140625" style="331"/>
    <col min="7169" max="7169" width="14.7109375" style="331" customWidth="1"/>
    <col min="7170" max="7181" width="10.85546875" style="331" customWidth="1"/>
    <col min="7182" max="7182" width="10.28515625" style="331" customWidth="1"/>
    <col min="7183" max="7424" width="9.140625" style="331"/>
    <col min="7425" max="7425" width="14.7109375" style="331" customWidth="1"/>
    <col min="7426" max="7437" width="10.85546875" style="331" customWidth="1"/>
    <col min="7438" max="7438" width="10.28515625" style="331" customWidth="1"/>
    <col min="7439" max="7680" width="9.140625" style="331"/>
    <col min="7681" max="7681" width="14.7109375" style="331" customWidth="1"/>
    <col min="7682" max="7693" width="10.85546875" style="331" customWidth="1"/>
    <col min="7694" max="7694" width="10.28515625" style="331" customWidth="1"/>
    <col min="7695" max="7936" width="9.140625" style="331"/>
    <col min="7937" max="7937" width="14.7109375" style="331" customWidth="1"/>
    <col min="7938" max="7949" width="10.85546875" style="331" customWidth="1"/>
    <col min="7950" max="7950" width="10.28515625" style="331" customWidth="1"/>
    <col min="7951" max="8192" width="9.140625" style="331"/>
    <col min="8193" max="8193" width="14.7109375" style="331" customWidth="1"/>
    <col min="8194" max="8205" width="10.85546875" style="331" customWidth="1"/>
    <col min="8206" max="8206" width="10.28515625" style="331" customWidth="1"/>
    <col min="8207" max="8448" width="9.140625" style="331"/>
    <col min="8449" max="8449" width="14.7109375" style="331" customWidth="1"/>
    <col min="8450" max="8461" width="10.85546875" style="331" customWidth="1"/>
    <col min="8462" max="8462" width="10.28515625" style="331" customWidth="1"/>
    <col min="8463" max="8704" width="9.140625" style="331"/>
    <col min="8705" max="8705" width="14.7109375" style="331" customWidth="1"/>
    <col min="8706" max="8717" width="10.85546875" style="331" customWidth="1"/>
    <col min="8718" max="8718" width="10.28515625" style="331" customWidth="1"/>
    <col min="8719" max="8960" width="9.140625" style="331"/>
    <col min="8961" max="8961" width="14.7109375" style="331" customWidth="1"/>
    <col min="8962" max="8973" width="10.85546875" style="331" customWidth="1"/>
    <col min="8974" max="8974" width="10.28515625" style="331" customWidth="1"/>
    <col min="8975" max="9216" width="9.140625" style="331"/>
    <col min="9217" max="9217" width="14.7109375" style="331" customWidth="1"/>
    <col min="9218" max="9229" width="10.85546875" style="331" customWidth="1"/>
    <col min="9230" max="9230" width="10.28515625" style="331" customWidth="1"/>
    <col min="9231" max="9472" width="9.140625" style="331"/>
    <col min="9473" max="9473" width="14.7109375" style="331" customWidth="1"/>
    <col min="9474" max="9485" width="10.85546875" style="331" customWidth="1"/>
    <col min="9486" max="9486" width="10.28515625" style="331" customWidth="1"/>
    <col min="9487" max="9728" width="9.140625" style="331"/>
    <col min="9729" max="9729" width="14.7109375" style="331" customWidth="1"/>
    <col min="9730" max="9741" width="10.85546875" style="331" customWidth="1"/>
    <col min="9742" max="9742" width="10.28515625" style="331" customWidth="1"/>
    <col min="9743" max="9984" width="9.140625" style="331"/>
    <col min="9985" max="9985" width="14.7109375" style="331" customWidth="1"/>
    <col min="9986" max="9997" width="10.85546875" style="331" customWidth="1"/>
    <col min="9998" max="9998" width="10.28515625" style="331" customWidth="1"/>
    <col min="9999" max="10240" width="9.140625" style="331"/>
    <col min="10241" max="10241" width="14.7109375" style="331" customWidth="1"/>
    <col min="10242" max="10253" width="10.85546875" style="331" customWidth="1"/>
    <col min="10254" max="10254" width="10.28515625" style="331" customWidth="1"/>
    <col min="10255" max="10496" width="9.140625" style="331"/>
    <col min="10497" max="10497" width="14.7109375" style="331" customWidth="1"/>
    <col min="10498" max="10509" width="10.85546875" style="331" customWidth="1"/>
    <col min="10510" max="10510" width="10.28515625" style="331" customWidth="1"/>
    <col min="10511" max="10752" width="9.140625" style="331"/>
    <col min="10753" max="10753" width="14.7109375" style="331" customWidth="1"/>
    <col min="10754" max="10765" width="10.85546875" style="331" customWidth="1"/>
    <col min="10766" max="10766" width="10.28515625" style="331" customWidth="1"/>
    <col min="10767" max="11008" width="9.140625" style="331"/>
    <col min="11009" max="11009" width="14.7109375" style="331" customWidth="1"/>
    <col min="11010" max="11021" width="10.85546875" style="331" customWidth="1"/>
    <col min="11022" max="11022" width="10.28515625" style="331" customWidth="1"/>
    <col min="11023" max="11264" width="9.140625" style="331"/>
    <col min="11265" max="11265" width="14.7109375" style="331" customWidth="1"/>
    <col min="11266" max="11277" width="10.85546875" style="331" customWidth="1"/>
    <col min="11278" max="11278" width="10.28515625" style="331" customWidth="1"/>
    <col min="11279" max="11520" width="9.140625" style="331"/>
    <col min="11521" max="11521" width="14.7109375" style="331" customWidth="1"/>
    <col min="11522" max="11533" width="10.85546875" style="331" customWidth="1"/>
    <col min="11534" max="11534" width="10.28515625" style="331" customWidth="1"/>
    <col min="11535" max="11776" width="9.140625" style="331"/>
    <col min="11777" max="11777" width="14.7109375" style="331" customWidth="1"/>
    <col min="11778" max="11789" width="10.85546875" style="331" customWidth="1"/>
    <col min="11790" max="11790" width="10.28515625" style="331" customWidth="1"/>
    <col min="11791" max="12032" width="9.140625" style="331"/>
    <col min="12033" max="12033" width="14.7109375" style="331" customWidth="1"/>
    <col min="12034" max="12045" width="10.85546875" style="331" customWidth="1"/>
    <col min="12046" max="12046" width="10.28515625" style="331" customWidth="1"/>
    <col min="12047" max="12288" width="9.140625" style="331"/>
    <col min="12289" max="12289" width="14.7109375" style="331" customWidth="1"/>
    <col min="12290" max="12301" width="10.85546875" style="331" customWidth="1"/>
    <col min="12302" max="12302" width="10.28515625" style="331" customWidth="1"/>
    <col min="12303" max="12544" width="9.140625" style="331"/>
    <col min="12545" max="12545" width="14.7109375" style="331" customWidth="1"/>
    <col min="12546" max="12557" width="10.85546875" style="331" customWidth="1"/>
    <col min="12558" max="12558" width="10.28515625" style="331" customWidth="1"/>
    <col min="12559" max="12800" width="9.140625" style="331"/>
    <col min="12801" max="12801" width="14.7109375" style="331" customWidth="1"/>
    <col min="12802" max="12813" width="10.85546875" style="331" customWidth="1"/>
    <col min="12814" max="12814" width="10.28515625" style="331" customWidth="1"/>
    <col min="12815" max="13056" width="9.140625" style="331"/>
    <col min="13057" max="13057" width="14.7109375" style="331" customWidth="1"/>
    <col min="13058" max="13069" width="10.85546875" style="331" customWidth="1"/>
    <col min="13070" max="13070" width="10.28515625" style="331" customWidth="1"/>
    <col min="13071" max="13312" width="9.140625" style="331"/>
    <col min="13313" max="13313" width="14.7109375" style="331" customWidth="1"/>
    <col min="13314" max="13325" width="10.85546875" style="331" customWidth="1"/>
    <col min="13326" max="13326" width="10.28515625" style="331" customWidth="1"/>
    <col min="13327" max="13568" width="9.140625" style="331"/>
    <col min="13569" max="13569" width="14.7109375" style="331" customWidth="1"/>
    <col min="13570" max="13581" width="10.85546875" style="331" customWidth="1"/>
    <col min="13582" max="13582" width="10.28515625" style="331" customWidth="1"/>
    <col min="13583" max="13824" width="9.140625" style="331"/>
    <col min="13825" max="13825" width="14.7109375" style="331" customWidth="1"/>
    <col min="13826" max="13837" width="10.85546875" style="331" customWidth="1"/>
    <col min="13838" max="13838" width="10.28515625" style="331" customWidth="1"/>
    <col min="13839" max="14080" width="9.140625" style="331"/>
    <col min="14081" max="14081" width="14.7109375" style="331" customWidth="1"/>
    <col min="14082" max="14093" width="10.85546875" style="331" customWidth="1"/>
    <col min="14094" max="14094" width="10.28515625" style="331" customWidth="1"/>
    <col min="14095" max="14336" width="9.140625" style="331"/>
    <col min="14337" max="14337" width="14.7109375" style="331" customWidth="1"/>
    <col min="14338" max="14349" width="10.85546875" style="331" customWidth="1"/>
    <col min="14350" max="14350" width="10.28515625" style="331" customWidth="1"/>
    <col min="14351" max="14592" width="9.140625" style="331"/>
    <col min="14593" max="14593" width="14.7109375" style="331" customWidth="1"/>
    <col min="14594" max="14605" width="10.85546875" style="331" customWidth="1"/>
    <col min="14606" max="14606" width="10.28515625" style="331" customWidth="1"/>
    <col min="14607" max="14848" width="9.140625" style="331"/>
    <col min="14849" max="14849" width="14.7109375" style="331" customWidth="1"/>
    <col min="14850" max="14861" width="10.85546875" style="331" customWidth="1"/>
    <col min="14862" max="14862" width="10.28515625" style="331" customWidth="1"/>
    <col min="14863" max="15104" width="9.140625" style="331"/>
    <col min="15105" max="15105" width="14.7109375" style="331" customWidth="1"/>
    <col min="15106" max="15117" width="10.85546875" style="331" customWidth="1"/>
    <col min="15118" max="15118" width="10.28515625" style="331" customWidth="1"/>
    <col min="15119" max="15360" width="9.140625" style="331"/>
    <col min="15361" max="15361" width="14.7109375" style="331" customWidth="1"/>
    <col min="15362" max="15373" width="10.85546875" style="331" customWidth="1"/>
    <col min="15374" max="15374" width="10.28515625" style="331" customWidth="1"/>
    <col min="15375" max="15616" width="9.140625" style="331"/>
    <col min="15617" max="15617" width="14.7109375" style="331" customWidth="1"/>
    <col min="15618" max="15629" width="10.85546875" style="331" customWidth="1"/>
    <col min="15630" max="15630" width="10.28515625" style="331" customWidth="1"/>
    <col min="15631" max="15872" width="9.140625" style="331"/>
    <col min="15873" max="15873" width="14.7109375" style="331" customWidth="1"/>
    <col min="15874" max="15885" width="10.85546875" style="331" customWidth="1"/>
    <col min="15886" max="15886" width="10.28515625" style="331" customWidth="1"/>
    <col min="15887" max="16128" width="9.140625" style="331"/>
    <col min="16129" max="16129" width="14.7109375" style="331" customWidth="1"/>
    <col min="16130" max="16141" width="10.85546875" style="331" customWidth="1"/>
    <col min="16142" max="16142" width="10.28515625" style="331" customWidth="1"/>
    <col min="16143" max="16384" width="9.140625" style="331"/>
  </cols>
  <sheetData>
    <row r="1" spans="1:14">
      <c r="A1" s="364" t="s">
        <v>426</v>
      </c>
      <c r="B1" s="365"/>
      <c r="C1" s="365"/>
      <c r="D1" s="365"/>
      <c r="E1" s="365"/>
      <c r="F1" s="365"/>
      <c r="G1" s="365"/>
      <c r="H1" s="365"/>
      <c r="I1" s="365"/>
      <c r="J1" s="365"/>
      <c r="K1" s="365"/>
      <c r="L1" s="365"/>
      <c r="M1" s="365"/>
      <c r="N1" s="365"/>
    </row>
    <row r="2" spans="1:14">
      <c r="A2" s="364" t="s">
        <v>427</v>
      </c>
      <c r="B2" s="365"/>
      <c r="C2" s="365"/>
      <c r="D2" s="365"/>
      <c r="E2" s="365"/>
      <c r="F2" s="365"/>
      <c r="G2" s="365"/>
      <c r="H2" s="365"/>
      <c r="I2" s="365"/>
      <c r="J2" s="365"/>
      <c r="K2" s="365"/>
      <c r="L2" s="365"/>
      <c r="M2" s="365"/>
      <c r="N2" s="365"/>
    </row>
    <row r="3" spans="1:14">
      <c r="A3" s="361" t="s">
        <v>0</v>
      </c>
      <c r="B3" s="361" t="s">
        <v>1</v>
      </c>
      <c r="C3" s="361" t="s">
        <v>2</v>
      </c>
      <c r="D3" s="361" t="s">
        <v>3</v>
      </c>
      <c r="E3" s="361" t="s">
        <v>4</v>
      </c>
      <c r="F3" s="361" t="s">
        <v>5</v>
      </c>
      <c r="G3" s="361" t="s">
        <v>6</v>
      </c>
      <c r="H3" s="361" t="s">
        <v>7</v>
      </c>
      <c r="I3" s="361" t="s">
        <v>8</v>
      </c>
      <c r="J3" s="361" t="s">
        <v>9</v>
      </c>
      <c r="K3" s="361" t="s">
        <v>10</v>
      </c>
      <c r="L3" s="361" t="s">
        <v>11</v>
      </c>
      <c r="M3" s="361" t="s">
        <v>12</v>
      </c>
      <c r="N3" s="361" t="s">
        <v>13</v>
      </c>
    </row>
    <row r="4" spans="1:14">
      <c r="A4" s="361" t="s">
        <v>14</v>
      </c>
      <c r="B4" s="29">
        <v>2384580</v>
      </c>
      <c r="C4" s="29">
        <v>4617628</v>
      </c>
      <c r="D4" s="29">
        <v>903034</v>
      </c>
      <c r="E4" s="29">
        <v>1518365</v>
      </c>
      <c r="F4" s="29">
        <v>2353789</v>
      </c>
      <c r="G4" s="29">
        <v>4708571</v>
      </c>
      <c r="H4" s="29">
        <v>5169128</v>
      </c>
      <c r="I4" s="29">
        <v>11345</v>
      </c>
      <c r="J4" s="29">
        <v>759184</v>
      </c>
      <c r="K4" s="29">
        <v>1677254</v>
      </c>
      <c r="L4" s="28" t="s">
        <v>15</v>
      </c>
      <c r="M4" s="28" t="s">
        <v>15</v>
      </c>
      <c r="N4" s="29">
        <v>24102879</v>
      </c>
    </row>
    <row r="5" spans="1:14">
      <c r="A5" s="361" t="s">
        <v>16</v>
      </c>
      <c r="B5" s="29">
        <v>887901</v>
      </c>
      <c r="C5" s="29">
        <v>1595922</v>
      </c>
      <c r="D5" s="29">
        <v>329801</v>
      </c>
      <c r="E5" s="29">
        <v>564104</v>
      </c>
      <c r="F5" s="29">
        <v>879721</v>
      </c>
      <c r="G5" s="29">
        <v>2190378</v>
      </c>
      <c r="H5" s="29">
        <v>2051996</v>
      </c>
      <c r="I5" s="29">
        <v>4282</v>
      </c>
      <c r="J5" s="29">
        <v>282665</v>
      </c>
      <c r="K5" s="29">
        <v>555199</v>
      </c>
      <c r="L5" s="28" t="s">
        <v>15</v>
      </c>
      <c r="M5" s="28" t="s">
        <v>15</v>
      </c>
      <c r="N5" s="29">
        <v>9341970</v>
      </c>
    </row>
    <row r="6" spans="1:14">
      <c r="A6" s="361" t="s">
        <v>17</v>
      </c>
      <c r="B6" s="29">
        <v>68252</v>
      </c>
      <c r="C6" s="29">
        <v>256111</v>
      </c>
      <c r="D6" s="29">
        <v>43362</v>
      </c>
      <c r="E6" s="29">
        <v>70297</v>
      </c>
      <c r="F6" s="29">
        <v>116781</v>
      </c>
      <c r="G6" s="29">
        <v>190921</v>
      </c>
      <c r="H6" s="29">
        <v>216953</v>
      </c>
      <c r="I6" s="29">
        <v>525</v>
      </c>
      <c r="J6" s="29">
        <v>28155</v>
      </c>
      <c r="K6" s="29">
        <v>26816</v>
      </c>
      <c r="L6" s="28" t="s">
        <v>15</v>
      </c>
      <c r="M6" s="28" t="s">
        <v>15</v>
      </c>
      <c r="N6" s="29">
        <v>1018173</v>
      </c>
    </row>
    <row r="7" spans="1:14">
      <c r="A7" s="361" t="s">
        <v>18</v>
      </c>
      <c r="B7" s="29">
        <v>283399</v>
      </c>
      <c r="C7" s="29">
        <v>368618</v>
      </c>
      <c r="D7" s="29">
        <v>112419</v>
      </c>
      <c r="E7" s="29">
        <v>196267</v>
      </c>
      <c r="F7" s="29">
        <v>217877</v>
      </c>
      <c r="G7" s="29">
        <v>889590</v>
      </c>
      <c r="H7" s="29">
        <v>654113</v>
      </c>
      <c r="I7" s="29">
        <v>1292</v>
      </c>
      <c r="J7" s="29">
        <v>72546</v>
      </c>
      <c r="K7" s="29">
        <v>159548</v>
      </c>
      <c r="L7" s="28" t="s">
        <v>15</v>
      </c>
      <c r="M7" s="28" t="s">
        <v>15</v>
      </c>
      <c r="N7" s="29">
        <v>2955668</v>
      </c>
    </row>
    <row r="8" spans="1:14">
      <c r="A8" s="361" t="s">
        <v>19</v>
      </c>
      <c r="B8" s="29">
        <v>114254</v>
      </c>
      <c r="C8" s="29">
        <v>312367</v>
      </c>
      <c r="D8" s="29">
        <v>78988</v>
      </c>
      <c r="E8" s="29">
        <v>112478</v>
      </c>
      <c r="F8" s="29">
        <v>161704</v>
      </c>
      <c r="G8" s="29">
        <v>305612</v>
      </c>
      <c r="H8" s="29">
        <v>325421</v>
      </c>
      <c r="I8" s="29">
        <v>647</v>
      </c>
      <c r="J8" s="29">
        <v>51587</v>
      </c>
      <c r="K8" s="29">
        <v>94689</v>
      </c>
      <c r="L8" s="28" t="s">
        <v>15</v>
      </c>
      <c r="M8" s="28" t="s">
        <v>15</v>
      </c>
      <c r="N8" s="29">
        <v>1557748</v>
      </c>
    </row>
    <row r="9" spans="1:14">
      <c r="A9" s="361" t="s">
        <v>20</v>
      </c>
      <c r="B9" s="28" t="s">
        <v>15</v>
      </c>
      <c r="C9" s="28" t="s">
        <v>15</v>
      </c>
      <c r="D9" s="28" t="s">
        <v>15</v>
      </c>
      <c r="E9" s="28" t="s">
        <v>15</v>
      </c>
      <c r="F9" s="28" t="s">
        <v>15</v>
      </c>
      <c r="G9" s="28" t="s">
        <v>15</v>
      </c>
      <c r="H9" s="28" t="s">
        <v>15</v>
      </c>
      <c r="I9" s="28" t="s">
        <v>15</v>
      </c>
      <c r="J9" s="28" t="s">
        <v>15</v>
      </c>
      <c r="K9" s="28" t="s">
        <v>15</v>
      </c>
      <c r="L9" s="29">
        <v>3063320</v>
      </c>
      <c r="M9" s="28" t="s">
        <v>15</v>
      </c>
      <c r="N9" s="29">
        <v>3063320</v>
      </c>
    </row>
    <row r="10" spans="1:14">
      <c r="A10" s="361"/>
      <c r="B10" s="28"/>
      <c r="C10" s="28"/>
      <c r="D10" s="28"/>
      <c r="E10" s="28"/>
      <c r="F10" s="28"/>
      <c r="G10" s="28"/>
      <c r="H10" s="28"/>
      <c r="I10" s="28"/>
      <c r="J10" s="28"/>
      <c r="K10" s="28"/>
      <c r="L10" s="29"/>
      <c r="M10" s="28"/>
      <c r="N10" s="29"/>
    </row>
    <row r="11" spans="1:14">
      <c r="A11" s="361" t="s">
        <v>21</v>
      </c>
      <c r="B11" s="29">
        <v>2013</v>
      </c>
      <c r="C11" s="28" t="s">
        <v>15</v>
      </c>
      <c r="D11" s="28" t="s">
        <v>15</v>
      </c>
      <c r="E11" s="29">
        <v>0</v>
      </c>
      <c r="F11" s="29">
        <v>6035</v>
      </c>
      <c r="G11" s="29">
        <v>1893545</v>
      </c>
      <c r="H11" s="29">
        <v>670275</v>
      </c>
      <c r="I11" s="29">
        <v>465</v>
      </c>
      <c r="J11" s="28" t="s">
        <v>15</v>
      </c>
      <c r="K11" s="29">
        <v>-8</v>
      </c>
      <c r="L11" s="28" t="s">
        <v>15</v>
      </c>
      <c r="M11" s="28" t="s">
        <v>15</v>
      </c>
      <c r="N11" s="29">
        <v>2572326</v>
      </c>
    </row>
    <row r="12" spans="1:14">
      <c r="A12" s="361" t="s">
        <v>22</v>
      </c>
      <c r="B12" s="29">
        <v>194</v>
      </c>
      <c r="C12" s="29">
        <v>87</v>
      </c>
      <c r="D12" s="29">
        <v>2935</v>
      </c>
      <c r="E12" s="29">
        <v>3311</v>
      </c>
      <c r="F12" s="29">
        <v>1985</v>
      </c>
      <c r="G12" s="29">
        <v>15762</v>
      </c>
      <c r="H12" s="29">
        <v>101973</v>
      </c>
      <c r="I12" s="29">
        <v>11</v>
      </c>
      <c r="J12" s="29">
        <v>430</v>
      </c>
      <c r="K12" s="28" t="s">
        <v>15</v>
      </c>
      <c r="L12" s="28" t="s">
        <v>15</v>
      </c>
      <c r="M12" s="28" t="s">
        <v>15</v>
      </c>
      <c r="N12" s="29">
        <v>126687</v>
      </c>
    </row>
    <row r="13" spans="1:14">
      <c r="A13" s="361" t="s">
        <v>23</v>
      </c>
      <c r="B13" s="29">
        <v>2346</v>
      </c>
      <c r="C13" s="29">
        <v>77600</v>
      </c>
      <c r="D13" s="29">
        <v>7337</v>
      </c>
      <c r="E13" s="29">
        <v>38164</v>
      </c>
      <c r="F13" s="29">
        <v>31924</v>
      </c>
      <c r="G13" s="29">
        <v>168366</v>
      </c>
      <c r="H13" s="29">
        <v>198887</v>
      </c>
      <c r="I13" s="29">
        <v>187</v>
      </c>
      <c r="J13" s="29">
        <v>1921</v>
      </c>
      <c r="K13" s="29">
        <v>884</v>
      </c>
      <c r="L13" s="28" t="s">
        <v>15</v>
      </c>
      <c r="M13" s="28" t="s">
        <v>15</v>
      </c>
      <c r="N13" s="29">
        <v>527616</v>
      </c>
    </row>
    <row r="14" spans="1:14">
      <c r="A14" s="361" t="s">
        <v>24</v>
      </c>
      <c r="B14" s="29">
        <v>9284</v>
      </c>
      <c r="C14" s="29">
        <v>429968</v>
      </c>
      <c r="D14" s="29">
        <v>11585</v>
      </c>
      <c r="E14" s="29">
        <v>31380</v>
      </c>
      <c r="F14" s="29">
        <v>46569</v>
      </c>
      <c r="G14" s="29">
        <v>299783</v>
      </c>
      <c r="H14" s="29">
        <v>191185</v>
      </c>
      <c r="I14" s="29">
        <v>188</v>
      </c>
      <c r="J14" s="29">
        <v>68044</v>
      </c>
      <c r="K14" s="29">
        <v>166204</v>
      </c>
      <c r="L14" s="28" t="s">
        <v>15</v>
      </c>
      <c r="M14" s="28" t="s">
        <v>15</v>
      </c>
      <c r="N14" s="29">
        <v>1254189</v>
      </c>
    </row>
    <row r="15" spans="1:14">
      <c r="A15" s="361" t="s">
        <v>25</v>
      </c>
      <c r="B15" s="29">
        <v>1997</v>
      </c>
      <c r="C15" s="29">
        <v>510</v>
      </c>
      <c r="D15" s="29">
        <v>133</v>
      </c>
      <c r="E15" s="29">
        <v>497</v>
      </c>
      <c r="F15" s="29">
        <v>279</v>
      </c>
      <c r="G15" s="29">
        <v>439</v>
      </c>
      <c r="H15" s="29">
        <v>928</v>
      </c>
      <c r="I15" s="29">
        <v>27</v>
      </c>
      <c r="J15" s="29">
        <v>9279</v>
      </c>
      <c r="K15" s="29">
        <v>364</v>
      </c>
      <c r="L15" s="28" t="s">
        <v>15</v>
      </c>
      <c r="M15" s="28" t="s">
        <v>15</v>
      </c>
      <c r="N15" s="29">
        <v>14453</v>
      </c>
    </row>
    <row r="16" spans="1:14">
      <c r="A16" s="361" t="s">
        <v>26</v>
      </c>
      <c r="B16" s="29">
        <v>17708</v>
      </c>
      <c r="C16" s="29">
        <v>6933</v>
      </c>
      <c r="D16" s="29">
        <v>2415</v>
      </c>
      <c r="E16" s="29">
        <v>4206</v>
      </c>
      <c r="F16" s="29">
        <v>5627</v>
      </c>
      <c r="G16" s="29">
        <v>6504</v>
      </c>
      <c r="H16" s="29">
        <v>16670</v>
      </c>
      <c r="I16" s="29">
        <v>46</v>
      </c>
      <c r="J16" s="29">
        <v>2677</v>
      </c>
      <c r="K16" s="29">
        <v>15411</v>
      </c>
      <c r="L16" s="28" t="s">
        <v>15</v>
      </c>
      <c r="M16" s="28" t="s">
        <v>15</v>
      </c>
      <c r="N16" s="29">
        <v>78196</v>
      </c>
    </row>
    <row r="17" spans="1:14">
      <c r="A17" s="361" t="s">
        <v>27</v>
      </c>
      <c r="B17" s="29">
        <v>82110</v>
      </c>
      <c r="C17" s="29">
        <v>319849</v>
      </c>
      <c r="D17" s="29">
        <v>10325</v>
      </c>
      <c r="E17" s="29">
        <v>39098</v>
      </c>
      <c r="F17" s="29">
        <v>216863</v>
      </c>
      <c r="G17" s="29">
        <v>13715</v>
      </c>
      <c r="H17" s="29">
        <v>248941</v>
      </c>
      <c r="I17" s="29">
        <v>148</v>
      </c>
      <c r="J17" s="29">
        <v>12360</v>
      </c>
      <c r="K17" s="29">
        <v>167625</v>
      </c>
      <c r="L17" s="28" t="s">
        <v>15</v>
      </c>
      <c r="M17" s="28" t="s">
        <v>15</v>
      </c>
      <c r="N17" s="29">
        <v>1111034</v>
      </c>
    </row>
    <row r="18" spans="1:14">
      <c r="A18" s="361"/>
      <c r="B18" s="29"/>
      <c r="C18" s="29"/>
      <c r="D18" s="29"/>
      <c r="E18" s="29"/>
      <c r="F18" s="29"/>
      <c r="G18" s="29"/>
      <c r="H18" s="29"/>
      <c r="I18" s="29"/>
      <c r="J18" s="29"/>
      <c r="K18" s="29"/>
      <c r="L18" s="28"/>
      <c r="M18" s="28"/>
      <c r="N18" s="29"/>
    </row>
    <row r="19" spans="1:14">
      <c r="A19" s="361" t="s">
        <v>28</v>
      </c>
      <c r="B19" s="29">
        <v>17337</v>
      </c>
      <c r="C19" s="29">
        <v>3893</v>
      </c>
      <c r="D19" s="29">
        <v>915</v>
      </c>
      <c r="E19" s="29">
        <v>646</v>
      </c>
      <c r="F19" s="29">
        <v>4778</v>
      </c>
      <c r="G19" s="29">
        <v>4120</v>
      </c>
      <c r="H19" s="29">
        <v>13572</v>
      </c>
      <c r="I19" s="28" t="s">
        <v>15</v>
      </c>
      <c r="J19" s="29">
        <v>508</v>
      </c>
      <c r="K19" s="29">
        <v>5511</v>
      </c>
      <c r="L19" s="28" t="s">
        <v>15</v>
      </c>
      <c r="M19" s="28" t="s">
        <v>15</v>
      </c>
      <c r="N19" s="29">
        <v>51281</v>
      </c>
    </row>
    <row r="20" spans="1:14">
      <c r="A20" s="361" t="s">
        <v>29</v>
      </c>
      <c r="B20" s="29">
        <v>7548</v>
      </c>
      <c r="C20" s="29">
        <v>617</v>
      </c>
      <c r="D20" s="29">
        <v>819</v>
      </c>
      <c r="E20" s="29">
        <v>832</v>
      </c>
      <c r="F20" s="29">
        <v>7595</v>
      </c>
      <c r="G20" s="29">
        <v>1710</v>
      </c>
      <c r="H20" s="29">
        <v>1183</v>
      </c>
      <c r="I20" s="28" t="s">
        <v>15</v>
      </c>
      <c r="J20" s="29">
        <v>144</v>
      </c>
      <c r="K20" s="29">
        <v>556</v>
      </c>
      <c r="L20" s="28" t="s">
        <v>15</v>
      </c>
      <c r="M20" s="28" t="s">
        <v>15</v>
      </c>
      <c r="N20" s="29">
        <v>21004</v>
      </c>
    </row>
    <row r="21" spans="1:14">
      <c r="A21" s="361" t="s">
        <v>30</v>
      </c>
      <c r="B21" s="29">
        <v>18505</v>
      </c>
      <c r="C21" s="29">
        <v>7178</v>
      </c>
      <c r="D21" s="29">
        <v>2471</v>
      </c>
      <c r="E21" s="29">
        <v>4349</v>
      </c>
      <c r="F21" s="29">
        <v>6947</v>
      </c>
      <c r="G21" s="29">
        <v>18066</v>
      </c>
      <c r="H21" s="29">
        <v>15723</v>
      </c>
      <c r="I21" s="28" t="s">
        <v>15</v>
      </c>
      <c r="J21" s="29">
        <v>3402</v>
      </c>
      <c r="K21" s="29">
        <v>4944</v>
      </c>
      <c r="L21" s="28" t="s">
        <v>15</v>
      </c>
      <c r="M21" s="28" t="s">
        <v>15</v>
      </c>
      <c r="N21" s="29">
        <v>81585</v>
      </c>
    </row>
    <row r="22" spans="1:14">
      <c r="A22" s="361" t="s">
        <v>31</v>
      </c>
      <c r="B22" s="29">
        <v>76515</v>
      </c>
      <c r="C22" s="29">
        <v>36874</v>
      </c>
      <c r="D22" s="29">
        <v>734</v>
      </c>
      <c r="E22" s="29">
        <v>2</v>
      </c>
      <c r="F22" s="29">
        <v>5528</v>
      </c>
      <c r="G22" s="29">
        <v>1562</v>
      </c>
      <c r="H22" s="29">
        <v>41448</v>
      </c>
      <c r="I22" s="28" t="s">
        <v>15</v>
      </c>
      <c r="J22" s="29">
        <v>1724</v>
      </c>
      <c r="K22" s="29">
        <v>104</v>
      </c>
      <c r="L22" s="28" t="s">
        <v>15</v>
      </c>
      <c r="M22" s="28" t="s">
        <v>15</v>
      </c>
      <c r="N22" s="29">
        <v>164490</v>
      </c>
    </row>
    <row r="23" spans="1:14">
      <c r="A23" s="361" t="s">
        <v>332</v>
      </c>
      <c r="B23" s="29">
        <v>0</v>
      </c>
      <c r="C23" s="28" t="s">
        <v>15</v>
      </c>
      <c r="D23" s="28" t="s">
        <v>15</v>
      </c>
      <c r="E23" s="28" t="s">
        <v>15</v>
      </c>
      <c r="F23" s="29">
        <v>0</v>
      </c>
      <c r="G23" s="28" t="s">
        <v>15</v>
      </c>
      <c r="H23" s="28" t="s">
        <v>15</v>
      </c>
      <c r="I23" s="28" t="s">
        <v>15</v>
      </c>
      <c r="J23" s="28" t="s">
        <v>15</v>
      </c>
      <c r="K23" s="28" t="s">
        <v>15</v>
      </c>
      <c r="L23" s="28" t="s">
        <v>15</v>
      </c>
      <c r="M23" s="28" t="s">
        <v>15</v>
      </c>
      <c r="N23" s="29">
        <v>0</v>
      </c>
    </row>
    <row r="24" spans="1:14">
      <c r="A24" s="361"/>
      <c r="B24" s="29"/>
      <c r="C24" s="28"/>
      <c r="D24" s="28"/>
      <c r="E24" s="28"/>
      <c r="F24" s="29"/>
      <c r="G24" s="28"/>
      <c r="H24" s="28"/>
      <c r="I24" s="28"/>
      <c r="J24" s="28"/>
      <c r="K24" s="28"/>
      <c r="L24" s="28"/>
      <c r="M24" s="28"/>
      <c r="N24" s="29"/>
    </row>
    <row r="25" spans="1:14">
      <c r="A25" s="361" t="s">
        <v>32</v>
      </c>
      <c r="B25" s="29">
        <v>5381</v>
      </c>
      <c r="C25" s="29">
        <v>164</v>
      </c>
      <c r="D25" s="29">
        <v>138</v>
      </c>
      <c r="E25" s="28" t="s">
        <v>15</v>
      </c>
      <c r="F25" s="29">
        <v>195</v>
      </c>
      <c r="G25" s="29">
        <v>751</v>
      </c>
      <c r="H25" s="29">
        <v>23724</v>
      </c>
      <c r="I25" s="28" t="s">
        <v>15</v>
      </c>
      <c r="J25" s="29">
        <v>37</v>
      </c>
      <c r="K25" s="29">
        <v>110</v>
      </c>
      <c r="L25" s="28" t="s">
        <v>15</v>
      </c>
      <c r="M25" s="28" t="s">
        <v>15</v>
      </c>
      <c r="N25" s="29">
        <v>30499</v>
      </c>
    </row>
    <row r="26" spans="1:14">
      <c r="A26" s="361" t="s">
        <v>34</v>
      </c>
      <c r="B26" s="28" t="s">
        <v>15</v>
      </c>
      <c r="C26" s="28" t="s">
        <v>15</v>
      </c>
      <c r="D26" s="28" t="s">
        <v>15</v>
      </c>
      <c r="E26" s="28" t="s">
        <v>15</v>
      </c>
      <c r="F26" s="28" t="s">
        <v>15</v>
      </c>
      <c r="G26" s="28" t="s">
        <v>15</v>
      </c>
      <c r="H26" s="29">
        <v>0</v>
      </c>
      <c r="I26" s="28" t="s">
        <v>15</v>
      </c>
      <c r="J26" s="29">
        <v>889988</v>
      </c>
      <c r="K26" s="28" t="s">
        <v>15</v>
      </c>
      <c r="L26" s="28" t="s">
        <v>15</v>
      </c>
      <c r="M26" s="28" t="s">
        <v>15</v>
      </c>
      <c r="N26" s="29">
        <v>889988</v>
      </c>
    </row>
    <row r="27" spans="1:14">
      <c r="A27" s="361" t="s">
        <v>35</v>
      </c>
      <c r="B27" s="28" t="s">
        <v>15</v>
      </c>
      <c r="C27" s="28" t="s">
        <v>15</v>
      </c>
      <c r="D27" s="28" t="s">
        <v>15</v>
      </c>
      <c r="E27" s="28" t="s">
        <v>15</v>
      </c>
      <c r="F27" s="28" t="s">
        <v>15</v>
      </c>
      <c r="G27" s="28" t="s">
        <v>15</v>
      </c>
      <c r="H27" s="28" t="s">
        <v>15</v>
      </c>
      <c r="I27" s="28" t="s">
        <v>15</v>
      </c>
      <c r="J27" s="29">
        <v>1153151</v>
      </c>
      <c r="K27" s="28" t="s">
        <v>15</v>
      </c>
      <c r="L27" s="28" t="s">
        <v>15</v>
      </c>
      <c r="M27" s="28" t="s">
        <v>15</v>
      </c>
      <c r="N27" s="29">
        <v>1153151</v>
      </c>
    </row>
    <row r="28" spans="1:14">
      <c r="A28" s="361" t="s">
        <v>36</v>
      </c>
      <c r="B28" s="29">
        <v>-5319</v>
      </c>
      <c r="C28" s="29">
        <v>80745</v>
      </c>
      <c r="D28" s="29">
        <v>473920</v>
      </c>
      <c r="E28" s="29">
        <v>314029</v>
      </c>
      <c r="F28" s="29">
        <v>274564</v>
      </c>
      <c r="G28" s="29">
        <v>108437</v>
      </c>
      <c r="H28" s="29">
        <v>33657</v>
      </c>
      <c r="I28" s="29">
        <v>648864</v>
      </c>
      <c r="J28" s="29">
        <v>2650</v>
      </c>
      <c r="K28" s="29">
        <v>716</v>
      </c>
      <c r="L28" s="28" t="s">
        <v>15</v>
      </c>
      <c r="M28" s="28" t="s">
        <v>15</v>
      </c>
      <c r="N28" s="29">
        <v>1932263</v>
      </c>
    </row>
    <row r="29" spans="1:14">
      <c r="A29" s="361" t="s">
        <v>37</v>
      </c>
      <c r="B29" s="29">
        <v>14322</v>
      </c>
      <c r="C29" s="29">
        <v>354112</v>
      </c>
      <c r="D29" s="29">
        <v>78435</v>
      </c>
      <c r="E29" s="29">
        <v>35937</v>
      </c>
      <c r="F29" s="29">
        <v>380100</v>
      </c>
      <c r="G29" s="29">
        <v>36630</v>
      </c>
      <c r="H29" s="29">
        <v>35671</v>
      </c>
      <c r="I29" s="28" t="s">
        <v>15</v>
      </c>
      <c r="J29" s="29">
        <v>292763</v>
      </c>
      <c r="K29" s="29">
        <v>16295</v>
      </c>
      <c r="L29" s="28" t="s">
        <v>15</v>
      </c>
      <c r="M29" s="28" t="s">
        <v>15</v>
      </c>
      <c r="N29" s="29">
        <v>1244263</v>
      </c>
    </row>
    <row r="30" spans="1:14">
      <c r="A30" s="361"/>
      <c r="B30" s="29"/>
      <c r="C30" s="29"/>
      <c r="D30" s="29"/>
      <c r="E30" s="29"/>
      <c r="F30" s="29"/>
      <c r="G30" s="29"/>
      <c r="H30" s="29"/>
      <c r="I30" s="28"/>
      <c r="J30" s="29"/>
      <c r="K30" s="29"/>
      <c r="L30" s="28"/>
      <c r="M30" s="28"/>
      <c r="N30" s="29"/>
    </row>
    <row r="31" spans="1:14">
      <c r="A31" s="361" t="s">
        <v>38</v>
      </c>
      <c r="B31" s="29">
        <v>1226</v>
      </c>
      <c r="C31" s="29">
        <v>0</v>
      </c>
      <c r="D31" s="28" t="s">
        <v>15</v>
      </c>
      <c r="E31" s="29">
        <v>435</v>
      </c>
      <c r="F31" s="29">
        <v>0</v>
      </c>
      <c r="G31" s="29">
        <v>881455</v>
      </c>
      <c r="H31" s="28" t="s">
        <v>15</v>
      </c>
      <c r="I31" s="29">
        <v>14313856</v>
      </c>
      <c r="J31" s="29">
        <v>66630</v>
      </c>
      <c r="K31" s="29">
        <v>252</v>
      </c>
      <c r="L31" s="28" t="s">
        <v>15</v>
      </c>
      <c r="M31" s="28" t="s">
        <v>15</v>
      </c>
      <c r="N31" s="29">
        <v>15263855</v>
      </c>
    </row>
    <row r="32" spans="1:14">
      <c r="A32" s="361" t="s">
        <v>39</v>
      </c>
      <c r="B32" s="29">
        <v>10</v>
      </c>
      <c r="C32" s="29">
        <v>209692</v>
      </c>
      <c r="D32" s="29">
        <v>320</v>
      </c>
      <c r="E32" s="28" t="s">
        <v>15</v>
      </c>
      <c r="F32" s="29">
        <v>14383</v>
      </c>
      <c r="G32" s="29">
        <v>93964</v>
      </c>
      <c r="H32" s="28" t="s">
        <v>15</v>
      </c>
      <c r="I32" s="28" t="s">
        <v>15</v>
      </c>
      <c r="J32" s="29">
        <v>12</v>
      </c>
      <c r="K32" s="29">
        <v>656</v>
      </c>
      <c r="L32" s="28" t="s">
        <v>15</v>
      </c>
      <c r="M32" s="28" t="s">
        <v>15</v>
      </c>
      <c r="N32" s="29">
        <v>319037</v>
      </c>
    </row>
    <row r="33" spans="1:14">
      <c r="A33" s="361" t="s">
        <v>41</v>
      </c>
      <c r="B33" s="29">
        <v>98350</v>
      </c>
      <c r="C33" s="29">
        <v>991180</v>
      </c>
      <c r="D33" s="29">
        <v>126498</v>
      </c>
      <c r="E33" s="29">
        <v>107874</v>
      </c>
      <c r="F33" s="29">
        <v>645382</v>
      </c>
      <c r="G33" s="29">
        <v>736813</v>
      </c>
      <c r="H33" s="29">
        <v>439054</v>
      </c>
      <c r="I33" s="28" t="s">
        <v>15</v>
      </c>
      <c r="J33" s="29">
        <v>325706</v>
      </c>
      <c r="K33" s="29">
        <v>94259</v>
      </c>
      <c r="L33" s="28" t="s">
        <v>15</v>
      </c>
      <c r="M33" s="28" t="s">
        <v>15</v>
      </c>
      <c r="N33" s="29">
        <v>3565116</v>
      </c>
    </row>
    <row r="34" spans="1:14">
      <c r="A34" s="361" t="s">
        <v>42</v>
      </c>
      <c r="B34" s="28" t="s">
        <v>15</v>
      </c>
      <c r="C34" s="29">
        <v>237565</v>
      </c>
      <c r="D34" s="29">
        <v>-22728</v>
      </c>
      <c r="E34" s="29">
        <v>-480471</v>
      </c>
      <c r="F34" s="29">
        <v>369563</v>
      </c>
      <c r="G34" s="29">
        <v>6218</v>
      </c>
      <c r="H34" s="29">
        <v>16849564</v>
      </c>
      <c r="I34" s="29">
        <v>258449</v>
      </c>
      <c r="J34" s="28" t="s">
        <v>15</v>
      </c>
      <c r="K34" s="29">
        <v>247284</v>
      </c>
      <c r="L34" s="28" t="s">
        <v>15</v>
      </c>
      <c r="M34" s="28" t="s">
        <v>15</v>
      </c>
      <c r="N34" s="29">
        <v>17465445</v>
      </c>
    </row>
    <row r="35" spans="1:14">
      <c r="A35" s="361" t="s">
        <v>43</v>
      </c>
      <c r="B35" s="28" t="s">
        <v>15</v>
      </c>
      <c r="C35" s="28" t="s">
        <v>15</v>
      </c>
      <c r="D35" s="28" t="s">
        <v>15</v>
      </c>
      <c r="E35" s="29">
        <v>620467</v>
      </c>
      <c r="F35" s="29">
        <v>4829</v>
      </c>
      <c r="G35" s="28" t="s">
        <v>15</v>
      </c>
      <c r="H35" s="28" t="s">
        <v>15</v>
      </c>
      <c r="I35" s="28" t="s">
        <v>15</v>
      </c>
      <c r="J35" s="28" t="s">
        <v>15</v>
      </c>
      <c r="K35" s="28" t="s">
        <v>15</v>
      </c>
      <c r="L35" s="28" t="s">
        <v>15</v>
      </c>
      <c r="M35" s="28" t="s">
        <v>15</v>
      </c>
      <c r="N35" s="29">
        <v>625296</v>
      </c>
    </row>
    <row r="36" spans="1:14">
      <c r="A36" s="361" t="s">
        <v>44</v>
      </c>
      <c r="B36" s="28" t="s">
        <v>15</v>
      </c>
      <c r="C36" s="28" t="s">
        <v>15</v>
      </c>
      <c r="D36" s="28" t="s">
        <v>15</v>
      </c>
      <c r="E36" s="29">
        <v>640115</v>
      </c>
      <c r="F36" s="29">
        <v>53</v>
      </c>
      <c r="G36" s="28" t="s">
        <v>15</v>
      </c>
      <c r="H36" s="28" t="s">
        <v>15</v>
      </c>
      <c r="I36" s="28" t="s">
        <v>15</v>
      </c>
      <c r="J36" s="28" t="s">
        <v>15</v>
      </c>
      <c r="K36" s="28" t="s">
        <v>15</v>
      </c>
      <c r="L36" s="28" t="s">
        <v>15</v>
      </c>
      <c r="M36" s="28" t="s">
        <v>15</v>
      </c>
      <c r="N36" s="29">
        <v>640168</v>
      </c>
    </row>
    <row r="37" spans="1:14">
      <c r="A37" s="361" t="s">
        <v>45</v>
      </c>
      <c r="B37" s="28" t="s">
        <v>15</v>
      </c>
      <c r="C37" s="28" t="s">
        <v>15</v>
      </c>
      <c r="D37" s="28" t="s">
        <v>15</v>
      </c>
      <c r="E37" s="28" t="s">
        <v>15</v>
      </c>
      <c r="F37" s="28" t="s">
        <v>15</v>
      </c>
      <c r="G37" s="28" t="s">
        <v>15</v>
      </c>
      <c r="H37" s="28" t="s">
        <v>15</v>
      </c>
      <c r="I37" s="29">
        <v>115129</v>
      </c>
      <c r="J37" s="28" t="s">
        <v>15</v>
      </c>
      <c r="K37" s="28" t="s">
        <v>15</v>
      </c>
      <c r="L37" s="28" t="s">
        <v>15</v>
      </c>
      <c r="M37" s="28" t="s">
        <v>15</v>
      </c>
      <c r="N37" s="29">
        <v>115129</v>
      </c>
    </row>
    <row r="38" spans="1:14">
      <c r="A38" s="361"/>
      <c r="B38" s="28"/>
      <c r="C38" s="28"/>
      <c r="D38" s="28"/>
      <c r="E38" s="28"/>
      <c r="F38" s="28"/>
      <c r="G38" s="28"/>
      <c r="H38" s="28"/>
      <c r="I38" s="29"/>
      <c r="J38" s="28"/>
      <c r="K38" s="28"/>
      <c r="L38" s="28"/>
      <c r="M38" s="28"/>
      <c r="N38" s="29"/>
    </row>
    <row r="39" spans="1:14">
      <c r="A39" s="361" t="s">
        <v>46</v>
      </c>
      <c r="B39" s="29">
        <v>1278</v>
      </c>
      <c r="C39" s="28" t="s">
        <v>15</v>
      </c>
      <c r="D39" s="28" t="s">
        <v>15</v>
      </c>
      <c r="E39" s="28" t="s">
        <v>15</v>
      </c>
      <c r="F39" s="28" t="s">
        <v>15</v>
      </c>
      <c r="G39" s="28" t="s">
        <v>15</v>
      </c>
      <c r="H39" s="28" t="s">
        <v>15</v>
      </c>
      <c r="I39" s="28" t="s">
        <v>15</v>
      </c>
      <c r="J39" s="29">
        <v>15</v>
      </c>
      <c r="K39" s="28" t="s">
        <v>15</v>
      </c>
      <c r="L39" s="28" t="s">
        <v>15</v>
      </c>
      <c r="M39" s="28" t="s">
        <v>15</v>
      </c>
      <c r="N39" s="29">
        <v>1293</v>
      </c>
    </row>
    <row r="40" spans="1:14">
      <c r="A40" s="361"/>
      <c r="B40" s="29"/>
      <c r="C40" s="28"/>
      <c r="D40" s="28"/>
      <c r="E40" s="28"/>
      <c r="F40" s="28"/>
      <c r="G40" s="28"/>
      <c r="H40" s="28"/>
      <c r="I40" s="28"/>
      <c r="J40" s="29"/>
      <c r="K40" s="28"/>
      <c r="L40" s="28"/>
      <c r="M40" s="28"/>
      <c r="N40" s="29"/>
    </row>
    <row r="41" spans="1:14">
      <c r="A41" s="361" t="s">
        <v>47</v>
      </c>
      <c r="B41" s="28" t="s">
        <v>15</v>
      </c>
      <c r="C41" s="28" t="s">
        <v>15</v>
      </c>
      <c r="D41" s="28" t="s">
        <v>15</v>
      </c>
      <c r="E41" s="28" t="s">
        <v>15</v>
      </c>
      <c r="F41" s="28" t="s">
        <v>15</v>
      </c>
      <c r="G41" s="28" t="s">
        <v>15</v>
      </c>
      <c r="H41" s="28" t="s">
        <v>15</v>
      </c>
      <c r="I41" s="29">
        <v>71012</v>
      </c>
      <c r="J41" s="28" t="s">
        <v>15</v>
      </c>
      <c r="K41" s="28" t="s">
        <v>15</v>
      </c>
      <c r="L41" s="28" t="s">
        <v>15</v>
      </c>
      <c r="M41" s="28" t="s">
        <v>15</v>
      </c>
      <c r="N41" s="29">
        <v>71012</v>
      </c>
    </row>
    <row r="42" spans="1:14">
      <c r="A42" s="361" t="s">
        <v>48</v>
      </c>
      <c r="B42" s="29">
        <v>7689</v>
      </c>
      <c r="C42" s="29">
        <v>9715</v>
      </c>
      <c r="D42" s="29">
        <v>925</v>
      </c>
      <c r="E42" s="29">
        <v>4029</v>
      </c>
      <c r="F42" s="29">
        <v>8166</v>
      </c>
      <c r="G42" s="29">
        <v>2293</v>
      </c>
      <c r="H42" s="29">
        <v>19114</v>
      </c>
      <c r="I42" s="29">
        <v>6</v>
      </c>
      <c r="J42" s="29">
        <v>669</v>
      </c>
      <c r="K42" s="29">
        <v>3149</v>
      </c>
      <c r="L42" s="28" t="s">
        <v>15</v>
      </c>
      <c r="M42" s="28" t="s">
        <v>15</v>
      </c>
      <c r="N42" s="29">
        <v>55755</v>
      </c>
    </row>
    <row r="43" spans="1:14">
      <c r="A43" s="361" t="s">
        <v>49</v>
      </c>
      <c r="B43" s="29">
        <v>4114</v>
      </c>
      <c r="C43" s="29">
        <v>7685</v>
      </c>
      <c r="D43" s="29">
        <v>3057</v>
      </c>
      <c r="E43" s="29">
        <v>3294</v>
      </c>
      <c r="F43" s="29">
        <v>4002</v>
      </c>
      <c r="G43" s="29">
        <v>1143</v>
      </c>
      <c r="H43" s="29">
        <v>4519</v>
      </c>
      <c r="I43" s="29">
        <v>1</v>
      </c>
      <c r="J43" s="29">
        <v>545</v>
      </c>
      <c r="K43" s="29">
        <v>1322</v>
      </c>
      <c r="L43" s="28" t="s">
        <v>15</v>
      </c>
      <c r="M43" s="28" t="s">
        <v>15</v>
      </c>
      <c r="N43" s="29">
        <v>29683</v>
      </c>
    </row>
    <row r="44" spans="1:14">
      <c r="A44" s="361" t="s">
        <v>50</v>
      </c>
      <c r="B44" s="29">
        <v>1296</v>
      </c>
      <c r="C44" s="29">
        <v>1838</v>
      </c>
      <c r="D44" s="29">
        <v>434</v>
      </c>
      <c r="E44" s="29">
        <v>1202</v>
      </c>
      <c r="F44" s="29">
        <v>1648</v>
      </c>
      <c r="G44" s="29">
        <v>1075</v>
      </c>
      <c r="H44" s="29">
        <v>4984</v>
      </c>
      <c r="I44" s="29">
        <v>14</v>
      </c>
      <c r="J44" s="29">
        <v>360</v>
      </c>
      <c r="K44" s="29">
        <v>693</v>
      </c>
      <c r="L44" s="28" t="s">
        <v>15</v>
      </c>
      <c r="M44" s="28" t="s">
        <v>15</v>
      </c>
      <c r="N44" s="29">
        <v>13543</v>
      </c>
    </row>
    <row r="45" spans="1:14">
      <c r="A45" s="361" t="s">
        <v>51</v>
      </c>
      <c r="B45" s="29">
        <v>15085</v>
      </c>
      <c r="C45" s="29">
        <v>947</v>
      </c>
      <c r="D45" s="28" t="s">
        <v>15</v>
      </c>
      <c r="E45" s="28" t="s">
        <v>15</v>
      </c>
      <c r="F45" s="29">
        <v>137</v>
      </c>
      <c r="G45" s="29">
        <v>204</v>
      </c>
      <c r="H45" s="29">
        <v>1361</v>
      </c>
      <c r="I45" s="28" t="s">
        <v>15</v>
      </c>
      <c r="J45" s="29">
        <v>1819</v>
      </c>
      <c r="K45" s="29">
        <v>1621</v>
      </c>
      <c r="L45" s="28" t="s">
        <v>15</v>
      </c>
      <c r="M45" s="28" t="s">
        <v>15</v>
      </c>
      <c r="N45" s="29">
        <v>21173</v>
      </c>
    </row>
    <row r="46" spans="1:14">
      <c r="A46" s="361" t="s">
        <v>52</v>
      </c>
      <c r="B46" s="29">
        <v>12808</v>
      </c>
      <c r="C46" s="29">
        <v>527</v>
      </c>
      <c r="D46" s="28" t="s">
        <v>15</v>
      </c>
      <c r="E46" s="28" t="s">
        <v>15</v>
      </c>
      <c r="F46" s="28" t="s">
        <v>15</v>
      </c>
      <c r="G46" s="28" t="s">
        <v>15</v>
      </c>
      <c r="H46" s="29">
        <v>1503</v>
      </c>
      <c r="I46" s="28" t="s">
        <v>15</v>
      </c>
      <c r="J46" s="29">
        <v>135</v>
      </c>
      <c r="K46" s="29">
        <v>1313</v>
      </c>
      <c r="L46" s="28" t="s">
        <v>15</v>
      </c>
      <c r="M46" s="28" t="s">
        <v>15</v>
      </c>
      <c r="N46" s="29">
        <v>16285</v>
      </c>
    </row>
    <row r="47" spans="1:14">
      <c r="A47" s="361" t="s">
        <v>53</v>
      </c>
      <c r="B47" s="29">
        <v>5635</v>
      </c>
      <c r="C47" s="29">
        <v>120</v>
      </c>
      <c r="D47" s="29">
        <v>115</v>
      </c>
      <c r="E47" s="28" t="s">
        <v>15</v>
      </c>
      <c r="F47" s="29">
        <v>100</v>
      </c>
      <c r="G47" s="28" t="s">
        <v>15</v>
      </c>
      <c r="H47" s="28" t="s">
        <v>15</v>
      </c>
      <c r="I47" s="28" t="s">
        <v>15</v>
      </c>
      <c r="J47" s="29">
        <v>1112</v>
      </c>
      <c r="K47" s="29">
        <v>261</v>
      </c>
      <c r="L47" s="28" t="s">
        <v>15</v>
      </c>
      <c r="M47" s="28" t="s">
        <v>15</v>
      </c>
      <c r="N47" s="29">
        <v>7344</v>
      </c>
    </row>
    <row r="48" spans="1:14">
      <c r="A48" s="361" t="s">
        <v>54</v>
      </c>
      <c r="B48" s="29">
        <v>703</v>
      </c>
      <c r="C48" s="29">
        <v>52</v>
      </c>
      <c r="D48" s="28" t="s">
        <v>15</v>
      </c>
      <c r="E48" s="28" t="s">
        <v>15</v>
      </c>
      <c r="F48" s="28" t="s">
        <v>15</v>
      </c>
      <c r="G48" s="29">
        <v>212</v>
      </c>
      <c r="H48" s="29">
        <v>96</v>
      </c>
      <c r="I48" s="28" t="s">
        <v>15</v>
      </c>
      <c r="J48" s="28" t="s">
        <v>15</v>
      </c>
      <c r="K48" s="29">
        <v>34</v>
      </c>
      <c r="L48" s="28" t="s">
        <v>15</v>
      </c>
      <c r="M48" s="28" t="s">
        <v>15</v>
      </c>
      <c r="N48" s="29">
        <v>1096</v>
      </c>
    </row>
    <row r="49" spans="1:14">
      <c r="A49" s="361" t="s">
        <v>55</v>
      </c>
      <c r="B49" s="28" t="s">
        <v>15</v>
      </c>
      <c r="C49" s="28" t="s">
        <v>15</v>
      </c>
      <c r="D49" s="28" t="s">
        <v>15</v>
      </c>
      <c r="E49" s="28" t="s">
        <v>15</v>
      </c>
      <c r="F49" s="28" t="s">
        <v>15</v>
      </c>
      <c r="G49" s="28" t="s">
        <v>15</v>
      </c>
      <c r="H49" s="28" t="s">
        <v>15</v>
      </c>
      <c r="I49" s="29">
        <v>391810</v>
      </c>
      <c r="J49" s="28" t="s">
        <v>15</v>
      </c>
      <c r="K49" s="28" t="s">
        <v>15</v>
      </c>
      <c r="L49" s="28" t="s">
        <v>15</v>
      </c>
      <c r="M49" s="28" t="s">
        <v>15</v>
      </c>
      <c r="N49" s="29">
        <v>391810</v>
      </c>
    </row>
    <row r="50" spans="1:14">
      <c r="A50" s="361" t="s">
        <v>56</v>
      </c>
      <c r="B50" s="28" t="s">
        <v>15</v>
      </c>
      <c r="C50" s="28" t="s">
        <v>15</v>
      </c>
      <c r="D50" s="28" t="s">
        <v>15</v>
      </c>
      <c r="E50" s="28" t="s">
        <v>15</v>
      </c>
      <c r="F50" s="28" t="s">
        <v>15</v>
      </c>
      <c r="G50" s="28" t="s">
        <v>15</v>
      </c>
      <c r="H50" s="28" t="s">
        <v>15</v>
      </c>
      <c r="I50" s="29">
        <v>3154054</v>
      </c>
      <c r="J50" s="28" t="s">
        <v>15</v>
      </c>
      <c r="K50" s="28" t="s">
        <v>15</v>
      </c>
      <c r="L50" s="28" t="s">
        <v>15</v>
      </c>
      <c r="M50" s="28" t="s">
        <v>15</v>
      </c>
      <c r="N50" s="29">
        <v>3154054</v>
      </c>
    </row>
    <row r="51" spans="1:14">
      <c r="A51" s="361" t="s">
        <v>57</v>
      </c>
      <c r="B51" s="28" t="s">
        <v>15</v>
      </c>
      <c r="C51" s="28" t="s">
        <v>15</v>
      </c>
      <c r="D51" s="29">
        <v>104866</v>
      </c>
      <c r="E51" s="29">
        <v>1497934</v>
      </c>
      <c r="F51" s="28" t="s">
        <v>15</v>
      </c>
      <c r="G51" s="28" t="s">
        <v>15</v>
      </c>
      <c r="H51" s="28" t="s">
        <v>15</v>
      </c>
      <c r="I51" s="28" t="s">
        <v>15</v>
      </c>
      <c r="J51" s="28" t="s">
        <v>15</v>
      </c>
      <c r="K51" s="28" t="s">
        <v>15</v>
      </c>
      <c r="L51" s="28" t="s">
        <v>15</v>
      </c>
      <c r="M51" s="28" t="s">
        <v>15</v>
      </c>
      <c r="N51" s="29">
        <v>1602800</v>
      </c>
    </row>
    <row r="52" spans="1:14">
      <c r="A52" s="361" t="s">
        <v>58</v>
      </c>
      <c r="B52" s="28" t="s">
        <v>15</v>
      </c>
      <c r="C52" s="28" t="s">
        <v>15</v>
      </c>
      <c r="D52" s="29">
        <v>101417</v>
      </c>
      <c r="E52" s="29">
        <v>1543051</v>
      </c>
      <c r="F52" s="28" t="s">
        <v>15</v>
      </c>
      <c r="G52" s="28" t="s">
        <v>15</v>
      </c>
      <c r="H52" s="28" t="s">
        <v>15</v>
      </c>
      <c r="I52" s="28" t="s">
        <v>15</v>
      </c>
      <c r="J52" s="28" t="s">
        <v>15</v>
      </c>
      <c r="K52" s="28" t="s">
        <v>15</v>
      </c>
      <c r="L52" s="28" t="s">
        <v>15</v>
      </c>
      <c r="M52" s="28" t="s">
        <v>15</v>
      </c>
      <c r="N52" s="29">
        <v>1644468</v>
      </c>
    </row>
    <row r="53" spans="1:14">
      <c r="A53" s="361" t="s">
        <v>59</v>
      </c>
      <c r="B53" s="29">
        <v>6228</v>
      </c>
      <c r="C53" s="29">
        <v>54218</v>
      </c>
      <c r="D53" s="29">
        <v>7538</v>
      </c>
      <c r="E53" s="29">
        <v>2602</v>
      </c>
      <c r="F53" s="29">
        <v>27240</v>
      </c>
      <c r="G53" s="29">
        <v>25368</v>
      </c>
      <c r="H53" s="29">
        <v>26949</v>
      </c>
      <c r="I53" s="29">
        <v>8</v>
      </c>
      <c r="J53" s="29">
        <v>34427</v>
      </c>
      <c r="K53" s="29">
        <v>2474</v>
      </c>
      <c r="L53" s="28" t="s">
        <v>15</v>
      </c>
      <c r="M53" s="28" t="s">
        <v>15</v>
      </c>
      <c r="N53" s="29">
        <v>187052</v>
      </c>
    </row>
    <row r="54" spans="1:14">
      <c r="A54" s="361" t="s">
        <v>60</v>
      </c>
      <c r="B54" s="29">
        <v>6261</v>
      </c>
      <c r="C54" s="29">
        <v>53795</v>
      </c>
      <c r="D54" s="29">
        <v>7538</v>
      </c>
      <c r="E54" s="29">
        <v>2602</v>
      </c>
      <c r="F54" s="29">
        <v>26515</v>
      </c>
      <c r="G54" s="29">
        <v>25368</v>
      </c>
      <c r="H54" s="29">
        <v>26949</v>
      </c>
      <c r="I54" s="29">
        <v>8</v>
      </c>
      <c r="J54" s="29">
        <v>34397</v>
      </c>
      <c r="K54" s="29">
        <v>2474</v>
      </c>
      <c r="L54" s="28" t="s">
        <v>15</v>
      </c>
      <c r="M54" s="28" t="s">
        <v>15</v>
      </c>
      <c r="N54" s="29">
        <v>185907</v>
      </c>
    </row>
    <row r="55" spans="1:14">
      <c r="A55" s="361"/>
      <c r="B55" s="29"/>
      <c r="C55" s="29"/>
      <c r="D55" s="29"/>
      <c r="E55" s="29"/>
      <c r="F55" s="29"/>
      <c r="G55" s="29"/>
      <c r="H55" s="29"/>
      <c r="I55" s="29"/>
      <c r="J55" s="29"/>
      <c r="K55" s="29"/>
      <c r="L55" s="28"/>
      <c r="M55" s="28"/>
      <c r="N55" s="29"/>
    </row>
    <row r="56" spans="1:14">
      <c r="A56" s="361" t="s">
        <v>61</v>
      </c>
      <c r="B56" s="29">
        <v>2785</v>
      </c>
      <c r="C56" s="29">
        <v>15737</v>
      </c>
      <c r="D56" s="29">
        <v>13454</v>
      </c>
      <c r="E56" s="29">
        <v>14568</v>
      </c>
      <c r="F56" s="29">
        <v>89475</v>
      </c>
      <c r="G56" s="29">
        <v>67147</v>
      </c>
      <c r="H56" s="29">
        <v>14994</v>
      </c>
      <c r="I56" s="29">
        <v>9701</v>
      </c>
      <c r="J56" s="29">
        <v>9300</v>
      </c>
      <c r="K56" s="29">
        <v>4079</v>
      </c>
      <c r="L56" s="28" t="s">
        <v>15</v>
      </c>
      <c r="M56" s="28" t="s">
        <v>15</v>
      </c>
      <c r="N56" s="29">
        <v>241240</v>
      </c>
    </row>
    <row r="57" spans="1:14">
      <c r="A57" s="361" t="s">
        <v>62</v>
      </c>
      <c r="B57" s="29">
        <v>0</v>
      </c>
      <c r="C57" s="29">
        <v>0</v>
      </c>
      <c r="D57" s="29">
        <v>0</v>
      </c>
      <c r="E57" s="29">
        <v>0</v>
      </c>
      <c r="F57" s="29">
        <v>0</v>
      </c>
      <c r="G57" s="29">
        <v>0</v>
      </c>
      <c r="H57" s="29">
        <v>0</v>
      </c>
      <c r="I57" s="29">
        <v>0</v>
      </c>
      <c r="J57" s="29">
        <v>0</v>
      </c>
      <c r="K57" s="29">
        <v>0</v>
      </c>
      <c r="L57" s="29">
        <v>0</v>
      </c>
      <c r="M57" s="29">
        <v>0</v>
      </c>
      <c r="N57" s="29">
        <v>0</v>
      </c>
    </row>
    <row r="58" spans="1:14">
      <c r="A58" s="361" t="s">
        <v>63</v>
      </c>
      <c r="B58" s="29">
        <v>47726</v>
      </c>
      <c r="C58" s="29">
        <v>7002</v>
      </c>
      <c r="D58" s="29">
        <v>311</v>
      </c>
      <c r="E58" s="29">
        <v>1030</v>
      </c>
      <c r="F58" s="29">
        <v>921810</v>
      </c>
      <c r="G58" s="29">
        <v>1299</v>
      </c>
      <c r="H58" s="29">
        <v>35052</v>
      </c>
      <c r="I58" s="29">
        <v>-15030</v>
      </c>
      <c r="J58" s="29">
        <v>24028</v>
      </c>
      <c r="K58" s="29">
        <v>1408395</v>
      </c>
      <c r="L58" s="29">
        <v>70798896</v>
      </c>
      <c r="M58" s="29">
        <v>28893333</v>
      </c>
      <c r="N58" s="29">
        <v>102123852</v>
      </c>
    </row>
    <row r="59" spans="1:14">
      <c r="A59" s="361" t="s">
        <v>64</v>
      </c>
      <c r="B59" s="29">
        <v>4199520</v>
      </c>
      <c r="C59" s="29">
        <v>10059247</v>
      </c>
      <c r="D59" s="29">
        <v>2403509</v>
      </c>
      <c r="E59" s="29">
        <v>6892696</v>
      </c>
      <c r="F59" s="29">
        <v>6832164</v>
      </c>
      <c r="G59" s="29">
        <v>12697019</v>
      </c>
      <c r="H59" s="29">
        <v>27435587</v>
      </c>
      <c r="I59" s="29">
        <v>18967046</v>
      </c>
      <c r="J59" s="29">
        <v>4132371</v>
      </c>
      <c r="K59" s="29">
        <v>4660486</v>
      </c>
      <c r="L59" s="29">
        <v>73862216</v>
      </c>
      <c r="M59" s="29">
        <v>28893333</v>
      </c>
      <c r="N59" s="29">
        <v>201035195</v>
      </c>
    </row>
    <row r="60" spans="1:14">
      <c r="A60" s="361" t="s">
        <v>65</v>
      </c>
      <c r="B60" s="29">
        <v>7473</v>
      </c>
      <c r="C60" s="29">
        <v>188079</v>
      </c>
      <c r="D60" s="29">
        <v>1293</v>
      </c>
      <c r="E60" s="29">
        <v>24554</v>
      </c>
      <c r="F60" s="29">
        <v>66613</v>
      </c>
      <c r="G60" s="29">
        <v>30909</v>
      </c>
      <c r="H60" s="29">
        <v>72</v>
      </c>
      <c r="I60" s="29">
        <v>671193</v>
      </c>
      <c r="J60" s="29">
        <v>36</v>
      </c>
      <c r="K60" s="29">
        <v>31</v>
      </c>
      <c r="L60" s="29">
        <v>70792413</v>
      </c>
      <c r="M60" s="29">
        <v>0</v>
      </c>
      <c r="N60" s="29">
        <v>71782666</v>
      </c>
    </row>
    <row r="61" spans="1:14">
      <c r="A61" s="361" t="s">
        <v>66</v>
      </c>
      <c r="B61" s="29">
        <v>4192047</v>
      </c>
      <c r="C61" s="29">
        <v>9871168</v>
      </c>
      <c r="D61" s="29">
        <v>2402215</v>
      </c>
      <c r="E61" s="29">
        <v>6868142</v>
      </c>
      <c r="F61" s="29">
        <v>6765551</v>
      </c>
      <c r="G61" s="29">
        <v>12666110</v>
      </c>
      <c r="H61" s="29">
        <v>27435515</v>
      </c>
      <c r="I61" s="29">
        <v>18295854</v>
      </c>
      <c r="J61" s="29">
        <v>4132335</v>
      </c>
      <c r="K61" s="29">
        <v>4660455</v>
      </c>
      <c r="L61" s="29">
        <v>3069803</v>
      </c>
      <c r="M61" s="29">
        <v>28893333</v>
      </c>
      <c r="N61" s="29">
        <v>129252529</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61"/>
  <sheetViews>
    <sheetView workbookViewId="0">
      <selection sqref="A1:XFD1048576"/>
    </sheetView>
  </sheetViews>
  <sheetFormatPr defaultRowHeight="15"/>
  <cols>
    <col min="1" max="1" width="14.7109375" style="363" customWidth="1"/>
    <col min="2" max="13" width="10.85546875" style="363" customWidth="1"/>
    <col min="14" max="14" width="10.140625" style="363" customWidth="1"/>
    <col min="15" max="256" width="9.140625" style="363"/>
    <col min="257" max="257" width="14.7109375" style="363" customWidth="1"/>
    <col min="258" max="269" width="10.85546875" style="363" customWidth="1"/>
    <col min="270" max="270" width="10.140625" style="363" customWidth="1"/>
    <col min="271" max="512" width="9.140625" style="363"/>
    <col min="513" max="513" width="14.7109375" style="363" customWidth="1"/>
    <col min="514" max="525" width="10.85546875" style="363" customWidth="1"/>
    <col min="526" max="526" width="10.140625" style="363" customWidth="1"/>
    <col min="527" max="768" width="9.140625" style="363"/>
    <col min="769" max="769" width="14.7109375" style="363" customWidth="1"/>
    <col min="770" max="781" width="10.85546875" style="363" customWidth="1"/>
    <col min="782" max="782" width="10.140625" style="363" customWidth="1"/>
    <col min="783" max="1024" width="9.140625" style="363"/>
    <col min="1025" max="1025" width="14.7109375" style="363" customWidth="1"/>
    <col min="1026" max="1037" width="10.85546875" style="363" customWidth="1"/>
    <col min="1038" max="1038" width="10.140625" style="363" customWidth="1"/>
    <col min="1039" max="1280" width="9.140625" style="363"/>
    <col min="1281" max="1281" width="14.7109375" style="363" customWidth="1"/>
    <col min="1282" max="1293" width="10.85546875" style="363" customWidth="1"/>
    <col min="1294" max="1294" width="10.140625" style="363" customWidth="1"/>
    <col min="1295" max="1536" width="9.140625" style="363"/>
    <col min="1537" max="1537" width="14.7109375" style="363" customWidth="1"/>
    <col min="1538" max="1549" width="10.85546875" style="363" customWidth="1"/>
    <col min="1550" max="1550" width="10.140625" style="363" customWidth="1"/>
    <col min="1551" max="1792" width="9.140625" style="363"/>
    <col min="1793" max="1793" width="14.7109375" style="363" customWidth="1"/>
    <col min="1794" max="1805" width="10.85546875" style="363" customWidth="1"/>
    <col min="1806" max="1806" width="10.140625" style="363" customWidth="1"/>
    <col min="1807" max="2048" width="9.140625" style="363"/>
    <col min="2049" max="2049" width="14.7109375" style="363" customWidth="1"/>
    <col min="2050" max="2061" width="10.85546875" style="363" customWidth="1"/>
    <col min="2062" max="2062" width="10.140625" style="363" customWidth="1"/>
    <col min="2063" max="2304" width="9.140625" style="363"/>
    <col min="2305" max="2305" width="14.7109375" style="363" customWidth="1"/>
    <col min="2306" max="2317" width="10.85546875" style="363" customWidth="1"/>
    <col min="2318" max="2318" width="10.140625" style="363" customWidth="1"/>
    <col min="2319" max="2560" width="9.140625" style="363"/>
    <col min="2561" max="2561" width="14.7109375" style="363" customWidth="1"/>
    <col min="2562" max="2573" width="10.85546875" style="363" customWidth="1"/>
    <col min="2574" max="2574" width="10.140625" style="363" customWidth="1"/>
    <col min="2575" max="2816" width="9.140625" style="363"/>
    <col min="2817" max="2817" width="14.7109375" style="363" customWidth="1"/>
    <col min="2818" max="2829" width="10.85546875" style="363" customWidth="1"/>
    <col min="2830" max="2830" width="10.140625" style="363" customWidth="1"/>
    <col min="2831" max="3072" width="9.140625" style="363"/>
    <col min="3073" max="3073" width="14.7109375" style="363" customWidth="1"/>
    <col min="3074" max="3085" width="10.85546875" style="363" customWidth="1"/>
    <col min="3086" max="3086" width="10.140625" style="363" customWidth="1"/>
    <col min="3087" max="3328" width="9.140625" style="363"/>
    <col min="3329" max="3329" width="14.7109375" style="363" customWidth="1"/>
    <col min="3330" max="3341" width="10.85546875" style="363" customWidth="1"/>
    <col min="3342" max="3342" width="10.140625" style="363" customWidth="1"/>
    <col min="3343" max="3584" width="9.140625" style="363"/>
    <col min="3585" max="3585" width="14.7109375" style="363" customWidth="1"/>
    <col min="3586" max="3597" width="10.85546875" style="363" customWidth="1"/>
    <col min="3598" max="3598" width="10.140625" style="363" customWidth="1"/>
    <col min="3599" max="3840" width="9.140625" style="363"/>
    <col min="3841" max="3841" width="14.7109375" style="363" customWidth="1"/>
    <col min="3842" max="3853" width="10.85546875" style="363" customWidth="1"/>
    <col min="3854" max="3854" width="10.140625" style="363" customWidth="1"/>
    <col min="3855" max="4096" width="9.140625" style="363"/>
    <col min="4097" max="4097" width="14.7109375" style="363" customWidth="1"/>
    <col min="4098" max="4109" width="10.85546875" style="363" customWidth="1"/>
    <col min="4110" max="4110" width="10.140625" style="363" customWidth="1"/>
    <col min="4111" max="4352" width="9.140625" style="363"/>
    <col min="4353" max="4353" width="14.7109375" style="363" customWidth="1"/>
    <col min="4354" max="4365" width="10.85546875" style="363" customWidth="1"/>
    <col min="4366" max="4366" width="10.140625" style="363" customWidth="1"/>
    <col min="4367" max="4608" width="9.140625" style="363"/>
    <col min="4609" max="4609" width="14.7109375" style="363" customWidth="1"/>
    <col min="4610" max="4621" width="10.85546875" style="363" customWidth="1"/>
    <col min="4622" max="4622" width="10.140625" style="363" customWidth="1"/>
    <col min="4623" max="4864" width="9.140625" style="363"/>
    <col min="4865" max="4865" width="14.7109375" style="363" customWidth="1"/>
    <col min="4866" max="4877" width="10.85546875" style="363" customWidth="1"/>
    <col min="4878" max="4878" width="10.140625" style="363" customWidth="1"/>
    <col min="4879" max="5120" width="9.140625" style="363"/>
    <col min="5121" max="5121" width="14.7109375" style="363" customWidth="1"/>
    <col min="5122" max="5133" width="10.85546875" style="363" customWidth="1"/>
    <col min="5134" max="5134" width="10.140625" style="363" customWidth="1"/>
    <col min="5135" max="5376" width="9.140625" style="363"/>
    <col min="5377" max="5377" width="14.7109375" style="363" customWidth="1"/>
    <col min="5378" max="5389" width="10.85546875" style="363" customWidth="1"/>
    <col min="5390" max="5390" width="10.140625" style="363" customWidth="1"/>
    <col min="5391" max="5632" width="9.140625" style="363"/>
    <col min="5633" max="5633" width="14.7109375" style="363" customWidth="1"/>
    <col min="5634" max="5645" width="10.85546875" style="363" customWidth="1"/>
    <col min="5646" max="5646" width="10.140625" style="363" customWidth="1"/>
    <col min="5647" max="5888" width="9.140625" style="363"/>
    <col min="5889" max="5889" width="14.7109375" style="363" customWidth="1"/>
    <col min="5890" max="5901" width="10.85546875" style="363" customWidth="1"/>
    <col min="5902" max="5902" width="10.140625" style="363" customWidth="1"/>
    <col min="5903" max="6144" width="9.140625" style="363"/>
    <col min="6145" max="6145" width="14.7109375" style="363" customWidth="1"/>
    <col min="6146" max="6157" width="10.85546875" style="363" customWidth="1"/>
    <col min="6158" max="6158" width="10.140625" style="363" customWidth="1"/>
    <col min="6159" max="6400" width="9.140625" style="363"/>
    <col min="6401" max="6401" width="14.7109375" style="363" customWidth="1"/>
    <col min="6402" max="6413" width="10.85546875" style="363" customWidth="1"/>
    <col min="6414" max="6414" width="10.140625" style="363" customWidth="1"/>
    <col min="6415" max="6656" width="9.140625" style="363"/>
    <col min="6657" max="6657" width="14.7109375" style="363" customWidth="1"/>
    <col min="6658" max="6669" width="10.85546875" style="363" customWidth="1"/>
    <col min="6670" max="6670" width="10.140625" style="363" customWidth="1"/>
    <col min="6671" max="6912" width="9.140625" style="363"/>
    <col min="6913" max="6913" width="14.7109375" style="363" customWidth="1"/>
    <col min="6914" max="6925" width="10.85546875" style="363" customWidth="1"/>
    <col min="6926" max="6926" width="10.140625" style="363" customWidth="1"/>
    <col min="6927" max="7168" width="9.140625" style="363"/>
    <col min="7169" max="7169" width="14.7109375" style="363" customWidth="1"/>
    <col min="7170" max="7181" width="10.85546875" style="363" customWidth="1"/>
    <col min="7182" max="7182" width="10.140625" style="363" customWidth="1"/>
    <col min="7183" max="7424" width="9.140625" style="363"/>
    <col min="7425" max="7425" width="14.7109375" style="363" customWidth="1"/>
    <col min="7426" max="7437" width="10.85546875" style="363" customWidth="1"/>
    <col min="7438" max="7438" width="10.140625" style="363" customWidth="1"/>
    <col min="7439" max="7680" width="9.140625" style="363"/>
    <col min="7681" max="7681" width="14.7109375" style="363" customWidth="1"/>
    <col min="7682" max="7693" width="10.85546875" style="363" customWidth="1"/>
    <col min="7694" max="7694" width="10.140625" style="363" customWidth="1"/>
    <col min="7695" max="7936" width="9.140625" style="363"/>
    <col min="7937" max="7937" width="14.7109375" style="363" customWidth="1"/>
    <col min="7938" max="7949" width="10.85546875" style="363" customWidth="1"/>
    <col min="7950" max="7950" width="10.140625" style="363" customWidth="1"/>
    <col min="7951" max="8192" width="9.140625" style="363"/>
    <col min="8193" max="8193" width="14.7109375" style="363" customWidth="1"/>
    <col min="8194" max="8205" width="10.85546875" style="363" customWidth="1"/>
    <col min="8206" max="8206" width="10.140625" style="363" customWidth="1"/>
    <col min="8207" max="8448" width="9.140625" style="363"/>
    <col min="8449" max="8449" width="14.7109375" style="363" customWidth="1"/>
    <col min="8450" max="8461" width="10.85546875" style="363" customWidth="1"/>
    <col min="8462" max="8462" width="10.140625" style="363" customWidth="1"/>
    <col min="8463" max="8704" width="9.140625" style="363"/>
    <col min="8705" max="8705" width="14.7109375" style="363" customWidth="1"/>
    <col min="8706" max="8717" width="10.85546875" style="363" customWidth="1"/>
    <col min="8718" max="8718" width="10.140625" style="363" customWidth="1"/>
    <col min="8719" max="8960" width="9.140625" style="363"/>
    <col min="8961" max="8961" width="14.7109375" style="363" customWidth="1"/>
    <col min="8962" max="8973" width="10.85546875" style="363" customWidth="1"/>
    <col min="8974" max="8974" width="10.140625" style="363" customWidth="1"/>
    <col min="8975" max="9216" width="9.140625" style="363"/>
    <col min="9217" max="9217" width="14.7109375" style="363" customWidth="1"/>
    <col min="9218" max="9229" width="10.85546875" style="363" customWidth="1"/>
    <col min="9230" max="9230" width="10.140625" style="363" customWidth="1"/>
    <col min="9231" max="9472" width="9.140625" style="363"/>
    <col min="9473" max="9473" width="14.7109375" style="363" customWidth="1"/>
    <col min="9474" max="9485" width="10.85546875" style="363" customWidth="1"/>
    <col min="9486" max="9486" width="10.140625" style="363" customWidth="1"/>
    <col min="9487" max="9728" width="9.140625" style="363"/>
    <col min="9729" max="9729" width="14.7109375" style="363" customWidth="1"/>
    <col min="9730" max="9741" width="10.85546875" style="363" customWidth="1"/>
    <col min="9742" max="9742" width="10.140625" style="363" customWidth="1"/>
    <col min="9743" max="9984" width="9.140625" style="363"/>
    <col min="9985" max="9985" width="14.7109375" style="363" customWidth="1"/>
    <col min="9986" max="9997" width="10.85546875" style="363" customWidth="1"/>
    <col min="9998" max="9998" width="10.140625" style="363" customWidth="1"/>
    <col min="9999" max="10240" width="9.140625" style="363"/>
    <col min="10241" max="10241" width="14.7109375" style="363" customWidth="1"/>
    <col min="10242" max="10253" width="10.85546875" style="363" customWidth="1"/>
    <col min="10254" max="10254" width="10.140625" style="363" customWidth="1"/>
    <col min="10255" max="10496" width="9.140625" style="363"/>
    <col min="10497" max="10497" width="14.7109375" style="363" customWidth="1"/>
    <col min="10498" max="10509" width="10.85546875" style="363" customWidth="1"/>
    <col min="10510" max="10510" width="10.140625" style="363" customWidth="1"/>
    <col min="10511" max="10752" width="9.140625" style="363"/>
    <col min="10753" max="10753" width="14.7109375" style="363" customWidth="1"/>
    <col min="10754" max="10765" width="10.85546875" style="363" customWidth="1"/>
    <col min="10766" max="10766" width="10.140625" style="363" customWidth="1"/>
    <col min="10767" max="11008" width="9.140625" style="363"/>
    <col min="11009" max="11009" width="14.7109375" style="363" customWidth="1"/>
    <col min="11010" max="11021" width="10.85546875" style="363" customWidth="1"/>
    <col min="11022" max="11022" width="10.140625" style="363" customWidth="1"/>
    <col min="11023" max="11264" width="9.140625" style="363"/>
    <col min="11265" max="11265" width="14.7109375" style="363" customWidth="1"/>
    <col min="11266" max="11277" width="10.85546875" style="363" customWidth="1"/>
    <col min="11278" max="11278" width="10.140625" style="363" customWidth="1"/>
    <col min="11279" max="11520" width="9.140625" style="363"/>
    <col min="11521" max="11521" width="14.7109375" style="363" customWidth="1"/>
    <col min="11522" max="11533" width="10.85546875" style="363" customWidth="1"/>
    <col min="11534" max="11534" width="10.140625" style="363" customWidth="1"/>
    <col min="11535" max="11776" width="9.140625" style="363"/>
    <col min="11777" max="11777" width="14.7109375" style="363" customWidth="1"/>
    <col min="11778" max="11789" width="10.85546875" style="363" customWidth="1"/>
    <col min="11790" max="11790" width="10.140625" style="363" customWidth="1"/>
    <col min="11791" max="12032" width="9.140625" style="363"/>
    <col min="12033" max="12033" width="14.7109375" style="363" customWidth="1"/>
    <col min="12034" max="12045" width="10.85546875" style="363" customWidth="1"/>
    <col min="12046" max="12046" width="10.140625" style="363" customWidth="1"/>
    <col min="12047" max="12288" width="9.140625" style="363"/>
    <col min="12289" max="12289" width="14.7109375" style="363" customWidth="1"/>
    <col min="12290" max="12301" width="10.85546875" style="363" customWidth="1"/>
    <col min="12302" max="12302" width="10.140625" style="363" customWidth="1"/>
    <col min="12303" max="12544" width="9.140625" style="363"/>
    <col min="12545" max="12545" width="14.7109375" style="363" customWidth="1"/>
    <col min="12546" max="12557" width="10.85546875" style="363" customWidth="1"/>
    <col min="12558" max="12558" width="10.140625" style="363" customWidth="1"/>
    <col min="12559" max="12800" width="9.140625" style="363"/>
    <col min="12801" max="12801" width="14.7109375" style="363" customWidth="1"/>
    <col min="12802" max="12813" width="10.85546875" style="363" customWidth="1"/>
    <col min="12814" max="12814" width="10.140625" style="363" customWidth="1"/>
    <col min="12815" max="13056" width="9.140625" style="363"/>
    <col min="13057" max="13057" width="14.7109375" style="363" customWidth="1"/>
    <col min="13058" max="13069" width="10.85546875" style="363" customWidth="1"/>
    <col min="13070" max="13070" width="10.140625" style="363" customWidth="1"/>
    <col min="13071" max="13312" width="9.140625" style="363"/>
    <col min="13313" max="13313" width="14.7109375" style="363" customWidth="1"/>
    <col min="13314" max="13325" width="10.85546875" style="363" customWidth="1"/>
    <col min="13326" max="13326" width="10.140625" style="363" customWidth="1"/>
    <col min="13327" max="13568" width="9.140625" style="363"/>
    <col min="13569" max="13569" width="14.7109375" style="363" customWidth="1"/>
    <col min="13570" max="13581" width="10.85546875" style="363" customWidth="1"/>
    <col min="13582" max="13582" width="10.140625" style="363" customWidth="1"/>
    <col min="13583" max="13824" width="9.140625" style="363"/>
    <col min="13825" max="13825" width="14.7109375" style="363" customWidth="1"/>
    <col min="13826" max="13837" width="10.85546875" style="363" customWidth="1"/>
    <col min="13838" max="13838" width="10.140625" style="363" customWidth="1"/>
    <col min="13839" max="14080" width="9.140625" style="363"/>
    <col min="14081" max="14081" width="14.7109375" style="363" customWidth="1"/>
    <col min="14082" max="14093" width="10.85546875" style="363" customWidth="1"/>
    <col min="14094" max="14094" width="10.140625" style="363" customWidth="1"/>
    <col min="14095" max="14336" width="9.140625" style="363"/>
    <col min="14337" max="14337" width="14.7109375" style="363" customWidth="1"/>
    <col min="14338" max="14349" width="10.85546875" style="363" customWidth="1"/>
    <col min="14350" max="14350" width="10.140625" style="363" customWidth="1"/>
    <col min="14351" max="14592" width="9.140625" style="363"/>
    <col min="14593" max="14593" width="14.7109375" style="363" customWidth="1"/>
    <col min="14594" max="14605" width="10.85546875" style="363" customWidth="1"/>
    <col min="14606" max="14606" width="10.140625" style="363" customWidth="1"/>
    <col min="14607" max="14848" width="9.140625" style="363"/>
    <col min="14849" max="14849" width="14.7109375" style="363" customWidth="1"/>
    <col min="14850" max="14861" width="10.85546875" style="363" customWidth="1"/>
    <col min="14862" max="14862" width="10.140625" style="363" customWidth="1"/>
    <col min="14863" max="15104" width="9.140625" style="363"/>
    <col min="15105" max="15105" width="14.7109375" style="363" customWidth="1"/>
    <col min="15106" max="15117" width="10.85546875" style="363" customWidth="1"/>
    <col min="15118" max="15118" width="10.140625" style="363" customWidth="1"/>
    <col min="15119" max="15360" width="9.140625" style="363"/>
    <col min="15361" max="15361" width="14.7109375" style="363" customWidth="1"/>
    <col min="15362" max="15373" width="10.85546875" style="363" customWidth="1"/>
    <col min="15374" max="15374" width="10.140625" style="363" customWidth="1"/>
    <col min="15375" max="15616" width="9.140625" style="363"/>
    <col min="15617" max="15617" width="14.7109375" style="363" customWidth="1"/>
    <col min="15618" max="15629" width="10.85546875" style="363" customWidth="1"/>
    <col min="15630" max="15630" width="10.140625" style="363" customWidth="1"/>
    <col min="15631" max="15872" width="9.140625" style="363"/>
    <col min="15873" max="15873" width="14.7109375" style="363" customWidth="1"/>
    <col min="15874" max="15885" width="10.85546875" style="363" customWidth="1"/>
    <col min="15886" max="15886" width="10.140625" style="363" customWidth="1"/>
    <col min="15887" max="16128" width="9.140625" style="363"/>
    <col min="16129" max="16129" width="14.7109375" style="363" customWidth="1"/>
    <col min="16130" max="16141" width="10.85546875" style="363" customWidth="1"/>
    <col min="16142" max="16142" width="10.140625" style="363" customWidth="1"/>
    <col min="16143" max="16384" width="9.140625" style="363"/>
  </cols>
  <sheetData>
    <row r="1" spans="1:14">
      <c r="A1" s="364" t="s">
        <v>434</v>
      </c>
      <c r="B1" s="365"/>
      <c r="C1" s="365"/>
      <c r="D1" s="365"/>
      <c r="E1" s="365"/>
      <c r="F1" s="365"/>
      <c r="G1" s="365"/>
      <c r="H1" s="365"/>
      <c r="I1" s="365"/>
      <c r="J1" s="365"/>
      <c r="K1" s="365"/>
      <c r="L1" s="365"/>
      <c r="M1" s="365"/>
      <c r="N1" s="365"/>
    </row>
    <row r="2" spans="1:14">
      <c r="A2" s="364" t="s">
        <v>435</v>
      </c>
      <c r="B2" s="365"/>
      <c r="C2" s="365"/>
      <c r="D2" s="365"/>
      <c r="E2" s="365"/>
      <c r="F2" s="365"/>
      <c r="G2" s="365"/>
      <c r="H2" s="365"/>
      <c r="I2" s="365"/>
      <c r="J2" s="365"/>
      <c r="K2" s="365"/>
      <c r="L2" s="365"/>
      <c r="M2" s="365"/>
      <c r="N2" s="365"/>
    </row>
    <row r="3" spans="1:14">
      <c r="A3" s="362" t="s">
        <v>0</v>
      </c>
      <c r="B3" s="362" t="s">
        <v>1</v>
      </c>
      <c r="C3" s="362" t="s">
        <v>2</v>
      </c>
      <c r="D3" s="362" t="s">
        <v>3</v>
      </c>
      <c r="E3" s="362" t="s">
        <v>4</v>
      </c>
      <c r="F3" s="362" t="s">
        <v>5</v>
      </c>
      <c r="G3" s="362" t="s">
        <v>6</v>
      </c>
      <c r="H3" s="362" t="s">
        <v>7</v>
      </c>
      <c r="I3" s="362" t="s">
        <v>8</v>
      </c>
      <c r="J3" s="362" t="s">
        <v>9</v>
      </c>
      <c r="K3" s="362" t="s">
        <v>10</v>
      </c>
      <c r="L3" s="362" t="s">
        <v>11</v>
      </c>
      <c r="M3" s="362" t="s">
        <v>12</v>
      </c>
      <c r="N3" s="362" t="s">
        <v>13</v>
      </c>
    </row>
    <row r="4" spans="1:14">
      <c r="A4" s="362" t="s">
        <v>14</v>
      </c>
      <c r="B4" s="29">
        <v>2390763</v>
      </c>
      <c r="C4" s="29">
        <v>5078726</v>
      </c>
      <c r="D4" s="29">
        <v>880649</v>
      </c>
      <c r="E4" s="29">
        <v>1563644</v>
      </c>
      <c r="F4" s="29">
        <v>2402412</v>
      </c>
      <c r="G4" s="29">
        <v>4787566</v>
      </c>
      <c r="H4" s="29">
        <v>5492484</v>
      </c>
      <c r="I4" s="29">
        <v>12248</v>
      </c>
      <c r="J4" s="29">
        <v>723020</v>
      </c>
      <c r="K4" s="29">
        <v>1615197</v>
      </c>
      <c r="L4" s="28" t="s">
        <v>15</v>
      </c>
      <c r="M4" s="28" t="s">
        <v>15</v>
      </c>
      <c r="N4" s="29">
        <v>24946708</v>
      </c>
    </row>
    <row r="5" spans="1:14">
      <c r="A5" s="362" t="s">
        <v>16</v>
      </c>
      <c r="B5" s="29">
        <v>1087869</v>
      </c>
      <c r="C5" s="29">
        <v>2121733</v>
      </c>
      <c r="D5" s="29">
        <v>401163</v>
      </c>
      <c r="E5" s="29">
        <v>711922</v>
      </c>
      <c r="F5" s="29">
        <v>1099931</v>
      </c>
      <c r="G5" s="29">
        <v>2727342</v>
      </c>
      <c r="H5" s="29">
        <v>2696365</v>
      </c>
      <c r="I5" s="29">
        <v>5604</v>
      </c>
      <c r="J5" s="29">
        <v>327136</v>
      </c>
      <c r="K5" s="29">
        <v>714890</v>
      </c>
      <c r="L5" s="28" t="s">
        <v>15</v>
      </c>
      <c r="M5" s="28" t="s">
        <v>15</v>
      </c>
      <c r="N5" s="29">
        <v>11893955</v>
      </c>
    </row>
    <row r="6" spans="1:14">
      <c r="A6" s="362" t="s">
        <v>17</v>
      </c>
      <c r="B6" s="29">
        <v>64479</v>
      </c>
      <c r="C6" s="29">
        <v>255230</v>
      </c>
      <c r="D6" s="29">
        <v>42657</v>
      </c>
      <c r="E6" s="29">
        <v>71411</v>
      </c>
      <c r="F6" s="29">
        <v>119741</v>
      </c>
      <c r="G6" s="29">
        <v>200445</v>
      </c>
      <c r="H6" s="29">
        <v>208113</v>
      </c>
      <c r="I6" s="29">
        <v>486</v>
      </c>
      <c r="J6" s="29">
        <v>25532</v>
      </c>
      <c r="K6" s="29">
        <v>24571</v>
      </c>
      <c r="L6" s="28" t="s">
        <v>15</v>
      </c>
      <c r="M6" s="28" t="s">
        <v>15</v>
      </c>
      <c r="N6" s="29">
        <v>1012665</v>
      </c>
    </row>
    <row r="7" spans="1:14">
      <c r="A7" s="362" t="s">
        <v>18</v>
      </c>
      <c r="B7" s="29">
        <v>288245</v>
      </c>
      <c r="C7" s="29">
        <v>414473</v>
      </c>
      <c r="D7" s="29">
        <v>109965</v>
      </c>
      <c r="E7" s="29">
        <v>205539</v>
      </c>
      <c r="F7" s="29">
        <v>225140</v>
      </c>
      <c r="G7" s="29">
        <v>917012</v>
      </c>
      <c r="H7" s="29">
        <v>700213</v>
      </c>
      <c r="I7" s="29">
        <v>1485</v>
      </c>
      <c r="J7" s="29">
        <v>72938</v>
      </c>
      <c r="K7" s="29">
        <v>160352</v>
      </c>
      <c r="L7" s="28" t="s">
        <v>15</v>
      </c>
      <c r="M7" s="28" t="s">
        <v>15</v>
      </c>
      <c r="N7" s="29">
        <v>3095362</v>
      </c>
    </row>
    <row r="8" spans="1:14">
      <c r="A8" s="362" t="s">
        <v>19</v>
      </c>
      <c r="B8" s="29">
        <v>124395</v>
      </c>
      <c r="C8" s="29">
        <v>358432</v>
      </c>
      <c r="D8" s="29">
        <v>87727</v>
      </c>
      <c r="E8" s="29">
        <v>123429</v>
      </c>
      <c r="F8" s="29">
        <v>178770</v>
      </c>
      <c r="G8" s="29">
        <v>341598</v>
      </c>
      <c r="H8" s="29">
        <v>356175</v>
      </c>
      <c r="I8" s="29">
        <v>716</v>
      </c>
      <c r="J8" s="29">
        <v>51546</v>
      </c>
      <c r="K8" s="29">
        <v>97152</v>
      </c>
      <c r="L8" s="28" t="s">
        <v>15</v>
      </c>
      <c r="M8" s="28" t="s">
        <v>15</v>
      </c>
      <c r="N8" s="29">
        <v>1719941</v>
      </c>
    </row>
    <row r="9" spans="1:14">
      <c r="A9" s="362" t="s">
        <v>20</v>
      </c>
      <c r="B9" s="28" t="s">
        <v>15</v>
      </c>
      <c r="C9" s="28" t="s">
        <v>15</v>
      </c>
      <c r="D9" s="28" t="s">
        <v>15</v>
      </c>
      <c r="E9" s="28" t="s">
        <v>15</v>
      </c>
      <c r="F9" s="28" t="s">
        <v>15</v>
      </c>
      <c r="G9" s="28" t="s">
        <v>15</v>
      </c>
      <c r="H9" s="28" t="s">
        <v>15</v>
      </c>
      <c r="I9" s="28" t="s">
        <v>15</v>
      </c>
      <c r="J9" s="28" t="s">
        <v>15</v>
      </c>
      <c r="K9" s="28" t="s">
        <v>15</v>
      </c>
      <c r="L9" s="29">
        <v>3549910</v>
      </c>
      <c r="M9" s="28" t="s">
        <v>15</v>
      </c>
      <c r="N9" s="29">
        <v>3549910</v>
      </c>
    </row>
    <row r="10" spans="1:14">
      <c r="A10" s="362"/>
      <c r="B10" s="28"/>
      <c r="C10" s="28"/>
      <c r="D10" s="28"/>
      <c r="E10" s="28"/>
      <c r="F10" s="28"/>
      <c r="G10" s="28"/>
      <c r="H10" s="28"/>
      <c r="I10" s="28"/>
      <c r="J10" s="28"/>
      <c r="K10" s="28"/>
      <c r="L10" s="29"/>
      <c r="M10" s="28"/>
      <c r="N10" s="29"/>
    </row>
    <row r="11" spans="1:14">
      <c r="A11" s="362" t="s">
        <v>21</v>
      </c>
      <c r="B11" s="29">
        <v>1934</v>
      </c>
      <c r="C11" s="28" t="s">
        <v>15</v>
      </c>
      <c r="D11" s="28" t="s">
        <v>15</v>
      </c>
      <c r="E11" s="28" t="s">
        <v>15</v>
      </c>
      <c r="F11" s="29">
        <v>7643</v>
      </c>
      <c r="G11" s="29">
        <v>2017628</v>
      </c>
      <c r="H11" s="29">
        <v>780112</v>
      </c>
      <c r="I11" s="29">
        <v>578</v>
      </c>
      <c r="J11" s="29">
        <v>11</v>
      </c>
      <c r="K11" s="28" t="s">
        <v>15</v>
      </c>
      <c r="L11" s="28" t="s">
        <v>15</v>
      </c>
      <c r="M11" s="28" t="s">
        <v>15</v>
      </c>
      <c r="N11" s="29">
        <v>2807908</v>
      </c>
    </row>
    <row r="12" spans="1:14">
      <c r="A12" s="362" t="s">
        <v>22</v>
      </c>
      <c r="B12" s="29">
        <v>126</v>
      </c>
      <c r="C12" s="29">
        <v>62</v>
      </c>
      <c r="D12" s="29">
        <v>937</v>
      </c>
      <c r="E12" s="29">
        <v>1316</v>
      </c>
      <c r="F12" s="29">
        <v>1325</v>
      </c>
      <c r="G12" s="29">
        <v>80435</v>
      </c>
      <c r="H12" s="29">
        <v>119220</v>
      </c>
      <c r="I12" s="29">
        <v>9</v>
      </c>
      <c r="J12" s="29">
        <v>642</v>
      </c>
      <c r="K12" s="28" t="s">
        <v>15</v>
      </c>
      <c r="L12" s="28" t="s">
        <v>15</v>
      </c>
      <c r="M12" s="28" t="s">
        <v>15</v>
      </c>
      <c r="N12" s="29">
        <v>204070</v>
      </c>
    </row>
    <row r="13" spans="1:14">
      <c r="A13" s="362" t="s">
        <v>23</v>
      </c>
      <c r="B13" s="29">
        <v>3575</v>
      </c>
      <c r="C13" s="29">
        <v>115719</v>
      </c>
      <c r="D13" s="29">
        <v>9505</v>
      </c>
      <c r="E13" s="29">
        <v>51128</v>
      </c>
      <c r="F13" s="29">
        <v>42657</v>
      </c>
      <c r="G13" s="29">
        <v>245618</v>
      </c>
      <c r="H13" s="29">
        <v>302587</v>
      </c>
      <c r="I13" s="29">
        <v>256</v>
      </c>
      <c r="J13" s="29">
        <v>2283</v>
      </c>
      <c r="K13" s="29">
        <v>2386</v>
      </c>
      <c r="L13" s="28" t="s">
        <v>15</v>
      </c>
      <c r="M13" s="28" t="s">
        <v>15</v>
      </c>
      <c r="N13" s="29">
        <v>775715</v>
      </c>
    </row>
    <row r="14" spans="1:14">
      <c r="A14" s="362" t="s">
        <v>24</v>
      </c>
      <c r="B14" s="29">
        <v>8315</v>
      </c>
      <c r="C14" s="29">
        <v>494353</v>
      </c>
      <c r="D14" s="29">
        <v>10249</v>
      </c>
      <c r="E14" s="29">
        <v>34166</v>
      </c>
      <c r="F14" s="29">
        <v>49700</v>
      </c>
      <c r="G14" s="29">
        <v>320831</v>
      </c>
      <c r="H14" s="29">
        <v>209388</v>
      </c>
      <c r="I14" s="29">
        <v>223</v>
      </c>
      <c r="J14" s="29">
        <v>64561</v>
      </c>
      <c r="K14" s="29">
        <v>146844</v>
      </c>
      <c r="L14" s="28" t="s">
        <v>15</v>
      </c>
      <c r="M14" s="28" t="s">
        <v>15</v>
      </c>
      <c r="N14" s="29">
        <v>1338629</v>
      </c>
    </row>
    <row r="15" spans="1:14">
      <c r="A15" s="362" t="s">
        <v>25</v>
      </c>
      <c r="B15" s="29">
        <v>1156</v>
      </c>
      <c r="C15" s="29">
        <v>293</v>
      </c>
      <c r="D15" s="29">
        <v>100</v>
      </c>
      <c r="E15" s="29">
        <v>658</v>
      </c>
      <c r="F15" s="29">
        <v>174</v>
      </c>
      <c r="G15" s="29">
        <v>764</v>
      </c>
      <c r="H15" s="29">
        <v>1062</v>
      </c>
      <c r="I15" s="28" t="s">
        <v>15</v>
      </c>
      <c r="J15" s="29">
        <v>9483</v>
      </c>
      <c r="K15" s="29">
        <v>558</v>
      </c>
      <c r="L15" s="28" t="s">
        <v>15</v>
      </c>
      <c r="M15" s="28" t="s">
        <v>15</v>
      </c>
      <c r="N15" s="29">
        <v>14248</v>
      </c>
    </row>
    <row r="16" spans="1:14">
      <c r="A16" s="362" t="s">
        <v>26</v>
      </c>
      <c r="B16" s="29">
        <v>20499</v>
      </c>
      <c r="C16" s="29">
        <v>8245</v>
      </c>
      <c r="D16" s="29">
        <v>3115</v>
      </c>
      <c r="E16" s="29">
        <v>4720</v>
      </c>
      <c r="F16" s="29">
        <v>8003</v>
      </c>
      <c r="G16" s="29">
        <v>13591</v>
      </c>
      <c r="H16" s="29">
        <v>23956</v>
      </c>
      <c r="I16" s="28" t="s">
        <v>15</v>
      </c>
      <c r="J16" s="29">
        <v>2535</v>
      </c>
      <c r="K16" s="29">
        <v>15170</v>
      </c>
      <c r="L16" s="28" t="s">
        <v>15</v>
      </c>
      <c r="M16" s="28" t="s">
        <v>15</v>
      </c>
      <c r="N16" s="29">
        <v>99834</v>
      </c>
    </row>
    <row r="17" spans="1:14">
      <c r="A17" s="362" t="s">
        <v>27</v>
      </c>
      <c r="B17" s="29">
        <v>72589</v>
      </c>
      <c r="C17" s="29">
        <v>358147</v>
      </c>
      <c r="D17" s="29">
        <v>11920</v>
      </c>
      <c r="E17" s="29">
        <v>45792</v>
      </c>
      <c r="F17" s="29">
        <v>230299</v>
      </c>
      <c r="G17" s="29">
        <v>17435</v>
      </c>
      <c r="H17" s="29">
        <v>284351</v>
      </c>
      <c r="I17" s="29">
        <v>186</v>
      </c>
      <c r="J17" s="29">
        <v>10980</v>
      </c>
      <c r="K17" s="29">
        <v>167699</v>
      </c>
      <c r="L17" s="28" t="s">
        <v>15</v>
      </c>
      <c r="M17" s="28" t="s">
        <v>15</v>
      </c>
      <c r="N17" s="29">
        <v>1199398</v>
      </c>
    </row>
    <row r="18" spans="1:14">
      <c r="A18" s="362"/>
      <c r="B18" s="29"/>
      <c r="C18" s="29"/>
      <c r="D18" s="29"/>
      <c r="E18" s="29"/>
      <c r="F18" s="29"/>
      <c r="G18" s="29"/>
      <c r="H18" s="29"/>
      <c r="I18" s="29"/>
      <c r="J18" s="29"/>
      <c r="K18" s="29"/>
      <c r="L18" s="28"/>
      <c r="M18" s="28"/>
      <c r="N18" s="29"/>
    </row>
    <row r="19" spans="1:14">
      <c r="A19" s="362" t="s">
        <v>28</v>
      </c>
      <c r="B19" s="29">
        <v>18574</v>
      </c>
      <c r="C19" s="29">
        <v>4264</v>
      </c>
      <c r="D19" s="29">
        <v>984</v>
      </c>
      <c r="E19" s="29">
        <v>787</v>
      </c>
      <c r="F19" s="29">
        <v>6490</v>
      </c>
      <c r="G19" s="29">
        <v>4467</v>
      </c>
      <c r="H19" s="29">
        <v>15511</v>
      </c>
      <c r="I19" s="28" t="s">
        <v>15</v>
      </c>
      <c r="J19" s="29">
        <v>560</v>
      </c>
      <c r="K19" s="29">
        <v>6585</v>
      </c>
      <c r="L19" s="28" t="s">
        <v>15</v>
      </c>
      <c r="M19" s="28" t="s">
        <v>15</v>
      </c>
      <c r="N19" s="29">
        <v>58222</v>
      </c>
    </row>
    <row r="20" spans="1:14">
      <c r="A20" s="362" t="s">
        <v>29</v>
      </c>
      <c r="B20" s="29">
        <v>7674</v>
      </c>
      <c r="C20" s="29">
        <v>1215</v>
      </c>
      <c r="D20" s="29">
        <v>1210</v>
      </c>
      <c r="E20" s="29">
        <v>124</v>
      </c>
      <c r="F20" s="29">
        <v>13672</v>
      </c>
      <c r="G20" s="29">
        <v>1430</v>
      </c>
      <c r="H20" s="29">
        <v>2749</v>
      </c>
      <c r="I20" s="28" t="s">
        <v>15</v>
      </c>
      <c r="J20" s="29">
        <v>120</v>
      </c>
      <c r="K20" s="29">
        <v>514</v>
      </c>
      <c r="L20" s="28" t="s">
        <v>15</v>
      </c>
      <c r="M20" s="28" t="s">
        <v>15</v>
      </c>
      <c r="N20" s="29">
        <v>28708</v>
      </c>
    </row>
    <row r="21" spans="1:14">
      <c r="A21" s="362" t="s">
        <v>30</v>
      </c>
      <c r="B21" s="29">
        <v>18929</v>
      </c>
      <c r="C21" s="29">
        <v>8016</v>
      </c>
      <c r="D21" s="29">
        <v>2961</v>
      </c>
      <c r="E21" s="29">
        <v>5695</v>
      </c>
      <c r="F21" s="29">
        <v>9254</v>
      </c>
      <c r="G21" s="29">
        <v>16983</v>
      </c>
      <c r="H21" s="29">
        <v>22526</v>
      </c>
      <c r="I21" s="29">
        <v>108</v>
      </c>
      <c r="J21" s="29">
        <v>2882</v>
      </c>
      <c r="K21" s="29">
        <v>7093</v>
      </c>
      <c r="L21" s="28" t="s">
        <v>15</v>
      </c>
      <c r="M21" s="28" t="s">
        <v>15</v>
      </c>
      <c r="N21" s="29">
        <v>94448</v>
      </c>
    </row>
    <row r="22" spans="1:14">
      <c r="A22" s="362" t="s">
        <v>31</v>
      </c>
      <c r="B22" s="29">
        <v>86374</v>
      </c>
      <c r="C22" s="29">
        <v>46250</v>
      </c>
      <c r="D22" s="29">
        <v>2377</v>
      </c>
      <c r="E22" s="29">
        <v>568</v>
      </c>
      <c r="F22" s="29">
        <v>14066</v>
      </c>
      <c r="G22" s="29">
        <v>3775</v>
      </c>
      <c r="H22" s="29">
        <v>36442</v>
      </c>
      <c r="I22" s="28" t="s">
        <v>15</v>
      </c>
      <c r="J22" s="29">
        <v>2144</v>
      </c>
      <c r="K22" s="28" t="s">
        <v>15</v>
      </c>
      <c r="L22" s="28" t="s">
        <v>15</v>
      </c>
      <c r="M22" s="28" t="s">
        <v>15</v>
      </c>
      <c r="N22" s="29">
        <v>191995</v>
      </c>
    </row>
    <row r="23" spans="1:14">
      <c r="A23" s="362" t="s">
        <v>332</v>
      </c>
      <c r="B23" s="28" t="s">
        <v>15</v>
      </c>
      <c r="C23" s="28" t="s">
        <v>15</v>
      </c>
      <c r="D23" s="29">
        <v>0</v>
      </c>
      <c r="E23" s="28" t="s">
        <v>15</v>
      </c>
      <c r="F23" s="29">
        <v>128</v>
      </c>
      <c r="G23" s="28" t="s">
        <v>15</v>
      </c>
      <c r="H23" s="28" t="s">
        <v>15</v>
      </c>
      <c r="I23" s="28" t="s">
        <v>15</v>
      </c>
      <c r="J23" s="28" t="s">
        <v>15</v>
      </c>
      <c r="K23" s="28" t="s">
        <v>15</v>
      </c>
      <c r="L23" s="28" t="s">
        <v>15</v>
      </c>
      <c r="M23" s="28" t="s">
        <v>15</v>
      </c>
      <c r="N23" s="29">
        <v>128</v>
      </c>
    </row>
    <row r="24" spans="1:14">
      <c r="A24" s="362" t="s">
        <v>333</v>
      </c>
      <c r="B24" s="28" t="s">
        <v>15</v>
      </c>
      <c r="C24" s="29">
        <v>423</v>
      </c>
      <c r="D24" s="28" t="s">
        <v>15</v>
      </c>
      <c r="E24" s="28" t="s">
        <v>15</v>
      </c>
      <c r="F24" s="28" t="s">
        <v>15</v>
      </c>
      <c r="G24" s="29">
        <v>0</v>
      </c>
      <c r="H24" s="28" t="s">
        <v>15</v>
      </c>
      <c r="I24" s="28" t="s">
        <v>15</v>
      </c>
      <c r="J24" s="28" t="s">
        <v>15</v>
      </c>
      <c r="K24" s="28" t="s">
        <v>15</v>
      </c>
      <c r="L24" s="28" t="s">
        <v>15</v>
      </c>
      <c r="M24" s="28" t="s">
        <v>15</v>
      </c>
      <c r="N24" s="29">
        <v>423</v>
      </c>
    </row>
    <row r="25" spans="1:14">
      <c r="A25" s="362" t="s">
        <v>32</v>
      </c>
      <c r="B25" s="29">
        <v>6304</v>
      </c>
      <c r="C25" s="29">
        <v>450</v>
      </c>
      <c r="D25" s="29">
        <v>750</v>
      </c>
      <c r="E25" s="28" t="s">
        <v>15</v>
      </c>
      <c r="F25" s="29">
        <v>31</v>
      </c>
      <c r="G25" s="29">
        <v>113</v>
      </c>
      <c r="H25" s="29">
        <v>20315</v>
      </c>
      <c r="I25" s="28" t="s">
        <v>15</v>
      </c>
      <c r="J25" s="29">
        <v>119</v>
      </c>
      <c r="K25" s="29">
        <v>112</v>
      </c>
      <c r="L25" s="28" t="s">
        <v>15</v>
      </c>
      <c r="M25" s="28" t="s">
        <v>15</v>
      </c>
      <c r="N25" s="29">
        <v>28193</v>
      </c>
    </row>
    <row r="26" spans="1:14">
      <c r="A26" s="362" t="s">
        <v>34</v>
      </c>
      <c r="B26" s="28" t="s">
        <v>15</v>
      </c>
      <c r="C26" s="28" t="s">
        <v>15</v>
      </c>
      <c r="D26" s="28" t="s">
        <v>15</v>
      </c>
      <c r="E26" s="28" t="s">
        <v>15</v>
      </c>
      <c r="F26" s="28" t="s">
        <v>15</v>
      </c>
      <c r="G26" s="28" t="s">
        <v>15</v>
      </c>
      <c r="H26" s="28" t="s">
        <v>15</v>
      </c>
      <c r="I26" s="28" t="s">
        <v>15</v>
      </c>
      <c r="J26" s="29">
        <v>999246</v>
      </c>
      <c r="K26" s="28" t="s">
        <v>15</v>
      </c>
      <c r="L26" s="28" t="s">
        <v>15</v>
      </c>
      <c r="M26" s="28" t="s">
        <v>15</v>
      </c>
      <c r="N26" s="29">
        <v>999246</v>
      </c>
    </row>
    <row r="27" spans="1:14">
      <c r="A27" s="362" t="s">
        <v>35</v>
      </c>
      <c r="B27" s="28" t="s">
        <v>15</v>
      </c>
      <c r="C27" s="28" t="s">
        <v>15</v>
      </c>
      <c r="D27" s="28" t="s">
        <v>15</v>
      </c>
      <c r="E27" s="28" t="s">
        <v>15</v>
      </c>
      <c r="F27" s="28" t="s">
        <v>15</v>
      </c>
      <c r="G27" s="28" t="s">
        <v>15</v>
      </c>
      <c r="H27" s="28" t="s">
        <v>15</v>
      </c>
      <c r="I27" s="28" t="s">
        <v>15</v>
      </c>
      <c r="J27" s="29">
        <v>1719784</v>
      </c>
      <c r="K27" s="28" t="s">
        <v>15</v>
      </c>
      <c r="L27" s="28" t="s">
        <v>15</v>
      </c>
      <c r="M27" s="28" t="s">
        <v>15</v>
      </c>
      <c r="N27" s="29">
        <v>1719784</v>
      </c>
    </row>
    <row r="28" spans="1:14">
      <c r="A28" s="362" t="s">
        <v>36</v>
      </c>
      <c r="B28" s="29">
        <v>23119</v>
      </c>
      <c r="C28" s="29">
        <v>129942</v>
      </c>
      <c r="D28" s="29">
        <v>611023</v>
      </c>
      <c r="E28" s="29">
        <v>440505</v>
      </c>
      <c r="F28" s="29">
        <v>313295</v>
      </c>
      <c r="G28" s="29">
        <v>79989</v>
      </c>
      <c r="H28" s="29">
        <v>34947</v>
      </c>
      <c r="I28" s="29">
        <v>324471</v>
      </c>
      <c r="J28" s="29">
        <v>2646</v>
      </c>
      <c r="K28" s="29">
        <v>5728</v>
      </c>
      <c r="L28" s="28" t="s">
        <v>15</v>
      </c>
      <c r="M28" s="28" t="s">
        <v>15</v>
      </c>
      <c r="N28" s="29">
        <v>1965665</v>
      </c>
    </row>
    <row r="29" spans="1:14">
      <c r="A29" s="362" t="s">
        <v>37</v>
      </c>
      <c r="B29" s="29">
        <v>21890</v>
      </c>
      <c r="C29" s="29">
        <v>233166</v>
      </c>
      <c r="D29" s="29">
        <v>108490</v>
      </c>
      <c r="E29" s="29">
        <v>73528</v>
      </c>
      <c r="F29" s="29">
        <v>339896</v>
      </c>
      <c r="G29" s="29">
        <v>54287</v>
      </c>
      <c r="H29" s="29">
        <v>68606</v>
      </c>
      <c r="I29" s="28" t="s">
        <v>15</v>
      </c>
      <c r="J29" s="29">
        <v>383940</v>
      </c>
      <c r="K29" s="29">
        <v>24778</v>
      </c>
      <c r="L29" s="28" t="s">
        <v>15</v>
      </c>
      <c r="M29" s="28" t="s">
        <v>15</v>
      </c>
      <c r="N29" s="29">
        <v>1308580</v>
      </c>
    </row>
    <row r="30" spans="1:14">
      <c r="A30" s="362" t="s">
        <v>335</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c r="A31" s="362" t="s">
        <v>38</v>
      </c>
      <c r="B31" s="29">
        <v>1211</v>
      </c>
      <c r="C31" s="28" t="s">
        <v>15</v>
      </c>
      <c r="D31" s="28" t="s">
        <v>15</v>
      </c>
      <c r="E31" s="29">
        <v>446</v>
      </c>
      <c r="F31" s="28" t="s">
        <v>15</v>
      </c>
      <c r="G31" s="29">
        <v>675550</v>
      </c>
      <c r="H31" s="28" t="s">
        <v>15</v>
      </c>
      <c r="I31" s="29">
        <v>14794081</v>
      </c>
      <c r="J31" s="29">
        <v>166697</v>
      </c>
      <c r="K31" s="29">
        <v>214</v>
      </c>
      <c r="L31" s="28" t="s">
        <v>15</v>
      </c>
      <c r="M31" s="28" t="s">
        <v>15</v>
      </c>
      <c r="N31" s="29">
        <v>15638199</v>
      </c>
    </row>
    <row r="32" spans="1:14">
      <c r="A32" s="362" t="s">
        <v>39</v>
      </c>
      <c r="B32" s="28" t="s">
        <v>15</v>
      </c>
      <c r="C32" s="29">
        <v>205370</v>
      </c>
      <c r="D32" s="29">
        <v>280</v>
      </c>
      <c r="E32" s="28" t="s">
        <v>15</v>
      </c>
      <c r="F32" s="29">
        <v>24354</v>
      </c>
      <c r="G32" s="29">
        <v>206829</v>
      </c>
      <c r="H32" s="28" t="s">
        <v>15</v>
      </c>
      <c r="I32" s="28" t="s">
        <v>15</v>
      </c>
      <c r="J32" s="29">
        <v>151</v>
      </c>
      <c r="K32" s="29">
        <v>706</v>
      </c>
      <c r="L32" s="28" t="s">
        <v>15</v>
      </c>
      <c r="M32" s="28" t="s">
        <v>15</v>
      </c>
      <c r="N32" s="29">
        <v>437691</v>
      </c>
    </row>
    <row r="33" spans="1:14">
      <c r="A33" s="362" t="s">
        <v>41</v>
      </c>
      <c r="B33" s="29">
        <v>102240</v>
      </c>
      <c r="C33" s="29">
        <v>1119283</v>
      </c>
      <c r="D33" s="29">
        <v>67507</v>
      </c>
      <c r="E33" s="29">
        <v>120319</v>
      </c>
      <c r="F33" s="29">
        <v>734819</v>
      </c>
      <c r="G33" s="29">
        <v>875085</v>
      </c>
      <c r="H33" s="29">
        <v>491395</v>
      </c>
      <c r="I33" s="28" t="s">
        <v>15</v>
      </c>
      <c r="J33" s="29">
        <v>452710</v>
      </c>
      <c r="K33" s="29">
        <v>139298</v>
      </c>
      <c r="L33" s="28" t="s">
        <v>15</v>
      </c>
      <c r="M33" s="28" t="s">
        <v>15</v>
      </c>
      <c r="N33" s="29">
        <v>4102656</v>
      </c>
    </row>
    <row r="34" spans="1:14">
      <c r="A34" s="362" t="s">
        <v>42</v>
      </c>
      <c r="B34" s="29">
        <v>301</v>
      </c>
      <c r="C34" s="29">
        <v>253928</v>
      </c>
      <c r="D34" s="29">
        <v>-108589</v>
      </c>
      <c r="E34" s="29">
        <v>-596674</v>
      </c>
      <c r="F34" s="29">
        <v>383520</v>
      </c>
      <c r="G34" s="29">
        <v>30990</v>
      </c>
      <c r="H34" s="29">
        <v>-4291</v>
      </c>
      <c r="I34" s="29">
        <v>4772</v>
      </c>
      <c r="J34" s="29">
        <v>278</v>
      </c>
      <c r="K34" s="29">
        <v>236024</v>
      </c>
      <c r="L34" s="28" t="s">
        <v>15</v>
      </c>
      <c r="M34" s="28" t="s">
        <v>15</v>
      </c>
      <c r="N34" s="29">
        <v>200258</v>
      </c>
    </row>
    <row r="35" spans="1:14">
      <c r="A35" s="362" t="s">
        <v>43</v>
      </c>
      <c r="B35" s="28" t="s">
        <v>15</v>
      </c>
      <c r="C35" s="28" t="s">
        <v>15</v>
      </c>
      <c r="D35" s="28" t="s">
        <v>15</v>
      </c>
      <c r="E35" s="29">
        <v>613279</v>
      </c>
      <c r="F35" s="29">
        <v>7411</v>
      </c>
      <c r="G35" s="28" t="s">
        <v>15</v>
      </c>
      <c r="H35" s="28" t="s">
        <v>15</v>
      </c>
      <c r="I35" s="28" t="s">
        <v>15</v>
      </c>
      <c r="J35" s="28" t="s">
        <v>15</v>
      </c>
      <c r="K35" s="28" t="s">
        <v>15</v>
      </c>
      <c r="L35" s="28" t="s">
        <v>15</v>
      </c>
      <c r="M35" s="28" t="s">
        <v>15</v>
      </c>
      <c r="N35" s="29">
        <v>620690</v>
      </c>
    </row>
    <row r="36" spans="1:14">
      <c r="A36" s="362" t="s">
        <v>44</v>
      </c>
      <c r="B36" s="28" t="s">
        <v>15</v>
      </c>
      <c r="C36" s="28" t="s">
        <v>15</v>
      </c>
      <c r="D36" s="28" t="s">
        <v>15</v>
      </c>
      <c r="E36" s="29">
        <v>702335</v>
      </c>
      <c r="F36" s="29">
        <v>144</v>
      </c>
      <c r="G36" s="28" t="s">
        <v>15</v>
      </c>
      <c r="H36" s="28" t="s">
        <v>15</v>
      </c>
      <c r="I36" s="28" t="s">
        <v>15</v>
      </c>
      <c r="J36" s="28" t="s">
        <v>15</v>
      </c>
      <c r="K36" s="28" t="s">
        <v>15</v>
      </c>
      <c r="L36" s="28" t="s">
        <v>15</v>
      </c>
      <c r="M36" s="28" t="s">
        <v>15</v>
      </c>
      <c r="N36" s="29">
        <v>702480</v>
      </c>
    </row>
    <row r="37" spans="1:14">
      <c r="A37" s="362" t="s">
        <v>45</v>
      </c>
      <c r="B37" s="28" t="s">
        <v>15</v>
      </c>
      <c r="C37" s="28" t="s">
        <v>15</v>
      </c>
      <c r="D37" s="28" t="s">
        <v>15</v>
      </c>
      <c r="E37" s="28" t="s">
        <v>15</v>
      </c>
      <c r="F37" s="28" t="s">
        <v>15</v>
      </c>
      <c r="G37" s="28" t="s">
        <v>15</v>
      </c>
      <c r="H37" s="28" t="s">
        <v>15</v>
      </c>
      <c r="I37" s="29">
        <v>114054</v>
      </c>
      <c r="J37" s="28" t="s">
        <v>15</v>
      </c>
      <c r="K37" s="28" t="s">
        <v>15</v>
      </c>
      <c r="L37" s="28" t="s">
        <v>15</v>
      </c>
      <c r="M37" s="28" t="s">
        <v>15</v>
      </c>
      <c r="N37" s="29">
        <v>114054</v>
      </c>
    </row>
    <row r="38" spans="1:14">
      <c r="A38" s="362"/>
      <c r="B38" s="28"/>
      <c r="C38" s="28"/>
      <c r="D38" s="28"/>
      <c r="E38" s="28"/>
      <c r="F38" s="28"/>
      <c r="G38" s="28"/>
      <c r="H38" s="28"/>
      <c r="I38" s="29"/>
      <c r="J38" s="28"/>
      <c r="K38" s="28"/>
      <c r="L38" s="28"/>
      <c r="M38" s="28"/>
      <c r="N38" s="29"/>
    </row>
    <row r="39" spans="1:14">
      <c r="A39" s="362" t="s">
        <v>46</v>
      </c>
      <c r="B39" s="29">
        <v>858</v>
      </c>
      <c r="C39" s="28" t="s">
        <v>15</v>
      </c>
      <c r="D39" s="28" t="s">
        <v>15</v>
      </c>
      <c r="E39" s="29">
        <v>232</v>
      </c>
      <c r="F39" s="28" t="s">
        <v>15</v>
      </c>
      <c r="G39" s="28" t="s">
        <v>15</v>
      </c>
      <c r="H39" s="29">
        <v>-1</v>
      </c>
      <c r="I39" s="28" t="s">
        <v>15</v>
      </c>
      <c r="J39" s="29">
        <v>96</v>
      </c>
      <c r="K39" s="29">
        <v>37</v>
      </c>
      <c r="L39" s="28" t="s">
        <v>15</v>
      </c>
      <c r="M39" s="28" t="s">
        <v>15</v>
      </c>
      <c r="N39" s="29">
        <v>1222</v>
      </c>
    </row>
    <row r="40" spans="1:14">
      <c r="A40" s="362"/>
      <c r="B40" s="29"/>
      <c r="C40" s="28"/>
      <c r="D40" s="28"/>
      <c r="E40" s="29"/>
      <c r="F40" s="28"/>
      <c r="G40" s="28"/>
      <c r="H40" s="29"/>
      <c r="I40" s="28"/>
      <c r="J40" s="29"/>
      <c r="K40" s="29"/>
      <c r="L40" s="28"/>
      <c r="M40" s="28"/>
      <c r="N40" s="29"/>
    </row>
    <row r="41" spans="1:14">
      <c r="A41" s="362" t="s">
        <v>47</v>
      </c>
      <c r="B41" s="28" t="s">
        <v>15</v>
      </c>
      <c r="C41" s="28" t="s">
        <v>15</v>
      </c>
      <c r="D41" s="28" t="s">
        <v>15</v>
      </c>
      <c r="E41" s="28" t="s">
        <v>15</v>
      </c>
      <c r="F41" s="28" t="s">
        <v>15</v>
      </c>
      <c r="G41" s="28" t="s">
        <v>15</v>
      </c>
      <c r="H41" s="28" t="s">
        <v>15</v>
      </c>
      <c r="I41" s="29">
        <v>91807</v>
      </c>
      <c r="J41" s="28" t="s">
        <v>15</v>
      </c>
      <c r="K41" s="28" t="s">
        <v>15</v>
      </c>
      <c r="L41" s="28" t="s">
        <v>15</v>
      </c>
      <c r="M41" s="28" t="s">
        <v>15</v>
      </c>
      <c r="N41" s="29">
        <v>91807</v>
      </c>
    </row>
    <row r="42" spans="1:14">
      <c r="A42" s="362" t="s">
        <v>48</v>
      </c>
      <c r="B42" s="29">
        <v>6165</v>
      </c>
      <c r="C42" s="29">
        <v>3620</v>
      </c>
      <c r="D42" s="29">
        <v>584</v>
      </c>
      <c r="E42" s="29">
        <v>2742</v>
      </c>
      <c r="F42" s="29">
        <v>7224</v>
      </c>
      <c r="G42" s="29">
        <v>1575</v>
      </c>
      <c r="H42" s="29">
        <v>12038</v>
      </c>
      <c r="I42" s="29">
        <v>89</v>
      </c>
      <c r="J42" s="29">
        <v>1271</v>
      </c>
      <c r="K42" s="29">
        <v>8661</v>
      </c>
      <c r="L42" s="28" t="s">
        <v>15</v>
      </c>
      <c r="M42" s="28" t="s">
        <v>15</v>
      </c>
      <c r="N42" s="29">
        <v>43969</v>
      </c>
    </row>
    <row r="43" spans="1:14">
      <c r="A43" s="362" t="s">
        <v>49</v>
      </c>
      <c r="B43" s="29">
        <v>1626</v>
      </c>
      <c r="C43" s="29">
        <v>1156</v>
      </c>
      <c r="D43" s="29">
        <v>172</v>
      </c>
      <c r="E43" s="29">
        <v>761</v>
      </c>
      <c r="F43" s="29">
        <v>1971</v>
      </c>
      <c r="G43" s="29">
        <v>458</v>
      </c>
      <c r="H43" s="29">
        <v>3550</v>
      </c>
      <c r="I43" s="29">
        <v>25</v>
      </c>
      <c r="J43" s="29">
        <v>355</v>
      </c>
      <c r="K43" s="29">
        <v>2240</v>
      </c>
      <c r="L43" s="28" t="s">
        <v>15</v>
      </c>
      <c r="M43" s="28" t="s">
        <v>15</v>
      </c>
      <c r="N43" s="29">
        <v>12313</v>
      </c>
    </row>
    <row r="44" spans="1:14">
      <c r="A44" s="362" t="s">
        <v>50</v>
      </c>
      <c r="B44" s="29">
        <v>1044</v>
      </c>
      <c r="C44" s="29">
        <v>1672</v>
      </c>
      <c r="D44" s="29">
        <v>106</v>
      </c>
      <c r="E44" s="29">
        <v>740</v>
      </c>
      <c r="F44" s="29">
        <v>1861</v>
      </c>
      <c r="G44" s="29">
        <v>479</v>
      </c>
      <c r="H44" s="29">
        <v>4466</v>
      </c>
      <c r="I44" s="29">
        <v>6</v>
      </c>
      <c r="J44" s="29">
        <v>278</v>
      </c>
      <c r="K44" s="29">
        <v>1897</v>
      </c>
      <c r="L44" s="28" t="s">
        <v>15</v>
      </c>
      <c r="M44" s="28" t="s">
        <v>15</v>
      </c>
      <c r="N44" s="29">
        <v>12549</v>
      </c>
    </row>
    <row r="45" spans="1:14">
      <c r="A45" s="362" t="s">
        <v>51</v>
      </c>
      <c r="B45" s="29">
        <v>10277</v>
      </c>
      <c r="C45" s="29">
        <v>531</v>
      </c>
      <c r="D45" s="29">
        <v>115</v>
      </c>
      <c r="E45" s="29">
        <v>11</v>
      </c>
      <c r="F45" s="29">
        <v>47</v>
      </c>
      <c r="G45" s="29">
        <v>638</v>
      </c>
      <c r="H45" s="29">
        <v>262</v>
      </c>
      <c r="I45" s="28" t="s">
        <v>15</v>
      </c>
      <c r="J45" s="29">
        <v>63</v>
      </c>
      <c r="K45" s="29">
        <v>2341</v>
      </c>
      <c r="L45" s="28" t="s">
        <v>15</v>
      </c>
      <c r="M45" s="28" t="s">
        <v>15</v>
      </c>
      <c r="N45" s="29">
        <v>14285</v>
      </c>
    </row>
    <row r="46" spans="1:14">
      <c r="A46" s="362" t="s">
        <v>52</v>
      </c>
      <c r="B46" s="29">
        <v>14449</v>
      </c>
      <c r="C46" s="29">
        <v>1237</v>
      </c>
      <c r="D46" s="29">
        <v>368</v>
      </c>
      <c r="E46" s="28" t="s">
        <v>15</v>
      </c>
      <c r="F46" s="29">
        <v>270</v>
      </c>
      <c r="G46" s="29">
        <v>42</v>
      </c>
      <c r="H46" s="29">
        <v>2421</v>
      </c>
      <c r="I46" s="28" t="s">
        <v>15</v>
      </c>
      <c r="J46" s="29">
        <v>263</v>
      </c>
      <c r="K46" s="29">
        <v>1147</v>
      </c>
      <c r="L46" s="28" t="s">
        <v>15</v>
      </c>
      <c r="M46" s="28" t="s">
        <v>15</v>
      </c>
      <c r="N46" s="29">
        <v>20198</v>
      </c>
    </row>
    <row r="47" spans="1:14">
      <c r="A47" s="362" t="s">
        <v>53</v>
      </c>
      <c r="B47" s="29">
        <v>3473</v>
      </c>
      <c r="C47" s="29">
        <v>182</v>
      </c>
      <c r="D47" s="28" t="s">
        <v>15</v>
      </c>
      <c r="E47" s="29">
        <v>0</v>
      </c>
      <c r="F47" s="28" t="s">
        <v>15</v>
      </c>
      <c r="G47" s="28" t="s">
        <v>15</v>
      </c>
      <c r="H47" s="28" t="s">
        <v>15</v>
      </c>
      <c r="I47" s="28" t="s">
        <v>15</v>
      </c>
      <c r="J47" s="29">
        <v>516</v>
      </c>
      <c r="K47" s="29">
        <v>174</v>
      </c>
      <c r="L47" s="28" t="s">
        <v>15</v>
      </c>
      <c r="M47" s="28" t="s">
        <v>15</v>
      </c>
      <c r="N47" s="29">
        <v>4346</v>
      </c>
    </row>
    <row r="48" spans="1:14">
      <c r="A48" s="362" t="s">
        <v>54</v>
      </c>
      <c r="B48" s="29">
        <v>569</v>
      </c>
      <c r="C48" s="28" t="s">
        <v>15</v>
      </c>
      <c r="D48" s="28" t="s">
        <v>15</v>
      </c>
      <c r="E48" s="28" t="s">
        <v>15</v>
      </c>
      <c r="F48" s="28" t="s">
        <v>15</v>
      </c>
      <c r="G48" s="28" t="s">
        <v>15</v>
      </c>
      <c r="H48" s="29">
        <v>4</v>
      </c>
      <c r="I48" s="28" t="s">
        <v>15</v>
      </c>
      <c r="J48" s="29">
        <v>1</v>
      </c>
      <c r="K48" s="29">
        <v>61</v>
      </c>
      <c r="L48" s="28" t="s">
        <v>15</v>
      </c>
      <c r="M48" s="28" t="s">
        <v>15</v>
      </c>
      <c r="N48" s="29">
        <v>635</v>
      </c>
    </row>
    <row r="49" spans="1:14">
      <c r="A49" s="362" t="s">
        <v>55</v>
      </c>
      <c r="B49" s="28" t="s">
        <v>15</v>
      </c>
      <c r="C49" s="28" t="s">
        <v>15</v>
      </c>
      <c r="D49" s="28" t="s">
        <v>15</v>
      </c>
      <c r="E49" s="28" t="s">
        <v>15</v>
      </c>
      <c r="F49" s="28" t="s">
        <v>15</v>
      </c>
      <c r="G49" s="28" t="s">
        <v>15</v>
      </c>
      <c r="H49" s="28" t="s">
        <v>15</v>
      </c>
      <c r="I49" s="29">
        <v>12165</v>
      </c>
      <c r="J49" s="28" t="s">
        <v>15</v>
      </c>
      <c r="K49" s="28" t="s">
        <v>15</v>
      </c>
      <c r="L49" s="28" t="s">
        <v>15</v>
      </c>
      <c r="M49" s="28" t="s">
        <v>15</v>
      </c>
      <c r="N49" s="29">
        <v>12165</v>
      </c>
    </row>
    <row r="50" spans="1:14">
      <c r="A50" s="362" t="s">
        <v>56</v>
      </c>
      <c r="B50" s="28" t="s">
        <v>15</v>
      </c>
      <c r="C50" s="28" t="s">
        <v>15</v>
      </c>
      <c r="D50" s="28" t="s">
        <v>15</v>
      </c>
      <c r="E50" s="28" t="s">
        <v>15</v>
      </c>
      <c r="F50" s="28" t="s">
        <v>15</v>
      </c>
      <c r="G50" s="28" t="s">
        <v>15</v>
      </c>
      <c r="H50" s="28" t="s">
        <v>15</v>
      </c>
      <c r="I50" s="29">
        <v>1546619</v>
      </c>
      <c r="J50" s="28" t="s">
        <v>15</v>
      </c>
      <c r="K50" s="28" t="s">
        <v>15</v>
      </c>
      <c r="L50" s="28" t="s">
        <v>15</v>
      </c>
      <c r="M50" s="28" t="s">
        <v>15</v>
      </c>
      <c r="N50" s="29">
        <v>1546619</v>
      </c>
    </row>
    <row r="51" spans="1:14">
      <c r="A51" s="362" t="s">
        <v>57</v>
      </c>
      <c r="B51" s="28" t="s">
        <v>15</v>
      </c>
      <c r="C51" s="28" t="s">
        <v>15</v>
      </c>
      <c r="D51" s="29">
        <v>71535</v>
      </c>
      <c r="E51" s="29">
        <v>1226096</v>
      </c>
      <c r="F51" s="28" t="s">
        <v>15</v>
      </c>
      <c r="G51" s="28" t="s">
        <v>15</v>
      </c>
      <c r="H51" s="28" t="s">
        <v>15</v>
      </c>
      <c r="I51" s="28" t="s">
        <v>15</v>
      </c>
      <c r="J51" s="28" t="s">
        <v>15</v>
      </c>
      <c r="K51" s="28" t="s">
        <v>15</v>
      </c>
      <c r="L51" s="28" t="s">
        <v>15</v>
      </c>
      <c r="M51" s="28" t="s">
        <v>15</v>
      </c>
      <c r="N51" s="29">
        <v>1297631</v>
      </c>
    </row>
    <row r="52" spans="1:14">
      <c r="A52" s="362" t="s">
        <v>58</v>
      </c>
      <c r="B52" s="28" t="s">
        <v>15</v>
      </c>
      <c r="C52" s="28" t="s">
        <v>15</v>
      </c>
      <c r="D52" s="29">
        <v>74630</v>
      </c>
      <c r="E52" s="29">
        <v>1386652</v>
      </c>
      <c r="F52" s="28" t="s">
        <v>15</v>
      </c>
      <c r="G52" s="28" t="s">
        <v>15</v>
      </c>
      <c r="H52" s="28" t="s">
        <v>15</v>
      </c>
      <c r="I52" s="28" t="s">
        <v>15</v>
      </c>
      <c r="J52" s="28" t="s">
        <v>15</v>
      </c>
      <c r="K52" s="28" t="s">
        <v>15</v>
      </c>
      <c r="L52" s="28" t="s">
        <v>15</v>
      </c>
      <c r="M52" s="28" t="s">
        <v>15</v>
      </c>
      <c r="N52" s="29">
        <v>1461282</v>
      </c>
    </row>
    <row r="53" spans="1:14">
      <c r="A53" s="362" t="s">
        <v>59</v>
      </c>
      <c r="B53" s="29">
        <v>5392</v>
      </c>
      <c r="C53" s="29">
        <v>63332</v>
      </c>
      <c r="D53" s="29">
        <v>5777</v>
      </c>
      <c r="E53" s="29">
        <v>2963</v>
      </c>
      <c r="F53" s="29">
        <v>36068</v>
      </c>
      <c r="G53" s="29">
        <v>23347</v>
      </c>
      <c r="H53" s="29">
        <v>20336</v>
      </c>
      <c r="I53" s="29">
        <v>2</v>
      </c>
      <c r="J53" s="29">
        <v>50138</v>
      </c>
      <c r="K53" s="29">
        <v>3375</v>
      </c>
      <c r="L53" s="28" t="s">
        <v>15</v>
      </c>
      <c r="M53" s="28" t="s">
        <v>15</v>
      </c>
      <c r="N53" s="29">
        <v>210730</v>
      </c>
    </row>
    <row r="54" spans="1:14">
      <c r="A54" s="362" t="s">
        <v>60</v>
      </c>
      <c r="B54" s="29">
        <v>5392</v>
      </c>
      <c r="C54" s="29">
        <v>63332</v>
      </c>
      <c r="D54" s="29">
        <v>5777</v>
      </c>
      <c r="E54" s="29">
        <v>2963</v>
      </c>
      <c r="F54" s="29">
        <v>36068</v>
      </c>
      <c r="G54" s="29">
        <v>23347</v>
      </c>
      <c r="H54" s="29">
        <v>20336</v>
      </c>
      <c r="I54" s="29">
        <v>2</v>
      </c>
      <c r="J54" s="29">
        <v>50138</v>
      </c>
      <c r="K54" s="29">
        <v>3372</v>
      </c>
      <c r="L54" s="28" t="s">
        <v>15</v>
      </c>
      <c r="M54" s="28" t="s">
        <v>15</v>
      </c>
      <c r="N54" s="29">
        <v>210727</v>
      </c>
    </row>
    <row r="55" spans="1:14">
      <c r="A55" s="362" t="s">
        <v>436</v>
      </c>
      <c r="B55" s="28" t="s">
        <v>15</v>
      </c>
      <c r="C55" s="28" t="s">
        <v>15</v>
      </c>
      <c r="D55" s="28" t="s">
        <v>15</v>
      </c>
      <c r="E55" s="28" t="s">
        <v>15</v>
      </c>
      <c r="F55" s="28" t="s">
        <v>15</v>
      </c>
      <c r="G55" s="28" t="s">
        <v>15</v>
      </c>
      <c r="H55" s="28" t="s">
        <v>15</v>
      </c>
      <c r="I55" s="28" t="s">
        <v>15</v>
      </c>
      <c r="J55" s="28" t="s">
        <v>15</v>
      </c>
      <c r="K55" s="29">
        <v>3</v>
      </c>
      <c r="L55" s="28" t="s">
        <v>15</v>
      </c>
      <c r="M55" s="28" t="s">
        <v>15</v>
      </c>
      <c r="N55" s="29">
        <v>3</v>
      </c>
    </row>
    <row r="56" spans="1:14">
      <c r="A56" s="362" t="s">
        <v>61</v>
      </c>
      <c r="B56" s="29">
        <v>1313</v>
      </c>
      <c r="C56" s="29">
        <v>18648</v>
      </c>
      <c r="D56" s="29">
        <v>12818</v>
      </c>
      <c r="E56" s="29">
        <v>19662</v>
      </c>
      <c r="F56" s="29">
        <v>79479</v>
      </c>
      <c r="G56" s="29">
        <v>37927</v>
      </c>
      <c r="H56" s="29">
        <v>12091</v>
      </c>
      <c r="I56" s="29">
        <v>7580</v>
      </c>
      <c r="J56" s="29">
        <v>10750</v>
      </c>
      <c r="K56" s="29">
        <v>2397</v>
      </c>
      <c r="L56" s="28" t="s">
        <v>15</v>
      </c>
      <c r="M56" s="28" t="s">
        <v>15</v>
      </c>
      <c r="N56" s="29">
        <v>202665</v>
      </c>
    </row>
    <row r="57" spans="1:14">
      <c r="A57" s="362" t="s">
        <v>62</v>
      </c>
      <c r="B57" s="29">
        <v>0</v>
      </c>
      <c r="C57" s="29">
        <v>0</v>
      </c>
      <c r="D57" s="29">
        <v>0</v>
      </c>
      <c r="E57" s="29">
        <v>0</v>
      </c>
      <c r="F57" s="29">
        <v>0</v>
      </c>
      <c r="G57" s="29">
        <v>0</v>
      </c>
      <c r="H57" s="29">
        <v>0</v>
      </c>
      <c r="I57" s="29">
        <v>0</v>
      </c>
      <c r="J57" s="29">
        <v>0</v>
      </c>
      <c r="K57" s="29">
        <v>0</v>
      </c>
      <c r="L57" s="29">
        <v>0</v>
      </c>
      <c r="M57" s="29">
        <v>0</v>
      </c>
      <c r="N57" s="29">
        <v>0</v>
      </c>
    </row>
    <row r="58" spans="1:14">
      <c r="A58" s="362" t="s">
        <v>63</v>
      </c>
      <c r="B58" s="29">
        <v>59635</v>
      </c>
      <c r="C58" s="29">
        <v>14558</v>
      </c>
      <c r="D58" s="29">
        <v>2840</v>
      </c>
      <c r="E58" s="29">
        <v>898</v>
      </c>
      <c r="F58" s="29">
        <v>657146</v>
      </c>
      <c r="G58" s="29">
        <v>79</v>
      </c>
      <c r="H58" s="29">
        <v>47802</v>
      </c>
      <c r="I58" s="29">
        <v>5940</v>
      </c>
      <c r="J58" s="29">
        <v>59977</v>
      </c>
      <c r="K58" s="29">
        <v>1239773</v>
      </c>
      <c r="L58" s="29">
        <v>77065117</v>
      </c>
      <c r="M58" s="29">
        <v>31936667</v>
      </c>
      <c r="N58" s="29">
        <v>111090430</v>
      </c>
    </row>
    <row r="59" spans="1:14">
      <c r="A59" s="362" t="s">
        <v>64</v>
      </c>
      <c r="B59" s="29">
        <v>4460751</v>
      </c>
      <c r="C59" s="29">
        <v>11375990</v>
      </c>
      <c r="D59" s="29">
        <v>2419702</v>
      </c>
      <c r="E59" s="29">
        <v>6818355</v>
      </c>
      <c r="F59" s="29">
        <v>7033009</v>
      </c>
      <c r="G59" s="29">
        <v>13707657</v>
      </c>
      <c r="H59" s="29">
        <v>11985530</v>
      </c>
      <c r="I59" s="29">
        <v>16923513</v>
      </c>
      <c r="J59" s="29">
        <v>5195789</v>
      </c>
      <c r="K59" s="29">
        <v>4631347</v>
      </c>
      <c r="L59" s="29">
        <v>80615027</v>
      </c>
      <c r="M59" s="29">
        <v>31936667</v>
      </c>
      <c r="N59" s="29">
        <v>197103337</v>
      </c>
    </row>
    <row r="60" spans="1:14">
      <c r="A60" s="362" t="s">
        <v>65</v>
      </c>
      <c r="B60" s="29">
        <v>14713</v>
      </c>
      <c r="C60" s="29">
        <v>57965</v>
      </c>
      <c r="D60" s="29">
        <v>0</v>
      </c>
      <c r="E60" s="29">
        <v>27901</v>
      </c>
      <c r="F60" s="29">
        <v>59803</v>
      </c>
      <c r="G60" s="29">
        <v>32138</v>
      </c>
      <c r="H60" s="29">
        <v>105</v>
      </c>
      <c r="I60" s="29">
        <v>556315</v>
      </c>
      <c r="J60" s="29">
        <v>0</v>
      </c>
      <c r="K60" s="29">
        <v>65</v>
      </c>
      <c r="L60" s="29">
        <v>77057670</v>
      </c>
      <c r="M60" s="29">
        <v>0</v>
      </c>
      <c r="N60" s="29">
        <v>77806674</v>
      </c>
    </row>
    <row r="61" spans="1:14">
      <c r="A61" s="362" t="s">
        <v>66</v>
      </c>
      <c r="B61" s="29">
        <v>4446039</v>
      </c>
      <c r="C61" s="29">
        <v>11318024</v>
      </c>
      <c r="D61" s="29">
        <v>2419702</v>
      </c>
      <c r="E61" s="29">
        <v>6790454</v>
      </c>
      <c r="F61" s="29">
        <v>6973206</v>
      </c>
      <c r="G61" s="29">
        <v>13675519</v>
      </c>
      <c r="H61" s="29">
        <v>11985426</v>
      </c>
      <c r="I61" s="29">
        <v>16367198</v>
      </c>
      <c r="J61" s="29">
        <v>5195789</v>
      </c>
      <c r="K61" s="29">
        <v>4631283</v>
      </c>
      <c r="L61" s="29">
        <v>3557357</v>
      </c>
      <c r="M61" s="29">
        <v>31936667</v>
      </c>
      <c r="N61" s="29">
        <v>119296663</v>
      </c>
    </row>
  </sheetData>
  <mergeCells count="2">
    <mergeCell ref="A1:N1"/>
    <mergeCell ref="A2:N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DN135"/>
  <sheetViews>
    <sheetView view="pageBreakPreview" zoomScale="134" zoomScaleSheetLayoutView="134" workbookViewId="0">
      <pane xSplit="2" ySplit="4" topLeftCell="BF80" activePane="bottomRight" state="frozen"/>
      <selection pane="topRight" activeCell="C1" sqref="C1"/>
      <selection pane="bottomLeft" activeCell="A6" sqref="A6"/>
      <selection pane="bottomRight" activeCell="BJ85" sqref="BJ85"/>
    </sheetView>
  </sheetViews>
  <sheetFormatPr defaultRowHeight="15.75"/>
  <cols>
    <col min="1" max="1" width="10.5703125" style="130" customWidth="1"/>
    <col min="2" max="2" width="25.42578125" customWidth="1"/>
    <col min="3" max="3" width="12.140625" style="252" customWidth="1"/>
    <col min="4" max="4" width="11.5703125" style="252" customWidth="1"/>
    <col min="5" max="5" width="16.5703125" style="252" customWidth="1"/>
    <col min="6" max="6" width="11.7109375" style="252" customWidth="1"/>
    <col min="7" max="7" width="12.140625" style="252" customWidth="1"/>
    <col min="8" max="8" width="11.42578125" style="252" customWidth="1"/>
    <col min="9" max="9" width="11.85546875" style="252" bestFit="1" customWidth="1"/>
    <col min="10" max="10" width="11" style="252" customWidth="1"/>
    <col min="11" max="11" width="12.140625" style="252" customWidth="1"/>
    <col min="12" max="13" width="12" style="252" bestFit="1" customWidth="1"/>
    <col min="14" max="14" width="10.5703125" style="252" customWidth="1"/>
    <col min="15" max="15" width="11.85546875" style="252" bestFit="1" customWidth="1"/>
    <col min="16" max="16" width="12" style="252" bestFit="1" customWidth="1"/>
    <col min="17" max="18" width="11.85546875" style="252" bestFit="1" customWidth="1"/>
    <col min="19" max="19" width="12" style="252" bestFit="1" customWidth="1"/>
    <col min="20" max="20" width="11.85546875" style="252" customWidth="1"/>
    <col min="21" max="21" width="11.85546875" style="252" bestFit="1" customWidth="1"/>
    <col min="22" max="22" width="9.7109375" style="253" customWidth="1"/>
    <col min="23" max="23" width="12" style="252" bestFit="1" customWidth="1"/>
    <col min="24" max="24" width="10.140625" style="252" customWidth="1"/>
    <col min="25" max="25" width="13.7109375" style="252" bestFit="1" customWidth="1"/>
    <col min="26" max="26" width="12.42578125" style="252" customWidth="1"/>
    <col min="27" max="27" width="11.85546875" style="252" customWidth="1"/>
    <col min="28" max="28" width="10.28515625" style="252" customWidth="1"/>
    <col min="29" max="29" width="12.7109375" style="253" customWidth="1"/>
    <col min="30" max="30" width="14.85546875" style="254" customWidth="1"/>
    <col min="31" max="31" width="9.5703125" style="252" bestFit="1" customWidth="1"/>
    <col min="32" max="32" width="11.85546875" style="252" bestFit="1" customWidth="1"/>
    <col min="33" max="33" width="13.7109375" style="252" customWidth="1"/>
    <col min="34" max="34" width="9.28515625" style="252" bestFit="1" customWidth="1"/>
    <col min="35" max="35" width="12" style="252" customWidth="1"/>
    <col min="36" max="36" width="12.42578125" style="252" customWidth="1"/>
    <col min="37" max="37" width="12.85546875" style="252" customWidth="1"/>
    <col min="38" max="38" width="12.140625" style="252" customWidth="1"/>
    <col min="39" max="39" width="14.140625" style="252" customWidth="1"/>
    <col min="40" max="40" width="11.5703125" style="252" customWidth="1"/>
    <col min="41" max="41" width="11" style="253" customWidth="1"/>
    <col min="42" max="42" width="12.7109375" style="252" customWidth="1"/>
    <col min="43" max="43" width="10.7109375" style="253" customWidth="1"/>
    <col min="44" max="44" width="9.7109375" style="252" bestFit="1" customWidth="1"/>
    <col min="45" max="45" width="9.140625" style="252"/>
    <col min="46" max="46" width="11.7109375" style="252" customWidth="1"/>
    <col min="47" max="47" width="10.85546875" style="252" customWidth="1"/>
    <col min="48" max="48" width="9.140625" style="252"/>
    <col min="49" max="49" width="11.85546875" style="252" customWidth="1"/>
    <col min="50" max="50" width="11.28515625" style="252" customWidth="1"/>
    <col min="51" max="51" width="12.28515625" style="252" customWidth="1"/>
    <col min="52" max="52" width="11.140625" style="252" customWidth="1"/>
    <col min="53" max="53" width="10.28515625" style="252" customWidth="1"/>
    <col min="54" max="54" width="14" style="253" customWidth="1"/>
    <col min="55" max="55" width="13.28515625" style="252" customWidth="1"/>
    <col min="56" max="56" width="11" style="252" customWidth="1"/>
    <col min="57" max="57" width="12.7109375" style="252" customWidth="1"/>
    <col min="58" max="58" width="14" style="252" customWidth="1"/>
    <col min="59" max="59" width="16.28515625" style="252" customWidth="1"/>
    <col min="60" max="60" width="16.28515625" style="253" customWidth="1"/>
    <col min="61" max="61" width="16.28515625" style="254" customWidth="1"/>
    <col min="62" max="62" width="13.28515625" style="252" customWidth="1"/>
    <col min="63" max="63" width="13.5703125" style="255" customWidth="1"/>
    <col min="64" max="64" width="11.28515625" customWidth="1"/>
    <col min="65" max="65" width="11.42578125" customWidth="1"/>
  </cols>
  <sheetData>
    <row r="1" spans="1:68">
      <c r="A1" s="119"/>
      <c r="B1" s="186"/>
      <c r="C1" s="366" t="s">
        <v>428</v>
      </c>
      <c r="D1" s="366"/>
      <c r="E1" s="366"/>
      <c r="F1" s="366"/>
      <c r="G1" s="366"/>
      <c r="H1" s="366"/>
      <c r="I1" s="366"/>
      <c r="J1" s="366"/>
      <c r="K1" s="366"/>
      <c r="L1" s="1"/>
      <c r="M1" s="1"/>
      <c r="N1" s="1"/>
      <c r="O1" s="1"/>
      <c r="P1" s="1"/>
      <c r="Q1" s="1"/>
      <c r="R1" s="1"/>
      <c r="S1" s="1"/>
      <c r="T1" s="1"/>
      <c r="U1" s="1"/>
      <c r="V1" s="174"/>
      <c r="W1" s="1"/>
      <c r="X1" s="1"/>
      <c r="Y1" s="1"/>
      <c r="Z1" s="1"/>
      <c r="AA1" s="1"/>
      <c r="AB1" s="1"/>
      <c r="AC1" s="174"/>
      <c r="AD1" s="213"/>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13"/>
      <c r="BJ1" s="1"/>
      <c r="BK1" s="46"/>
      <c r="BO1" s="250">
        <v>-7106</v>
      </c>
      <c r="BP1" s="250" t="s">
        <v>239</v>
      </c>
    </row>
    <row r="2" spans="1:68">
      <c r="A2" s="119"/>
      <c r="B2" s="1"/>
      <c r="C2" s="1"/>
      <c r="D2" s="1"/>
      <c r="E2" s="1"/>
      <c r="F2" s="1"/>
      <c r="G2" s="1"/>
      <c r="H2" s="1"/>
      <c r="I2" s="1"/>
      <c r="J2" s="1"/>
      <c r="K2" s="1"/>
      <c r="L2" s="1"/>
      <c r="M2" s="367" t="s">
        <v>67</v>
      </c>
      <c r="N2" s="367"/>
      <c r="O2" s="367"/>
      <c r="P2" s="1"/>
      <c r="Q2" s="1"/>
      <c r="R2" s="1"/>
      <c r="S2" s="1"/>
      <c r="T2" s="1"/>
      <c r="U2" s="1"/>
      <c r="V2" s="174"/>
      <c r="W2" s="1"/>
      <c r="X2" s="1"/>
      <c r="Y2" s="1"/>
      <c r="Z2" s="1"/>
      <c r="AA2" s="1"/>
      <c r="AB2" s="1"/>
      <c r="AC2" s="174"/>
      <c r="AD2" s="213"/>
      <c r="AE2" s="1"/>
      <c r="AF2" s="1"/>
      <c r="AG2" s="1"/>
      <c r="AH2" s="1"/>
      <c r="AI2" s="1"/>
      <c r="AJ2" s="1"/>
      <c r="AK2" s="1"/>
      <c r="AL2" s="1"/>
      <c r="AM2" s="1"/>
      <c r="AN2" s="1"/>
      <c r="AO2" s="174"/>
      <c r="AP2" s="1"/>
      <c r="AQ2" s="367" t="s">
        <v>67</v>
      </c>
      <c r="AR2" s="367"/>
      <c r="AS2" s="367"/>
      <c r="AT2" s="1"/>
      <c r="AU2" s="1"/>
      <c r="AV2" s="1"/>
      <c r="AW2" s="2"/>
      <c r="AX2" s="1"/>
      <c r="AY2" s="1"/>
      <c r="AZ2" s="1"/>
      <c r="BA2" s="1"/>
      <c r="BB2" s="174"/>
      <c r="BC2" s="1"/>
      <c r="BD2" s="1"/>
      <c r="BE2" s="1"/>
      <c r="BF2" s="1"/>
      <c r="BG2" s="1"/>
      <c r="BH2" s="174"/>
      <c r="BI2" s="367" t="s">
        <v>67</v>
      </c>
      <c r="BJ2" s="367"/>
      <c r="BK2" s="367"/>
      <c r="BO2" s="250">
        <v>-406251</v>
      </c>
      <c r="BP2" s="250" t="s">
        <v>240</v>
      </c>
    </row>
    <row r="3" spans="1:68" ht="37.5" customHeight="1">
      <c r="A3" s="39"/>
      <c r="B3" s="3"/>
      <c r="C3" s="3" t="s">
        <v>68</v>
      </c>
      <c r="D3" s="3" t="s">
        <v>69</v>
      </c>
      <c r="E3" s="3" t="s">
        <v>70</v>
      </c>
      <c r="F3" s="3" t="s">
        <v>71</v>
      </c>
      <c r="G3" s="3" t="s">
        <v>72</v>
      </c>
      <c r="H3" s="3" t="s">
        <v>73</v>
      </c>
      <c r="I3" s="3" t="s">
        <v>74</v>
      </c>
      <c r="J3" s="3" t="s">
        <v>75</v>
      </c>
      <c r="K3" s="3" t="s">
        <v>76</v>
      </c>
      <c r="L3" s="3" t="s">
        <v>77</v>
      </c>
      <c r="M3" s="3" t="s">
        <v>78</v>
      </c>
      <c r="N3" s="3" t="s">
        <v>79</v>
      </c>
      <c r="O3" s="3" t="s">
        <v>80</v>
      </c>
      <c r="P3" s="3" t="s">
        <v>81</v>
      </c>
      <c r="Q3" s="3" t="s">
        <v>82</v>
      </c>
      <c r="R3" s="3" t="s">
        <v>83</v>
      </c>
      <c r="S3" s="3" t="s">
        <v>84</v>
      </c>
      <c r="T3" s="3" t="s">
        <v>85</v>
      </c>
      <c r="U3" s="3" t="s">
        <v>101</v>
      </c>
      <c r="V3" s="39" t="s">
        <v>86</v>
      </c>
      <c r="W3" s="3" t="s">
        <v>87</v>
      </c>
      <c r="X3" s="3" t="s">
        <v>88</v>
      </c>
      <c r="Y3" s="3" t="s">
        <v>89</v>
      </c>
      <c r="Z3" s="3" t="s">
        <v>90</v>
      </c>
      <c r="AA3" s="3" t="s">
        <v>91</v>
      </c>
      <c r="AB3" s="3" t="s">
        <v>296</v>
      </c>
      <c r="AC3" s="39" t="s">
        <v>117</v>
      </c>
      <c r="AD3" s="214" t="s">
        <v>92</v>
      </c>
      <c r="AE3" s="3" t="s">
        <v>93</v>
      </c>
      <c r="AF3" s="3" t="s">
        <v>94</v>
      </c>
      <c r="AG3" s="3" t="s">
        <v>95</v>
      </c>
      <c r="AH3" s="3" t="s">
        <v>96</v>
      </c>
      <c r="AI3" s="3" t="s">
        <v>97</v>
      </c>
      <c r="AJ3" s="3" t="s">
        <v>98</v>
      </c>
      <c r="AK3" s="3" t="s">
        <v>99</v>
      </c>
      <c r="AL3" s="3" t="s">
        <v>100</v>
      </c>
      <c r="AM3" s="3" t="s">
        <v>102</v>
      </c>
      <c r="AN3" s="3" t="s">
        <v>103</v>
      </c>
      <c r="AO3" s="39" t="s">
        <v>104</v>
      </c>
      <c r="AP3" s="3" t="s">
        <v>105</v>
      </c>
      <c r="AQ3" s="39" t="s">
        <v>106</v>
      </c>
      <c r="AR3" s="3" t="s">
        <v>107</v>
      </c>
      <c r="AS3" s="3" t="s">
        <v>108</v>
      </c>
      <c r="AT3" s="3" t="s">
        <v>109</v>
      </c>
      <c r="AU3" s="39" t="s">
        <v>110</v>
      </c>
      <c r="AV3" s="39" t="s">
        <v>111</v>
      </c>
      <c r="AW3" s="39" t="s">
        <v>112</v>
      </c>
      <c r="AX3" s="3" t="s">
        <v>113</v>
      </c>
      <c r="AY3" s="3" t="s">
        <v>114</v>
      </c>
      <c r="AZ3" s="3" t="s">
        <v>115</v>
      </c>
      <c r="BA3" s="3" t="s">
        <v>116</v>
      </c>
      <c r="BB3" s="39" t="s">
        <v>118</v>
      </c>
      <c r="BC3" s="3" t="s">
        <v>119</v>
      </c>
      <c r="BD3" s="3" t="s">
        <v>120</v>
      </c>
      <c r="BE3" s="3" t="s">
        <v>121</v>
      </c>
      <c r="BF3" s="3" t="s">
        <v>122</v>
      </c>
      <c r="BG3" s="3" t="s">
        <v>123</v>
      </c>
      <c r="BH3" s="39" t="s">
        <v>142</v>
      </c>
      <c r="BI3" s="214" t="s">
        <v>124</v>
      </c>
      <c r="BJ3" s="3" t="s">
        <v>125</v>
      </c>
      <c r="BK3" s="47" t="s">
        <v>126</v>
      </c>
      <c r="BO3" s="250">
        <v>-70336</v>
      </c>
      <c r="BP3" s="250" t="s">
        <v>241</v>
      </c>
    </row>
    <row r="4" spans="1:68" s="130" customFormat="1">
      <c r="A4" s="128" t="s">
        <v>205</v>
      </c>
      <c r="B4" s="128" t="s">
        <v>127</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5"/>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5" t="s">
        <v>128</v>
      </c>
      <c r="BJ4" s="128">
        <v>98</v>
      </c>
      <c r="BK4" s="135"/>
      <c r="BO4" s="250">
        <v>-133564</v>
      </c>
      <c r="BP4" s="250" t="s">
        <v>242</v>
      </c>
    </row>
    <row r="5" spans="1:68" s="266" customFormat="1">
      <c r="A5" s="8" t="s">
        <v>129</v>
      </c>
      <c r="B5" s="11" t="s">
        <v>336</v>
      </c>
      <c r="C5" s="267">
        <v>2630754</v>
      </c>
      <c r="D5" s="120">
        <v>1203301</v>
      </c>
      <c r="E5" s="120">
        <v>73911</v>
      </c>
      <c r="F5" s="120">
        <v>317152</v>
      </c>
      <c r="G5" s="120">
        <v>136279</v>
      </c>
      <c r="H5" s="120">
        <v>0</v>
      </c>
      <c r="I5" s="120">
        <v>0</v>
      </c>
      <c r="J5" s="120">
        <v>2367</v>
      </c>
      <c r="K5" s="120">
        <v>247</v>
      </c>
      <c r="L5" s="120">
        <v>3854</v>
      </c>
      <c r="M5" s="120">
        <v>10357</v>
      </c>
      <c r="N5" s="120">
        <v>15559</v>
      </c>
      <c r="O5" s="120">
        <v>26512</v>
      </c>
      <c r="P5" s="120">
        <v>89554</v>
      </c>
      <c r="Q5" s="120">
        <v>0</v>
      </c>
      <c r="R5" s="120">
        <v>22228</v>
      </c>
      <c r="S5" s="120">
        <v>0</v>
      </c>
      <c r="T5" s="120">
        <v>0</v>
      </c>
      <c r="U5" s="120"/>
      <c r="V5" s="268">
        <v>0</v>
      </c>
      <c r="W5" s="120">
        <v>945</v>
      </c>
      <c r="X5" s="120">
        <v>491</v>
      </c>
      <c r="Y5" s="120">
        <v>13298</v>
      </c>
      <c r="Z5" s="120">
        <v>1142</v>
      </c>
      <c r="AA5" s="120">
        <v>681</v>
      </c>
      <c r="AB5" s="120">
        <v>377</v>
      </c>
      <c r="AC5" s="268">
        <v>0</v>
      </c>
      <c r="AD5" s="121">
        <f>SUM(C5:AC5)</f>
        <v>4549009</v>
      </c>
      <c r="AE5" s="120">
        <v>19784</v>
      </c>
      <c r="AF5" s="120">
        <v>8700</v>
      </c>
      <c r="AG5" s="120">
        <v>87126</v>
      </c>
      <c r="AH5" s="120">
        <v>0</v>
      </c>
      <c r="AI5" s="120">
        <v>0</v>
      </c>
      <c r="AJ5" s="120">
        <v>6542</v>
      </c>
      <c r="AK5" s="120">
        <v>6199</v>
      </c>
      <c r="AL5" s="120">
        <v>14614</v>
      </c>
      <c r="AM5" s="120">
        <v>1648</v>
      </c>
      <c r="AN5" s="120">
        <v>0</v>
      </c>
      <c r="AO5" s="268">
        <v>97846</v>
      </c>
      <c r="AP5" s="120">
        <v>2</v>
      </c>
      <c r="AQ5" s="268">
        <v>0</v>
      </c>
      <c r="AR5" s="120">
        <v>0</v>
      </c>
      <c r="AS5" s="120">
        <v>0</v>
      </c>
      <c r="AT5" s="120">
        <v>0</v>
      </c>
      <c r="AU5" s="120">
        <v>0</v>
      </c>
      <c r="AV5" s="120">
        <v>0</v>
      </c>
      <c r="AW5" s="120">
        <v>9728</v>
      </c>
      <c r="AX5" s="120">
        <v>26490</v>
      </c>
      <c r="AY5" s="120">
        <v>4706</v>
      </c>
      <c r="AZ5" s="120">
        <v>0</v>
      </c>
      <c r="BA5" s="120">
        <v>0</v>
      </c>
      <c r="BB5" s="268">
        <v>0</v>
      </c>
      <c r="BC5" s="120">
        <v>7341</v>
      </c>
      <c r="BD5" s="120">
        <v>7381</v>
      </c>
      <c r="BE5" s="120">
        <v>10</v>
      </c>
      <c r="BF5" s="120">
        <v>3652</v>
      </c>
      <c r="BG5" s="120">
        <v>60974</v>
      </c>
      <c r="BH5" s="120">
        <f>SUM(AE5:BG5)</f>
        <v>362743</v>
      </c>
      <c r="BI5" s="125">
        <f>AD5+BH5</f>
        <v>4911752</v>
      </c>
      <c r="BJ5" s="123">
        <v>9752</v>
      </c>
      <c r="BK5" s="124">
        <f>BI5-BJ5</f>
        <v>4902000</v>
      </c>
    </row>
    <row r="6" spans="1:68" s="41" customFormat="1">
      <c r="A6" s="134" t="s">
        <v>129</v>
      </c>
      <c r="B6" s="210" t="s">
        <v>429</v>
      </c>
      <c r="C6" s="267">
        <v>2412903</v>
      </c>
      <c r="D6" s="120">
        <v>1083512</v>
      </c>
      <c r="E6" s="120">
        <v>73107</v>
      </c>
      <c r="F6" s="120">
        <v>294729</v>
      </c>
      <c r="G6" s="120">
        <v>126242</v>
      </c>
      <c r="H6" s="120"/>
      <c r="I6" s="120"/>
      <c r="J6" s="120">
        <v>2367</v>
      </c>
      <c r="K6" s="120">
        <v>214</v>
      </c>
      <c r="L6" s="120">
        <v>3591</v>
      </c>
      <c r="M6" s="120">
        <v>9580</v>
      </c>
      <c r="N6" s="120">
        <v>14057</v>
      </c>
      <c r="O6" s="120">
        <v>22456</v>
      </c>
      <c r="P6" s="120">
        <v>82043</v>
      </c>
      <c r="Q6" s="120">
        <v>0</v>
      </c>
      <c r="R6" s="120">
        <v>21378</v>
      </c>
      <c r="S6" s="120">
        <v>0</v>
      </c>
      <c r="T6" s="120"/>
      <c r="U6" s="120"/>
      <c r="V6" s="268"/>
      <c r="W6" s="120">
        <v>945</v>
      </c>
      <c r="X6" s="120">
        <v>450</v>
      </c>
      <c r="Y6" s="120">
        <v>12267</v>
      </c>
      <c r="Z6" s="120">
        <v>1142</v>
      </c>
      <c r="AA6" s="120">
        <v>586</v>
      </c>
      <c r="AB6" s="120">
        <v>377</v>
      </c>
      <c r="AC6" s="268"/>
      <c r="AD6" s="121">
        <f t="shared" ref="AD6" si="0">SUM(C6:AC6)</f>
        <v>4161946</v>
      </c>
      <c r="AE6" s="120">
        <v>18616</v>
      </c>
      <c r="AF6" s="120">
        <v>7906</v>
      </c>
      <c r="AG6" s="120">
        <v>86973</v>
      </c>
      <c r="AH6" s="120"/>
      <c r="AI6" s="120"/>
      <c r="AJ6" s="120">
        <v>5765</v>
      </c>
      <c r="AK6" s="120">
        <v>6199</v>
      </c>
      <c r="AL6" s="120">
        <v>13510</v>
      </c>
      <c r="AM6" s="120">
        <v>1508</v>
      </c>
      <c r="AN6" s="120">
        <v>0</v>
      </c>
      <c r="AO6" s="268">
        <v>90400</v>
      </c>
      <c r="AP6" s="120">
        <v>1</v>
      </c>
      <c r="AQ6" s="268"/>
      <c r="AR6" s="120"/>
      <c r="AS6" s="120"/>
      <c r="AT6" s="120"/>
      <c r="AU6" s="120"/>
      <c r="AV6" s="120"/>
      <c r="AW6" s="120">
        <v>7296</v>
      </c>
      <c r="AX6" s="120">
        <v>21934</v>
      </c>
      <c r="AY6" s="120">
        <v>3530</v>
      </c>
      <c r="AZ6" s="120"/>
      <c r="BA6" s="120"/>
      <c r="BB6" s="268"/>
      <c r="BC6" s="120">
        <v>7341</v>
      </c>
      <c r="BD6" s="120">
        <v>7381</v>
      </c>
      <c r="BE6" s="120">
        <v>11</v>
      </c>
      <c r="BF6" s="120">
        <v>3213</v>
      </c>
      <c r="BG6" s="120">
        <v>53972</v>
      </c>
      <c r="BH6" s="10">
        <f>SUM(AE6:BG6)</f>
        <v>335556</v>
      </c>
      <c r="BI6" s="249">
        <f>AD6+BH6</f>
        <v>4497502</v>
      </c>
      <c r="BJ6" s="123">
        <v>8864</v>
      </c>
      <c r="BK6" s="121">
        <f>BI6-BJ6</f>
        <v>4488638</v>
      </c>
      <c r="BL6" s="41">
        <v>0</v>
      </c>
      <c r="BM6" s="211"/>
      <c r="BO6" s="41">
        <v>-36682</v>
      </c>
      <c r="BP6" s="41" t="s">
        <v>244</v>
      </c>
    </row>
    <row r="7" spans="1:68">
      <c r="A7" s="128"/>
      <c r="B7" s="12" t="s">
        <v>430</v>
      </c>
      <c r="C7" s="9">
        <f>IF('Upto Month COPPY'!$B$4="",0,'Upto Month COPPY'!$B$4)</f>
        <v>2384580</v>
      </c>
      <c r="D7" s="9">
        <f>IF('Upto Month COPPY'!$B$5="",0,'Upto Month COPPY'!$B$5)</f>
        <v>887901</v>
      </c>
      <c r="E7" s="9">
        <f>IF('Upto Month COPPY'!$B$6="",0,'Upto Month COPPY'!$B$6)</f>
        <v>68252</v>
      </c>
      <c r="F7" s="9">
        <f>IF('Upto Month COPPY'!$B$7="",0,'Upto Month COPPY'!$B$7)</f>
        <v>283399</v>
      </c>
      <c r="G7" s="9">
        <f>IF('Upto Month COPPY'!$B$8="",0,'Upto Month COPPY'!$B$8)</f>
        <v>114254</v>
      </c>
      <c r="H7" s="9">
        <f>IF('Upto Month COPPY'!$B$9="",0,'Upto Month COPPY'!$B$9)</f>
        <v>0</v>
      </c>
      <c r="I7" s="9">
        <f>IF('Upto Month COPPY'!$B$10="",0,'Upto Month COPPY'!$B$10)</f>
        <v>0</v>
      </c>
      <c r="J7" s="9">
        <f>IF('Upto Month COPPY'!$B$11="",0,'Upto Month COPPY'!$B$11)</f>
        <v>2013</v>
      </c>
      <c r="K7" s="9">
        <f>IF('Upto Month COPPY'!$B$12="",0,'Upto Month COPPY'!$B$12)</f>
        <v>194</v>
      </c>
      <c r="L7" s="9">
        <f>IF('Upto Month COPPY'!$B$13="",0,'Upto Month COPPY'!$B$13)</f>
        <v>2346</v>
      </c>
      <c r="M7" s="9">
        <f>IF('Upto Month COPPY'!$B$14="",0,'Upto Month COPPY'!$B$14)</f>
        <v>9284</v>
      </c>
      <c r="N7" s="9">
        <f>IF('Upto Month COPPY'!$B$15="",0,'Upto Month COPPY'!$B$15)</f>
        <v>1997</v>
      </c>
      <c r="O7" s="9">
        <f>IF('Upto Month COPPY'!$B$16="",0,'Upto Month COPPY'!$B$16)</f>
        <v>17708</v>
      </c>
      <c r="P7" s="9">
        <f>IF('Upto Month COPPY'!$B$17="",0,'Upto Month COPPY'!$B$17)</f>
        <v>82110</v>
      </c>
      <c r="Q7" s="9">
        <f>IF('Upto Month COPPY'!$B$18="",0,'Upto Month COPPY'!$B$18)</f>
        <v>0</v>
      </c>
      <c r="R7" s="9">
        <f>IF('Upto Month COPPY'!$B$21="",0,'Upto Month COPPY'!$B$21)</f>
        <v>18505</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1278</v>
      </c>
      <c r="X7" s="9">
        <f>IF('Upto Month COPPY'!$B$40="",0,'Upto Month COPPY'!$B$40)</f>
        <v>0</v>
      </c>
      <c r="Y7" s="9">
        <f>IF('Upto Month COPPY'!$B$42="",0,'Upto Month COPPY'!$B$42)</f>
        <v>7689</v>
      </c>
      <c r="Z7" s="9">
        <f>IF('Upto Month COPPY'!$B$43="",0,'Upto Month COPPY'!$B$43)</f>
        <v>4114</v>
      </c>
      <c r="AA7" s="9">
        <f>IF('Upto Month COPPY'!$B$44="",0,'Upto Month COPPY'!$B$44)</f>
        <v>1296</v>
      </c>
      <c r="AB7" s="9">
        <f>IF('Upto Month COPPY'!$B$48="",0,'Upto Month COPPY'!$B$48)</f>
        <v>703</v>
      </c>
      <c r="AC7" s="9">
        <f>IF('Upto Month COPPY'!$B$51="",0,'Upto Month COPPY'!$B$51)</f>
        <v>0</v>
      </c>
      <c r="AD7" s="221">
        <f t="shared" ref="AD7:AD8" si="1">SUM(C7:AC7)</f>
        <v>3887623</v>
      </c>
      <c r="AE7" s="9">
        <f>IF('Upto Month COPPY'!$B$19="",0,'Upto Month COPPY'!$B$19)</f>
        <v>17337</v>
      </c>
      <c r="AF7" s="9">
        <f>IF('Upto Month COPPY'!$B$20="",0,'Upto Month COPPY'!$B$20)</f>
        <v>7548</v>
      </c>
      <c r="AG7" s="9">
        <f>IF('Upto Month COPPY'!$B$22="",0,'Upto Month COPPY'!$B$22)</f>
        <v>76515</v>
      </c>
      <c r="AH7" s="9">
        <f>IF('Upto Month COPPY'!$B$23="",0,'Upto Month COPPY'!$B$23)</f>
        <v>0</v>
      </c>
      <c r="AI7" s="9">
        <f>IF('Upto Month COPPY'!$B$24="",0,'Upto Month COPPY'!$B$24)</f>
        <v>0</v>
      </c>
      <c r="AJ7" s="9">
        <f>IF('Upto Month COPPY'!$B$25="",0,'Upto Month COPPY'!$B$25)</f>
        <v>5381</v>
      </c>
      <c r="AK7" s="9">
        <f>IF('Upto Month COPPY'!$B$28="",0,'Upto Month COPPY'!$B$28)</f>
        <v>-5319</v>
      </c>
      <c r="AL7" s="9">
        <f>IF('Upto Month COPPY'!$B$29="",0,'Upto Month COPPY'!$B$29)</f>
        <v>14322</v>
      </c>
      <c r="AM7" s="9">
        <f>IF('Upto Month COPPY'!$B$31="",0,'Upto Month COPPY'!$B$31)</f>
        <v>1226</v>
      </c>
      <c r="AN7" s="9">
        <f>IF('Upto Month COPPY'!$B$32="",0,'Upto Month COPPY'!$B$32)</f>
        <v>10</v>
      </c>
      <c r="AO7" s="9">
        <f>IF('Upto Month COPPY'!$B$33="",0,'Upto Month COPPY'!$B$33)</f>
        <v>98350</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15085</v>
      </c>
      <c r="AX7" s="9">
        <f>IF('Upto Month COPPY'!$B$46="",0,'Upto Month COPPY'!$B$46)</f>
        <v>12808</v>
      </c>
      <c r="AY7" s="9">
        <f>IF('Upto Month COPPY'!$B$47="",0,'Upto Month COPPY'!$B$47)</f>
        <v>5635</v>
      </c>
      <c r="AZ7" s="9">
        <f>IF('Upto Month COPPY'!$B$49="",0,'Upto Month COPPY'!$B$49)</f>
        <v>0</v>
      </c>
      <c r="BA7" s="9">
        <f>IF('Upto Month COPPY'!$B$50="",0,'Upto Month COPPY'!$B$50)</f>
        <v>0</v>
      </c>
      <c r="BB7" s="9">
        <f>IF('Upto Month COPPY'!$B$52="",0,'Upto Month COPPY'!$B$52)</f>
        <v>0</v>
      </c>
      <c r="BC7" s="9">
        <f>IF('Upto Month COPPY'!$B$53="",0,'Upto Month COPPY'!$B$53)</f>
        <v>6228</v>
      </c>
      <c r="BD7" s="9">
        <f>IF('Upto Month COPPY'!$B$54="",0,'Upto Month COPPY'!$B$54)</f>
        <v>6261</v>
      </c>
      <c r="BE7" s="9">
        <f>IF('Upto Month COPPY'!$B$55="",0,'Upto Month COPPY'!$B$55)</f>
        <v>0</v>
      </c>
      <c r="BF7" s="9">
        <f>IF('Upto Month COPPY'!$B$56="",0,'Upto Month COPPY'!$B$56)</f>
        <v>2785</v>
      </c>
      <c r="BG7" s="9">
        <f>IF('Upto Month COPPY'!$B$58="",0,'Upto Month COPPY'!$B$58)</f>
        <v>47726</v>
      </c>
      <c r="BH7" s="9">
        <f>SUM(AE7:BG7)</f>
        <v>311898</v>
      </c>
      <c r="BI7" s="275">
        <f>AD7+BH7</f>
        <v>4199521</v>
      </c>
      <c r="BJ7" s="9">
        <f>IF('Upto Month COPPY'!$B$60="",0,'Upto Month COPPY'!$B$60)</f>
        <v>7473</v>
      </c>
      <c r="BK7" s="49">
        <f t="shared" ref="BK7" si="2">BI7-BJ7</f>
        <v>4192048</v>
      </c>
      <c r="BL7">
        <f>'Upto Month COPPY'!$B$61</f>
        <v>4192047</v>
      </c>
      <c r="BM7" s="30">
        <f t="shared" ref="BM7:BM11" si="3">BK7-AD7</f>
        <v>304425</v>
      </c>
      <c r="BO7" s="250">
        <v>-184</v>
      </c>
      <c r="BP7" s="250" t="s">
        <v>245</v>
      </c>
    </row>
    <row r="8" spans="1:68">
      <c r="A8" s="128"/>
      <c r="B8" s="180" t="s">
        <v>431</v>
      </c>
      <c r="C8" s="9">
        <f>IF('Upto Month Current'!$B$4="",0,'Upto Month Current'!$B$4)</f>
        <v>2390763</v>
      </c>
      <c r="D8" s="9">
        <f>IF('Upto Month Current'!$B$5="",0,'Upto Month Current'!$B$5)</f>
        <v>1087869</v>
      </c>
      <c r="E8" s="9">
        <f>IF('Upto Month Current'!$B$6="",0,'Upto Month Current'!$B$6)</f>
        <v>64479</v>
      </c>
      <c r="F8" s="9">
        <f>IF('Upto Month Current'!$B$7="",0,'Upto Month Current'!$B$7)</f>
        <v>288245</v>
      </c>
      <c r="G8" s="9">
        <f>IF('Upto Month Current'!$B$8="",0,'Upto Month Current'!$B$8)</f>
        <v>124395</v>
      </c>
      <c r="H8" s="9">
        <f>IF('Upto Month Current'!$B$9="",0,'Upto Month Current'!$B$9)</f>
        <v>0</v>
      </c>
      <c r="I8" s="9">
        <f>IF('Upto Month Current'!$B$10="",0,'Upto Month Current'!$B$10)</f>
        <v>0</v>
      </c>
      <c r="J8" s="9">
        <f>IF('Upto Month Current'!$B$11="",0,'Upto Month Current'!$B$11)</f>
        <v>1934</v>
      </c>
      <c r="K8" s="9">
        <f>IF('Upto Month Current'!$B$12="",0,'Upto Month Current'!$B$12)</f>
        <v>126</v>
      </c>
      <c r="L8" s="9">
        <f>IF('Upto Month Current'!$B$13="",0,'Upto Month Current'!$B$13)</f>
        <v>3575</v>
      </c>
      <c r="M8" s="9">
        <f>IF('Upto Month Current'!$B$14="",0,'Upto Month Current'!$B$14)</f>
        <v>8315</v>
      </c>
      <c r="N8" s="9">
        <f>IF('Upto Month Current'!$B$15="",0,'Upto Month Current'!$B$15)</f>
        <v>1156</v>
      </c>
      <c r="O8" s="9">
        <f>IF('Upto Month Current'!$B$16="",0,'Upto Month Current'!$B$16)</f>
        <v>20499</v>
      </c>
      <c r="P8" s="9">
        <f>IF('Upto Month Current'!$B$17="",0,'Upto Month Current'!$B$17)</f>
        <v>72589</v>
      </c>
      <c r="Q8" s="9">
        <f>IF('Upto Month Current'!$B$18="",0,'Upto Month Current'!$B$18)</f>
        <v>0</v>
      </c>
      <c r="R8" s="9">
        <f>IF('Upto Month Current'!$B$21="",0,'Upto Month Current'!$B$21)</f>
        <v>18929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858</v>
      </c>
      <c r="X8" s="9">
        <f>IF('Upto Month Current'!$B$40="",0,'Upto Month Current'!$B$40)</f>
        <v>0</v>
      </c>
      <c r="Y8" s="9">
        <f>IF('Upto Month Current'!$B$42="",0,'Upto Month Current'!$B$42)</f>
        <v>6165</v>
      </c>
      <c r="Z8" s="9">
        <f>IF('Upto Month Current'!$B$43="",0,'Upto Month Current'!$B$43)</f>
        <v>1626</v>
      </c>
      <c r="AA8" s="9">
        <f>IF('Upto Month Current'!$B$44="",0,'Upto Month Current'!$B$44)</f>
        <v>1044</v>
      </c>
      <c r="AB8" s="9">
        <f>IF('Upto Month Current'!$B$48="",0,'Upto Month Current'!$B$48)</f>
        <v>569</v>
      </c>
      <c r="AC8" s="9">
        <f>IF('Upto Month Current'!$B$51="",0,'Upto Month Current'!$B$51)</f>
        <v>0</v>
      </c>
      <c r="AD8" s="221">
        <f t="shared" si="1"/>
        <v>4093136</v>
      </c>
      <c r="AE8" s="9">
        <f>IF('Upto Month Current'!$B$19="",0,'Upto Month Current'!$B$19)</f>
        <v>18574</v>
      </c>
      <c r="AF8" s="9">
        <f>IF('Upto Month Current'!$B$20="",0,'Upto Month Current'!$B$20)</f>
        <v>7674</v>
      </c>
      <c r="AG8" s="9">
        <f>IF('Upto Month Current'!$B$22="",0,'Upto Month Current'!$B$22)</f>
        <v>86374</v>
      </c>
      <c r="AH8" s="9">
        <f>IF('Upto Month Current'!$B$23="",0,'Upto Month Current'!$B$23)</f>
        <v>0</v>
      </c>
      <c r="AI8" s="9">
        <f>IF('Upto Month Current'!$B$24="",0,'Upto Month Current'!$B$24)</f>
        <v>0</v>
      </c>
      <c r="AJ8" s="9">
        <f>IF('Upto Month Current'!$B$25="",0,'Upto Month Current'!$B$25)</f>
        <v>6304</v>
      </c>
      <c r="AK8" s="9">
        <f>IF('Upto Month Current'!$B$28="",0,'Upto Month Current'!$B$28)</f>
        <v>23119</v>
      </c>
      <c r="AL8" s="9">
        <f>IF('Upto Month Current'!$B$29="",0,'Upto Month Current'!$B$29)</f>
        <v>21890</v>
      </c>
      <c r="AM8" s="9">
        <f>IF('Upto Month Current'!$B$31="",0,'Upto Month Current'!$B$31)</f>
        <v>1211</v>
      </c>
      <c r="AN8" s="9">
        <f>IF('Upto Month Current'!$B$32="",0,'Upto Month Current'!$B$32)</f>
        <v>0</v>
      </c>
      <c r="AO8" s="9">
        <f>IF('Upto Month Current'!$B$33="",0,'Upto Month Current'!$B$33)</f>
        <v>102240</v>
      </c>
      <c r="AP8" s="9">
        <f>IF('Upto Month Current'!$B$34="",0,'Upto Month Current'!$B$34)</f>
        <v>301</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10277</v>
      </c>
      <c r="AX8" s="9">
        <f>IF('Upto Month Current'!$B$46="",0,'Upto Month Current'!$B$46)</f>
        <v>14449</v>
      </c>
      <c r="AY8" s="9">
        <f>IF('Upto Month Current'!$B$47="",0,'Upto Month Current'!$B$47)</f>
        <v>3473</v>
      </c>
      <c r="AZ8" s="9">
        <f>IF('Upto Month Current'!$B$49="",0,'Upto Month Current'!$B$49)</f>
        <v>0</v>
      </c>
      <c r="BA8" s="9">
        <f>IF('Upto Month Current'!$B$50="",0,'Upto Month Current'!$B$50)</f>
        <v>0</v>
      </c>
      <c r="BB8" s="9">
        <f>IF('Upto Month Current'!$B$52="",0,'Upto Month Current'!$B$52)</f>
        <v>0</v>
      </c>
      <c r="BC8" s="9">
        <f>IF('Upto Month Current'!$B$53="",0,'Upto Month Current'!$B$53)</f>
        <v>5392</v>
      </c>
      <c r="BD8" s="9">
        <f>IF('Upto Month Current'!$B$54="",0,'Upto Month Current'!$B$54)</f>
        <v>5392</v>
      </c>
      <c r="BE8" s="9">
        <f>IF('Upto Month Current'!$B$55="",0,'Upto Month Current'!$B$55)</f>
        <v>0</v>
      </c>
      <c r="BF8" s="9">
        <f>IF('Upto Month Current'!$B$56="",0,'Upto Month Current'!$B$56)</f>
        <v>1313</v>
      </c>
      <c r="BG8" s="9">
        <f>IF('Upto Month Current'!$B$58="",0,'Upto Month Current'!$B$58)</f>
        <v>59635</v>
      </c>
      <c r="BH8" s="9">
        <f>SUM(AE8:BG8)</f>
        <v>367618</v>
      </c>
      <c r="BI8" s="275">
        <f>AD8+BH8</f>
        <v>4460754</v>
      </c>
      <c r="BJ8" s="9">
        <f>IF('Upto Month Current'!$B$60="",0,'Upto Month Current'!$B$60)</f>
        <v>14713</v>
      </c>
      <c r="BK8" s="49">
        <f t="shared" ref="BK8" si="4">BI8-BJ8</f>
        <v>4446041</v>
      </c>
      <c r="BL8">
        <f>'Upto Month Current'!$B$61</f>
        <v>4446039</v>
      </c>
      <c r="BM8" s="30">
        <f t="shared" si="3"/>
        <v>352905</v>
      </c>
      <c r="BO8" s="250">
        <v>-495057</v>
      </c>
      <c r="BP8" s="250" t="s">
        <v>246</v>
      </c>
    </row>
    <row r="9" spans="1:68">
      <c r="A9" s="128"/>
      <c r="B9" s="5" t="s">
        <v>130</v>
      </c>
      <c r="C9" s="11">
        <f>C8-C6</f>
        <v>-22140</v>
      </c>
      <c r="D9" s="11">
        <f t="shared" ref="D9:BK9" si="5">D8-D6</f>
        <v>4357</v>
      </c>
      <c r="E9" s="11">
        <f t="shared" si="5"/>
        <v>-8628</v>
      </c>
      <c r="F9" s="11">
        <f t="shared" si="5"/>
        <v>-6484</v>
      </c>
      <c r="G9" s="11">
        <f t="shared" si="5"/>
        <v>-1847</v>
      </c>
      <c r="H9" s="11">
        <f t="shared" si="5"/>
        <v>0</v>
      </c>
      <c r="I9" s="11">
        <f t="shared" si="5"/>
        <v>0</v>
      </c>
      <c r="J9" s="11">
        <f t="shared" si="5"/>
        <v>-433</v>
      </c>
      <c r="K9" s="11">
        <f t="shared" si="5"/>
        <v>-88</v>
      </c>
      <c r="L9" s="11">
        <f t="shared" si="5"/>
        <v>-16</v>
      </c>
      <c r="M9" s="11">
        <f t="shared" si="5"/>
        <v>-1265</v>
      </c>
      <c r="N9" s="11">
        <f t="shared" si="5"/>
        <v>-12901</v>
      </c>
      <c r="O9" s="11">
        <f t="shared" si="5"/>
        <v>-1957</v>
      </c>
      <c r="P9" s="11">
        <f t="shared" si="5"/>
        <v>-9454</v>
      </c>
      <c r="Q9" s="11">
        <f t="shared" si="5"/>
        <v>0</v>
      </c>
      <c r="R9" s="11">
        <f t="shared" si="5"/>
        <v>-2449</v>
      </c>
      <c r="S9" s="11">
        <f t="shared" si="5"/>
        <v>0</v>
      </c>
      <c r="T9" s="11">
        <f t="shared" si="5"/>
        <v>0</v>
      </c>
      <c r="U9" s="11">
        <f t="shared" ref="U9" si="6">U8-U6</f>
        <v>0</v>
      </c>
      <c r="V9" s="9">
        <f t="shared" si="5"/>
        <v>0</v>
      </c>
      <c r="W9" s="11">
        <f t="shared" si="5"/>
        <v>-87</v>
      </c>
      <c r="X9" s="11">
        <f t="shared" si="5"/>
        <v>-450</v>
      </c>
      <c r="Y9" s="11">
        <f t="shared" si="5"/>
        <v>-6102</v>
      </c>
      <c r="Z9" s="11">
        <f t="shared" si="5"/>
        <v>484</v>
      </c>
      <c r="AA9" s="11">
        <f t="shared" si="5"/>
        <v>458</v>
      </c>
      <c r="AB9" s="11">
        <f t="shared" ref="AB9" si="7">AB8-AB6</f>
        <v>192</v>
      </c>
      <c r="AC9" s="9">
        <f t="shared" ref="AC9" si="8">AC8-AC6</f>
        <v>0</v>
      </c>
      <c r="AD9" s="216">
        <f t="shared" si="5"/>
        <v>-68810</v>
      </c>
      <c r="AE9" s="11">
        <f t="shared" si="5"/>
        <v>-42</v>
      </c>
      <c r="AF9" s="11">
        <f t="shared" si="5"/>
        <v>-232</v>
      </c>
      <c r="AG9" s="11">
        <f t="shared" si="5"/>
        <v>-599</v>
      </c>
      <c r="AH9" s="11">
        <f t="shared" si="5"/>
        <v>0</v>
      </c>
      <c r="AI9" s="11">
        <f t="shared" si="5"/>
        <v>0</v>
      </c>
      <c r="AJ9" s="11">
        <f t="shared" si="5"/>
        <v>539</v>
      </c>
      <c r="AK9" s="11">
        <f t="shared" si="5"/>
        <v>16920</v>
      </c>
      <c r="AL9" s="11">
        <f t="shared" si="5"/>
        <v>8380</v>
      </c>
      <c r="AM9" s="11">
        <f t="shared" si="5"/>
        <v>-297</v>
      </c>
      <c r="AN9" s="11">
        <f t="shared" si="5"/>
        <v>0</v>
      </c>
      <c r="AO9" s="9">
        <f t="shared" si="5"/>
        <v>11840</v>
      </c>
      <c r="AP9" s="11">
        <f t="shared" si="5"/>
        <v>300</v>
      </c>
      <c r="AQ9" s="9">
        <f t="shared" si="5"/>
        <v>0</v>
      </c>
      <c r="AR9" s="11">
        <f t="shared" si="5"/>
        <v>0</v>
      </c>
      <c r="AS9" s="11">
        <f t="shared" si="5"/>
        <v>0</v>
      </c>
      <c r="AT9" s="11">
        <f t="shared" si="5"/>
        <v>0</v>
      </c>
      <c r="AU9" s="11">
        <f t="shared" si="5"/>
        <v>0</v>
      </c>
      <c r="AV9" s="11">
        <f t="shared" si="5"/>
        <v>0</v>
      </c>
      <c r="AW9" s="11">
        <f t="shared" si="5"/>
        <v>2981</v>
      </c>
      <c r="AX9" s="11">
        <f t="shared" si="5"/>
        <v>-7485</v>
      </c>
      <c r="AY9" s="11">
        <f t="shared" si="5"/>
        <v>-57</v>
      </c>
      <c r="AZ9" s="11">
        <f t="shared" si="5"/>
        <v>0</v>
      </c>
      <c r="BA9" s="11">
        <f t="shared" si="5"/>
        <v>0</v>
      </c>
      <c r="BB9" s="9">
        <f t="shared" si="5"/>
        <v>0</v>
      </c>
      <c r="BC9" s="11">
        <f t="shared" si="5"/>
        <v>-1949</v>
      </c>
      <c r="BD9" s="11">
        <f t="shared" si="5"/>
        <v>-1989</v>
      </c>
      <c r="BE9" s="11">
        <f t="shared" si="5"/>
        <v>-11</v>
      </c>
      <c r="BF9" s="11">
        <f t="shared" si="5"/>
        <v>-1900</v>
      </c>
      <c r="BG9" s="11">
        <f t="shared" si="5"/>
        <v>5663</v>
      </c>
      <c r="BH9" s="9">
        <f t="shared" si="5"/>
        <v>32062</v>
      </c>
      <c r="BI9" s="9">
        <f t="shared" si="5"/>
        <v>-36748</v>
      </c>
      <c r="BJ9" s="11">
        <f t="shared" si="5"/>
        <v>5849</v>
      </c>
      <c r="BK9" s="49">
        <f t="shared" si="5"/>
        <v>-42597</v>
      </c>
      <c r="BM9" s="30">
        <f t="shared" si="3"/>
        <v>26213</v>
      </c>
      <c r="BO9" s="250">
        <v>-6393</v>
      </c>
      <c r="BP9" s="250" t="s">
        <v>247</v>
      </c>
    </row>
    <row r="10" spans="1:68">
      <c r="A10" s="128"/>
      <c r="B10" s="5" t="s">
        <v>131</v>
      </c>
      <c r="C10" s="13">
        <f>C9/C6</f>
        <v>-9.1756693078834922E-3</v>
      </c>
      <c r="D10" s="13">
        <f t="shared" ref="D10:BM10" si="9">D9/D6</f>
        <v>4.0211829679782044E-3</v>
      </c>
      <c r="E10" s="13">
        <v>0</v>
      </c>
      <c r="F10" s="13">
        <f t="shared" si="9"/>
        <v>-2.1999871067998059E-2</v>
      </c>
      <c r="G10" s="13">
        <f t="shared" si="9"/>
        <v>-1.4630630059726557E-2</v>
      </c>
      <c r="H10" s="13" t="e">
        <f t="shared" si="9"/>
        <v>#DIV/0!</v>
      </c>
      <c r="I10" s="13" t="e">
        <f t="shared" si="9"/>
        <v>#DIV/0!</v>
      </c>
      <c r="J10" s="13">
        <f t="shared" si="9"/>
        <v>-0.18293198141106887</v>
      </c>
      <c r="K10" s="13">
        <f t="shared" si="9"/>
        <v>-0.41121495327102803</v>
      </c>
      <c r="L10" s="13">
        <f t="shared" si="9"/>
        <v>-4.4555834029518238E-3</v>
      </c>
      <c r="M10" s="13">
        <f t="shared" si="9"/>
        <v>-0.13204592901878914</v>
      </c>
      <c r="N10" s="13">
        <f t="shared" si="9"/>
        <v>-0.91776339190438927</v>
      </c>
      <c r="O10" s="13">
        <f t="shared" si="9"/>
        <v>-8.7148200926255789E-2</v>
      </c>
      <c r="P10" s="13">
        <f t="shared" si="9"/>
        <v>-0.11523225625586582</v>
      </c>
      <c r="Q10" s="13" t="e">
        <f t="shared" si="9"/>
        <v>#DIV/0!</v>
      </c>
      <c r="R10" s="13">
        <f t="shared" si="9"/>
        <v>-0.11455702123678548</v>
      </c>
      <c r="S10" s="13" t="e">
        <f t="shared" si="9"/>
        <v>#DIV/0!</v>
      </c>
      <c r="T10" s="13" t="e">
        <f t="shared" si="9"/>
        <v>#DIV/0!</v>
      </c>
      <c r="U10" s="13" t="e">
        <f t="shared" ref="U10" si="10">U9/U6</f>
        <v>#DIV/0!</v>
      </c>
      <c r="V10" s="160" t="e">
        <f t="shared" si="9"/>
        <v>#DIV/0!</v>
      </c>
      <c r="W10" s="13">
        <f t="shared" si="9"/>
        <v>-9.2063492063492069E-2</v>
      </c>
      <c r="X10" s="13">
        <f t="shared" si="9"/>
        <v>-1</v>
      </c>
      <c r="Y10" s="13">
        <f t="shared" si="9"/>
        <v>-0.4974321349963316</v>
      </c>
      <c r="Z10" s="13">
        <f t="shared" si="9"/>
        <v>0.42381786339754818</v>
      </c>
      <c r="AA10" s="13">
        <f t="shared" si="9"/>
        <v>0.78156996587030714</v>
      </c>
      <c r="AB10" s="13">
        <f t="shared" ref="AB10" si="11">AB9/AB6</f>
        <v>0.50928381962864722</v>
      </c>
      <c r="AC10" s="160" t="e">
        <f t="shared" ref="AC10" si="12">AC9/AC6</f>
        <v>#DIV/0!</v>
      </c>
      <c r="AD10" s="217">
        <f t="shared" si="9"/>
        <v>-1.6533131376524346E-2</v>
      </c>
      <c r="AE10" s="13">
        <f t="shared" si="9"/>
        <v>-2.2561237645036527E-3</v>
      </c>
      <c r="AF10" s="13">
        <f t="shared" si="9"/>
        <v>-2.9344801416645586E-2</v>
      </c>
      <c r="AG10" s="13">
        <f t="shared" si="9"/>
        <v>-6.8871948765708898E-3</v>
      </c>
      <c r="AH10" s="13" t="e">
        <f t="shared" si="9"/>
        <v>#DIV/0!</v>
      </c>
      <c r="AI10" s="13" t="e">
        <f t="shared" si="9"/>
        <v>#DIV/0!</v>
      </c>
      <c r="AJ10" s="13">
        <f t="shared" si="9"/>
        <v>9.3495229835212496E-2</v>
      </c>
      <c r="AK10" s="13">
        <f t="shared" si="9"/>
        <v>2.7294724955638006</v>
      </c>
      <c r="AL10" s="13">
        <f t="shared" si="9"/>
        <v>0.62028127313101411</v>
      </c>
      <c r="AM10" s="13">
        <f t="shared" si="9"/>
        <v>-0.19694960212201593</v>
      </c>
      <c r="AN10" s="13" t="e">
        <f t="shared" si="9"/>
        <v>#DIV/0!</v>
      </c>
      <c r="AO10" s="160">
        <f t="shared" si="9"/>
        <v>0.13097345132743363</v>
      </c>
      <c r="AP10" s="13">
        <f t="shared" si="9"/>
        <v>300</v>
      </c>
      <c r="AQ10" s="160" t="e">
        <f t="shared" si="9"/>
        <v>#DIV/0!</v>
      </c>
      <c r="AR10" s="13" t="e">
        <f t="shared" si="9"/>
        <v>#DIV/0!</v>
      </c>
      <c r="AS10" s="13" t="e">
        <f t="shared" si="9"/>
        <v>#DIV/0!</v>
      </c>
      <c r="AT10" s="13" t="e">
        <f t="shared" si="9"/>
        <v>#DIV/0!</v>
      </c>
      <c r="AU10" s="13" t="e">
        <f t="shared" si="9"/>
        <v>#DIV/0!</v>
      </c>
      <c r="AV10" s="13" t="e">
        <f t="shared" si="9"/>
        <v>#DIV/0!</v>
      </c>
      <c r="AW10" s="13">
        <f t="shared" si="9"/>
        <v>0.40858004385964913</v>
      </c>
      <c r="AX10" s="13">
        <f t="shared" si="9"/>
        <v>-0.3412510258046868</v>
      </c>
      <c r="AY10" s="13">
        <f t="shared" si="9"/>
        <v>-1.614730878186969E-2</v>
      </c>
      <c r="AZ10" s="13" t="e">
        <f t="shared" si="9"/>
        <v>#DIV/0!</v>
      </c>
      <c r="BA10" s="13" t="e">
        <f t="shared" si="9"/>
        <v>#DIV/0!</v>
      </c>
      <c r="BB10" s="160" t="e">
        <f t="shared" si="9"/>
        <v>#DIV/0!</v>
      </c>
      <c r="BC10" s="13">
        <f t="shared" si="9"/>
        <v>-0.26549516414657404</v>
      </c>
      <c r="BD10" s="13">
        <f t="shared" si="9"/>
        <v>-0.26947568080205936</v>
      </c>
      <c r="BE10" s="13">
        <f t="shared" si="9"/>
        <v>-1</v>
      </c>
      <c r="BF10" s="13">
        <f t="shared" si="9"/>
        <v>-0.59134765017117963</v>
      </c>
      <c r="BG10" s="13">
        <f t="shared" si="9"/>
        <v>0.1049247758096791</v>
      </c>
      <c r="BH10" s="160">
        <f t="shared" si="9"/>
        <v>9.5548880067708522E-2</v>
      </c>
      <c r="BI10" s="160">
        <f t="shared" si="9"/>
        <v>-8.1707579007191111E-3</v>
      </c>
      <c r="BJ10" s="13">
        <f t="shared" si="9"/>
        <v>0.65986010830324915</v>
      </c>
      <c r="BK10" s="50">
        <f t="shared" si="9"/>
        <v>-9.4899610973306382E-3</v>
      </c>
      <c r="BM10" s="160" t="e">
        <f t="shared" si="9"/>
        <v>#DIV/0!</v>
      </c>
      <c r="BO10" s="250">
        <v>0</v>
      </c>
      <c r="BP10" s="250" t="s">
        <v>248</v>
      </c>
    </row>
    <row r="11" spans="1:68">
      <c r="A11" s="128"/>
      <c r="B11" s="5" t="s">
        <v>132</v>
      </c>
      <c r="C11" s="11">
        <f>C8-C7</f>
        <v>6183</v>
      </c>
      <c r="D11" s="11">
        <f t="shared" ref="D11:BK11" si="13">D8-D7</f>
        <v>199968</v>
      </c>
      <c r="E11" s="11">
        <f t="shared" si="13"/>
        <v>-3773</v>
      </c>
      <c r="F11" s="11">
        <f t="shared" si="13"/>
        <v>4846</v>
      </c>
      <c r="G11" s="11">
        <f t="shared" si="13"/>
        <v>10141</v>
      </c>
      <c r="H11" s="11">
        <f t="shared" si="13"/>
        <v>0</v>
      </c>
      <c r="I11" s="11">
        <f t="shared" si="13"/>
        <v>0</v>
      </c>
      <c r="J11" s="11">
        <f t="shared" si="13"/>
        <v>-79</v>
      </c>
      <c r="K11" s="11">
        <f t="shared" si="13"/>
        <v>-68</v>
      </c>
      <c r="L11" s="11">
        <f t="shared" si="13"/>
        <v>1229</v>
      </c>
      <c r="M11" s="11">
        <f t="shared" si="13"/>
        <v>-969</v>
      </c>
      <c r="N11" s="11">
        <f t="shared" si="13"/>
        <v>-841</v>
      </c>
      <c r="O11" s="11">
        <f t="shared" si="13"/>
        <v>2791</v>
      </c>
      <c r="P11" s="11">
        <f t="shared" si="13"/>
        <v>-9521</v>
      </c>
      <c r="Q11" s="11">
        <f t="shared" si="13"/>
        <v>0</v>
      </c>
      <c r="R11" s="11">
        <f t="shared" si="13"/>
        <v>424</v>
      </c>
      <c r="S11" s="11">
        <f t="shared" si="13"/>
        <v>0</v>
      </c>
      <c r="T11" s="11">
        <f t="shared" si="13"/>
        <v>0</v>
      </c>
      <c r="U11" s="11">
        <f t="shared" ref="U11" si="14">U8-U7</f>
        <v>0</v>
      </c>
      <c r="V11" s="9">
        <f t="shared" si="13"/>
        <v>0</v>
      </c>
      <c r="W11" s="11">
        <f t="shared" si="13"/>
        <v>-420</v>
      </c>
      <c r="X11" s="11">
        <f t="shared" si="13"/>
        <v>0</v>
      </c>
      <c r="Y11" s="11">
        <f t="shared" si="13"/>
        <v>-1524</v>
      </c>
      <c r="Z11" s="11">
        <f t="shared" si="13"/>
        <v>-2488</v>
      </c>
      <c r="AA11" s="11">
        <f t="shared" si="13"/>
        <v>-252</v>
      </c>
      <c r="AB11" s="11">
        <f t="shared" ref="AB11" si="15">AB8-AB7</f>
        <v>-134</v>
      </c>
      <c r="AC11" s="9">
        <f t="shared" ref="AC11" si="16">AC8-AC7</f>
        <v>0</v>
      </c>
      <c r="AD11" s="216">
        <f t="shared" si="13"/>
        <v>205513</v>
      </c>
      <c r="AE11" s="11">
        <f t="shared" si="13"/>
        <v>1237</v>
      </c>
      <c r="AF11" s="11">
        <f t="shared" si="13"/>
        <v>126</v>
      </c>
      <c r="AG11" s="11">
        <f t="shared" si="13"/>
        <v>9859</v>
      </c>
      <c r="AH11" s="11">
        <f t="shared" si="13"/>
        <v>0</v>
      </c>
      <c r="AI11" s="11">
        <f t="shared" si="13"/>
        <v>0</v>
      </c>
      <c r="AJ11" s="11">
        <f t="shared" si="13"/>
        <v>923</v>
      </c>
      <c r="AK11" s="11">
        <f t="shared" si="13"/>
        <v>28438</v>
      </c>
      <c r="AL11" s="11">
        <f t="shared" si="13"/>
        <v>7568</v>
      </c>
      <c r="AM11" s="11">
        <f t="shared" si="13"/>
        <v>-15</v>
      </c>
      <c r="AN11" s="11">
        <f t="shared" si="13"/>
        <v>-10</v>
      </c>
      <c r="AO11" s="9">
        <f t="shared" si="13"/>
        <v>3890</v>
      </c>
      <c r="AP11" s="11">
        <f t="shared" si="13"/>
        <v>301</v>
      </c>
      <c r="AQ11" s="9">
        <f t="shared" si="13"/>
        <v>0</v>
      </c>
      <c r="AR11" s="11">
        <f t="shared" si="13"/>
        <v>0</v>
      </c>
      <c r="AS11" s="11">
        <f t="shared" si="13"/>
        <v>0</v>
      </c>
      <c r="AT11" s="11">
        <f t="shared" si="13"/>
        <v>0</v>
      </c>
      <c r="AU11" s="11">
        <f t="shared" si="13"/>
        <v>0</v>
      </c>
      <c r="AV11" s="11">
        <f t="shared" si="13"/>
        <v>0</v>
      </c>
      <c r="AW11" s="11">
        <f t="shared" si="13"/>
        <v>-4808</v>
      </c>
      <c r="AX11" s="11">
        <f t="shared" si="13"/>
        <v>1641</v>
      </c>
      <c r="AY11" s="11">
        <f t="shared" si="13"/>
        <v>-2162</v>
      </c>
      <c r="AZ11" s="11">
        <f t="shared" si="13"/>
        <v>0</v>
      </c>
      <c r="BA11" s="11">
        <f t="shared" si="13"/>
        <v>0</v>
      </c>
      <c r="BB11" s="9">
        <f t="shared" si="13"/>
        <v>0</v>
      </c>
      <c r="BC11" s="11">
        <f t="shared" si="13"/>
        <v>-836</v>
      </c>
      <c r="BD11" s="11">
        <f t="shared" si="13"/>
        <v>-869</v>
      </c>
      <c r="BE11" s="11">
        <f t="shared" si="13"/>
        <v>0</v>
      </c>
      <c r="BF11" s="11">
        <f t="shared" si="13"/>
        <v>-1472</v>
      </c>
      <c r="BG11" s="11">
        <f t="shared" si="13"/>
        <v>11909</v>
      </c>
      <c r="BH11" s="9">
        <f t="shared" si="13"/>
        <v>55720</v>
      </c>
      <c r="BI11" s="9">
        <f t="shared" si="13"/>
        <v>261233</v>
      </c>
      <c r="BJ11" s="11">
        <f t="shared" si="13"/>
        <v>7240</v>
      </c>
      <c r="BK11" s="49">
        <f t="shared" si="13"/>
        <v>253993</v>
      </c>
      <c r="BM11" s="30">
        <f t="shared" si="3"/>
        <v>48480</v>
      </c>
      <c r="BO11" s="250">
        <v>-21057</v>
      </c>
      <c r="BP11" s="250" t="s">
        <v>250</v>
      </c>
    </row>
    <row r="12" spans="1:68">
      <c r="A12" s="128"/>
      <c r="B12" s="5" t="s">
        <v>133</v>
      </c>
      <c r="C12" s="13">
        <f>C11/C7</f>
        <v>2.5929094431723825E-3</v>
      </c>
      <c r="D12" s="13">
        <f t="shared" ref="D12:BM12" si="17">D11/D7</f>
        <v>0.22521429753992844</v>
      </c>
      <c r="E12" s="13">
        <f t="shared" si="17"/>
        <v>-5.5280431342671278E-2</v>
      </c>
      <c r="F12" s="13">
        <f t="shared" si="17"/>
        <v>1.7099566335802174E-2</v>
      </c>
      <c r="G12" s="13">
        <f t="shared" si="17"/>
        <v>8.8758380450575033E-2</v>
      </c>
      <c r="H12" s="13" t="e">
        <f t="shared" si="17"/>
        <v>#DIV/0!</v>
      </c>
      <c r="I12" s="13" t="e">
        <f t="shared" si="17"/>
        <v>#DIV/0!</v>
      </c>
      <c r="J12" s="13">
        <f t="shared" si="17"/>
        <v>-3.9244908097367116E-2</v>
      </c>
      <c r="K12" s="13">
        <f t="shared" si="17"/>
        <v>-0.35051546391752575</v>
      </c>
      <c r="L12" s="13">
        <f t="shared" si="17"/>
        <v>0.52387041773231036</v>
      </c>
      <c r="M12" s="13">
        <f t="shared" si="17"/>
        <v>-0.10437311503662215</v>
      </c>
      <c r="N12" s="13">
        <f t="shared" si="17"/>
        <v>-0.42113169754631946</v>
      </c>
      <c r="O12" s="13">
        <f t="shared" si="17"/>
        <v>0.15761237858594984</v>
      </c>
      <c r="P12" s="13">
        <f t="shared" si="17"/>
        <v>-0.11595420777006454</v>
      </c>
      <c r="Q12" s="13" t="e">
        <f t="shared" si="17"/>
        <v>#DIV/0!</v>
      </c>
      <c r="R12" s="13">
        <f t="shared" si="17"/>
        <v>2.2912726290191841E-2</v>
      </c>
      <c r="S12" s="13" t="e">
        <f t="shared" si="17"/>
        <v>#DIV/0!</v>
      </c>
      <c r="T12" s="13" t="e">
        <f t="shared" si="17"/>
        <v>#DIV/0!</v>
      </c>
      <c r="U12" s="13" t="e">
        <f t="shared" ref="U12" si="18">U11/U7</f>
        <v>#DIV/0!</v>
      </c>
      <c r="V12" s="160" t="e">
        <f t="shared" si="17"/>
        <v>#DIV/0!</v>
      </c>
      <c r="W12" s="13">
        <f t="shared" si="17"/>
        <v>-0.32863849765258218</v>
      </c>
      <c r="X12" s="13" t="e">
        <f t="shared" si="17"/>
        <v>#DIV/0!</v>
      </c>
      <c r="Y12" s="13">
        <f t="shared" si="17"/>
        <v>-0.19820522824814671</v>
      </c>
      <c r="Z12" s="13">
        <f t="shared" si="17"/>
        <v>-0.60476421973748173</v>
      </c>
      <c r="AA12" s="13">
        <f t="shared" si="17"/>
        <v>-0.19444444444444445</v>
      </c>
      <c r="AB12" s="13">
        <f t="shared" ref="AB12" si="19">AB11/AB7</f>
        <v>-0.19061166429587481</v>
      </c>
      <c r="AC12" s="160" t="e">
        <f t="shared" ref="AC12" si="20">AC11/AC7</f>
        <v>#DIV/0!</v>
      </c>
      <c r="AD12" s="217">
        <f t="shared" si="17"/>
        <v>5.2863407794428628E-2</v>
      </c>
      <c r="AE12" s="13">
        <f t="shared" si="17"/>
        <v>7.135029128453596E-2</v>
      </c>
      <c r="AF12" s="13">
        <f t="shared" si="17"/>
        <v>1.6693163751987282E-2</v>
      </c>
      <c r="AG12" s="13">
        <f t="shared" si="17"/>
        <v>0.12885055217931124</v>
      </c>
      <c r="AH12" s="13" t="e">
        <f t="shared" si="17"/>
        <v>#DIV/0!</v>
      </c>
      <c r="AI12" s="13" t="e">
        <f t="shared" si="17"/>
        <v>#DIV/0!</v>
      </c>
      <c r="AJ12" s="13">
        <f t="shared" si="17"/>
        <v>0.17152945549154433</v>
      </c>
      <c r="AK12" s="13">
        <f t="shared" si="17"/>
        <v>-5.3464937018236514</v>
      </c>
      <c r="AL12" s="13">
        <f t="shared" si="17"/>
        <v>0.52841781874039939</v>
      </c>
      <c r="AM12" s="13">
        <f t="shared" si="17"/>
        <v>-1.2234910277324634E-2</v>
      </c>
      <c r="AN12" s="13">
        <f t="shared" si="17"/>
        <v>-1</v>
      </c>
      <c r="AO12" s="160">
        <f t="shared" si="17"/>
        <v>3.9552618200305034E-2</v>
      </c>
      <c r="AP12" s="13" t="e">
        <f t="shared" si="17"/>
        <v>#DIV/0!</v>
      </c>
      <c r="AQ12" s="160" t="e">
        <f t="shared" si="17"/>
        <v>#DIV/0!</v>
      </c>
      <c r="AR12" s="13" t="e">
        <f t="shared" si="17"/>
        <v>#DIV/0!</v>
      </c>
      <c r="AS12" s="13" t="e">
        <f t="shared" si="17"/>
        <v>#DIV/0!</v>
      </c>
      <c r="AT12" s="13" t="e">
        <f t="shared" si="17"/>
        <v>#DIV/0!</v>
      </c>
      <c r="AU12" s="13" t="e">
        <f t="shared" si="17"/>
        <v>#DIV/0!</v>
      </c>
      <c r="AV12" s="13" t="e">
        <f t="shared" si="17"/>
        <v>#DIV/0!</v>
      </c>
      <c r="AW12" s="13">
        <f t="shared" si="17"/>
        <v>-0.3187272124627113</v>
      </c>
      <c r="AX12" s="13">
        <f t="shared" si="17"/>
        <v>0.12812304809494066</v>
      </c>
      <c r="AY12" s="13">
        <f t="shared" si="17"/>
        <v>-0.3836734693877551</v>
      </c>
      <c r="AZ12" s="13" t="e">
        <f t="shared" si="17"/>
        <v>#DIV/0!</v>
      </c>
      <c r="BA12" s="13" t="e">
        <f t="shared" si="17"/>
        <v>#DIV/0!</v>
      </c>
      <c r="BB12" s="160" t="e">
        <f t="shared" si="17"/>
        <v>#DIV/0!</v>
      </c>
      <c r="BC12" s="13">
        <f t="shared" si="17"/>
        <v>-0.13423249839434812</v>
      </c>
      <c r="BD12" s="13">
        <f t="shared" si="17"/>
        <v>-0.13879571953362083</v>
      </c>
      <c r="BE12" s="13" t="e">
        <f t="shared" si="17"/>
        <v>#DIV/0!</v>
      </c>
      <c r="BF12" s="13">
        <f t="shared" si="17"/>
        <v>-0.52854578096947935</v>
      </c>
      <c r="BG12" s="13">
        <f t="shared" si="17"/>
        <v>0.24952855885680761</v>
      </c>
      <c r="BH12" s="160">
        <f t="shared" si="17"/>
        <v>0.17864814779190633</v>
      </c>
      <c r="BI12" s="160">
        <f t="shared" si="17"/>
        <v>6.2205427714255981E-2</v>
      </c>
      <c r="BJ12" s="13">
        <f t="shared" si="17"/>
        <v>0.96882108925465005</v>
      </c>
      <c r="BK12" s="50">
        <f t="shared" si="17"/>
        <v>6.0589239436189664E-2</v>
      </c>
      <c r="BM12" s="14">
        <f t="shared" si="17"/>
        <v>0.1592510470559251</v>
      </c>
      <c r="BO12" s="250">
        <v>-70288640</v>
      </c>
      <c r="BP12" s="250" t="s">
        <v>249</v>
      </c>
    </row>
    <row r="13" spans="1:68">
      <c r="A13" s="128"/>
      <c r="B13" s="5" t="s">
        <v>340</v>
      </c>
      <c r="C13" s="126">
        <f>C8/C5</f>
        <v>0.90877482273142984</v>
      </c>
      <c r="D13" s="126">
        <f t="shared" ref="D13:BM13" si="21">D8/D5</f>
        <v>0.90407055258825519</v>
      </c>
      <c r="E13" s="126">
        <f t="shared" si="21"/>
        <v>0.8723870601128384</v>
      </c>
      <c r="F13" s="126">
        <f t="shared" si="21"/>
        <v>0.90885442942185446</v>
      </c>
      <c r="G13" s="126">
        <f t="shared" si="21"/>
        <v>0.91279654238730834</v>
      </c>
      <c r="H13" s="126" t="e">
        <f t="shared" si="21"/>
        <v>#DIV/0!</v>
      </c>
      <c r="I13" s="126" t="e">
        <f t="shared" si="21"/>
        <v>#DIV/0!</v>
      </c>
      <c r="J13" s="126">
        <f t="shared" si="21"/>
        <v>0.81706801858893119</v>
      </c>
      <c r="K13" s="126">
        <f t="shared" si="21"/>
        <v>0.51012145748987858</v>
      </c>
      <c r="L13" s="126">
        <f t="shared" si="21"/>
        <v>0.92760768033212249</v>
      </c>
      <c r="M13" s="126">
        <f t="shared" si="21"/>
        <v>0.80283865984358405</v>
      </c>
      <c r="N13" s="126">
        <f t="shared" si="21"/>
        <v>7.4297834051031561E-2</v>
      </c>
      <c r="O13" s="126">
        <f t="shared" si="21"/>
        <v>0.77319704284852142</v>
      </c>
      <c r="P13" s="126">
        <f t="shared" si="21"/>
        <v>0.81056122562922928</v>
      </c>
      <c r="Q13" s="126" t="e">
        <f t="shared" si="21"/>
        <v>#DIV/0!</v>
      </c>
      <c r="R13" s="126">
        <f t="shared" si="21"/>
        <v>0.85158358826705061</v>
      </c>
      <c r="S13" s="126" t="e">
        <f t="shared" si="21"/>
        <v>#DIV/0!</v>
      </c>
      <c r="T13" s="126" t="e">
        <f t="shared" si="21"/>
        <v>#DIV/0!</v>
      </c>
      <c r="U13" s="126" t="e">
        <f t="shared" si="21"/>
        <v>#DIV/0!</v>
      </c>
      <c r="V13" s="175" t="e">
        <f t="shared" si="21"/>
        <v>#DIV/0!</v>
      </c>
      <c r="W13" s="126">
        <f t="shared" si="21"/>
        <v>0.90793650793650793</v>
      </c>
      <c r="X13" s="126">
        <f t="shared" si="21"/>
        <v>0</v>
      </c>
      <c r="Y13" s="126">
        <f t="shared" si="21"/>
        <v>0.46360354940592569</v>
      </c>
      <c r="Z13" s="126">
        <f t="shared" si="21"/>
        <v>1.4238178633975482</v>
      </c>
      <c r="AA13" s="126">
        <f t="shared" si="21"/>
        <v>1.5330396475770924</v>
      </c>
      <c r="AB13" s="126">
        <f t="shared" ref="AB13" si="22">AB8/AB5</f>
        <v>1.5092838196286471</v>
      </c>
      <c r="AC13" s="175" t="e">
        <f t="shared" si="21"/>
        <v>#DIV/0!</v>
      </c>
      <c r="AD13" s="218">
        <f t="shared" si="21"/>
        <v>0.89978630510513391</v>
      </c>
      <c r="AE13" s="126">
        <f t="shared" si="21"/>
        <v>0.93883946623534165</v>
      </c>
      <c r="AF13" s="126">
        <f t="shared" si="21"/>
        <v>0.88206896551724134</v>
      </c>
      <c r="AG13" s="126">
        <f t="shared" si="21"/>
        <v>0.99136882216559929</v>
      </c>
      <c r="AH13" s="126" t="e">
        <f t="shared" si="21"/>
        <v>#DIV/0!</v>
      </c>
      <c r="AI13" s="126" t="e">
        <f t="shared" si="21"/>
        <v>#DIV/0!</v>
      </c>
      <c r="AJ13" s="126">
        <f t="shared" si="21"/>
        <v>0.96361968816875576</v>
      </c>
      <c r="AK13" s="126">
        <f t="shared" si="21"/>
        <v>3.7294724955638006</v>
      </c>
      <c r="AL13" s="126">
        <f t="shared" si="21"/>
        <v>1.4978787464075545</v>
      </c>
      <c r="AM13" s="126">
        <f t="shared" si="21"/>
        <v>0.73483009708737868</v>
      </c>
      <c r="AN13" s="126" t="e">
        <f t="shared" si="21"/>
        <v>#DIV/0!</v>
      </c>
      <c r="AO13" s="175">
        <f t="shared" si="21"/>
        <v>1.04490730331337</v>
      </c>
      <c r="AP13" s="126">
        <f t="shared" si="21"/>
        <v>150.5</v>
      </c>
      <c r="AQ13" s="175" t="e">
        <f t="shared" si="21"/>
        <v>#DIV/0!</v>
      </c>
      <c r="AR13" s="126" t="e">
        <f t="shared" si="21"/>
        <v>#DIV/0!</v>
      </c>
      <c r="AS13" s="126" t="e">
        <f t="shared" si="21"/>
        <v>#DIV/0!</v>
      </c>
      <c r="AT13" s="126" t="e">
        <f t="shared" si="21"/>
        <v>#DIV/0!</v>
      </c>
      <c r="AU13" s="126" t="e">
        <f t="shared" si="21"/>
        <v>#DIV/0!</v>
      </c>
      <c r="AV13" s="126" t="e">
        <f t="shared" si="21"/>
        <v>#DIV/0!</v>
      </c>
      <c r="AW13" s="126">
        <f t="shared" si="21"/>
        <v>1.0564350328947369</v>
      </c>
      <c r="AX13" s="126">
        <f t="shared" si="21"/>
        <v>0.54545111362778409</v>
      </c>
      <c r="AY13" s="126">
        <f t="shared" si="21"/>
        <v>0.73799405014874631</v>
      </c>
      <c r="AZ13" s="126" t="e">
        <f t="shared" si="21"/>
        <v>#DIV/0!</v>
      </c>
      <c r="BA13" s="126" t="e">
        <f t="shared" si="21"/>
        <v>#DIV/0!</v>
      </c>
      <c r="BB13" s="175" t="e">
        <f t="shared" si="21"/>
        <v>#DIV/0!</v>
      </c>
      <c r="BC13" s="126">
        <f t="shared" si="21"/>
        <v>0.73450483585342596</v>
      </c>
      <c r="BD13" s="126">
        <f t="shared" si="21"/>
        <v>0.7305243191979407</v>
      </c>
      <c r="BE13" s="126">
        <f t="shared" si="21"/>
        <v>0</v>
      </c>
      <c r="BF13" s="126">
        <f t="shared" si="21"/>
        <v>0.35952902519167579</v>
      </c>
      <c r="BG13" s="126">
        <f t="shared" si="21"/>
        <v>0.97803982025125469</v>
      </c>
      <c r="BH13" s="175">
        <f t="shared" si="21"/>
        <v>1.0134392669190033</v>
      </c>
      <c r="BI13" s="175">
        <f t="shared" si="21"/>
        <v>0.90817981038130591</v>
      </c>
      <c r="BJ13" s="126">
        <f t="shared" si="21"/>
        <v>1.5087161607875308</v>
      </c>
      <c r="BK13" s="126">
        <f t="shared" si="21"/>
        <v>0.90698510811913502</v>
      </c>
      <c r="BM13" s="126" t="e">
        <f t="shared" si="21"/>
        <v>#DIV/0!</v>
      </c>
    </row>
    <row r="14" spans="1:68" s="178" customFormat="1">
      <c r="A14" s="128"/>
      <c r="B14" s="5" t="s">
        <v>341</v>
      </c>
      <c r="C14" s="11">
        <f>C5-C8</f>
        <v>239991</v>
      </c>
      <c r="D14" s="11">
        <f>D5-D8</f>
        <v>115432</v>
      </c>
      <c r="E14" s="11">
        <f>E5-E8</f>
        <v>9432</v>
      </c>
      <c r="F14" s="11">
        <f>F5-F8</f>
        <v>28907</v>
      </c>
      <c r="G14" s="11">
        <f t="shared" ref="G14:BM14" si="23">G5-G8</f>
        <v>11884</v>
      </c>
      <c r="H14" s="11">
        <f t="shared" si="23"/>
        <v>0</v>
      </c>
      <c r="I14" s="11">
        <f t="shared" si="23"/>
        <v>0</v>
      </c>
      <c r="J14" s="11">
        <f t="shared" si="23"/>
        <v>433</v>
      </c>
      <c r="K14" s="11">
        <f t="shared" si="23"/>
        <v>121</v>
      </c>
      <c r="L14" s="11">
        <f t="shared" si="23"/>
        <v>279</v>
      </c>
      <c r="M14" s="11">
        <f t="shared" si="23"/>
        <v>2042</v>
      </c>
      <c r="N14" s="11">
        <f t="shared" si="23"/>
        <v>14403</v>
      </c>
      <c r="O14" s="11">
        <f t="shared" si="23"/>
        <v>6013</v>
      </c>
      <c r="P14" s="11">
        <f t="shared" si="23"/>
        <v>16965</v>
      </c>
      <c r="Q14" s="11">
        <f t="shared" si="23"/>
        <v>0</v>
      </c>
      <c r="R14" s="11">
        <f t="shared" si="23"/>
        <v>3299</v>
      </c>
      <c r="S14" s="11">
        <f t="shared" si="23"/>
        <v>0</v>
      </c>
      <c r="T14" s="11">
        <f t="shared" si="23"/>
        <v>0</v>
      </c>
      <c r="U14" s="11">
        <f t="shared" si="23"/>
        <v>0</v>
      </c>
      <c r="V14" s="9">
        <f t="shared" si="23"/>
        <v>0</v>
      </c>
      <c r="W14" s="11">
        <f t="shared" si="23"/>
        <v>87</v>
      </c>
      <c r="X14" s="11">
        <f t="shared" si="23"/>
        <v>491</v>
      </c>
      <c r="Y14" s="11">
        <f t="shared" si="23"/>
        <v>7133</v>
      </c>
      <c r="Z14" s="11">
        <f t="shared" si="23"/>
        <v>-484</v>
      </c>
      <c r="AA14" s="11">
        <f t="shared" si="23"/>
        <v>-363</v>
      </c>
      <c r="AB14" s="11">
        <f t="shared" ref="AB14" si="24">AB5-AB8</f>
        <v>-192</v>
      </c>
      <c r="AC14" s="9">
        <f t="shared" si="23"/>
        <v>0</v>
      </c>
      <c r="AD14" s="216">
        <f t="shared" si="23"/>
        <v>455873</v>
      </c>
      <c r="AE14" s="11">
        <f t="shared" si="23"/>
        <v>1210</v>
      </c>
      <c r="AF14" s="11">
        <f t="shared" si="23"/>
        <v>1026</v>
      </c>
      <c r="AG14" s="11">
        <f t="shared" si="23"/>
        <v>752</v>
      </c>
      <c r="AH14" s="11">
        <f t="shared" si="23"/>
        <v>0</v>
      </c>
      <c r="AI14" s="11">
        <f t="shared" si="23"/>
        <v>0</v>
      </c>
      <c r="AJ14" s="11">
        <f t="shared" si="23"/>
        <v>238</v>
      </c>
      <c r="AK14" s="11">
        <f t="shared" si="23"/>
        <v>-16920</v>
      </c>
      <c r="AL14" s="11">
        <f t="shared" si="23"/>
        <v>-7276</v>
      </c>
      <c r="AM14" s="11">
        <f t="shared" si="23"/>
        <v>437</v>
      </c>
      <c r="AN14" s="11">
        <f t="shared" si="23"/>
        <v>0</v>
      </c>
      <c r="AO14" s="9">
        <f t="shared" si="23"/>
        <v>-4394</v>
      </c>
      <c r="AP14" s="11">
        <f t="shared" si="23"/>
        <v>-299</v>
      </c>
      <c r="AQ14" s="9">
        <f t="shared" si="23"/>
        <v>0</v>
      </c>
      <c r="AR14" s="11">
        <f t="shared" si="23"/>
        <v>0</v>
      </c>
      <c r="AS14" s="11">
        <f t="shared" si="23"/>
        <v>0</v>
      </c>
      <c r="AT14" s="11">
        <f t="shared" si="23"/>
        <v>0</v>
      </c>
      <c r="AU14" s="11">
        <f t="shared" si="23"/>
        <v>0</v>
      </c>
      <c r="AV14" s="11">
        <f t="shared" si="23"/>
        <v>0</v>
      </c>
      <c r="AW14" s="11">
        <f t="shared" si="23"/>
        <v>-549</v>
      </c>
      <c r="AX14" s="11">
        <f t="shared" si="23"/>
        <v>12041</v>
      </c>
      <c r="AY14" s="11">
        <f t="shared" si="23"/>
        <v>1233</v>
      </c>
      <c r="AZ14" s="11">
        <f t="shared" si="23"/>
        <v>0</v>
      </c>
      <c r="BA14" s="11">
        <f t="shared" si="23"/>
        <v>0</v>
      </c>
      <c r="BB14" s="9">
        <f t="shared" si="23"/>
        <v>0</v>
      </c>
      <c r="BC14" s="11">
        <f t="shared" si="23"/>
        <v>1949</v>
      </c>
      <c r="BD14" s="11">
        <f t="shared" si="23"/>
        <v>1989</v>
      </c>
      <c r="BE14" s="11">
        <f t="shared" si="23"/>
        <v>10</v>
      </c>
      <c r="BF14" s="11">
        <f t="shared" si="23"/>
        <v>2339</v>
      </c>
      <c r="BG14" s="11">
        <f t="shared" si="23"/>
        <v>1339</v>
      </c>
      <c r="BH14" s="11">
        <f t="shared" si="23"/>
        <v>-4875</v>
      </c>
      <c r="BI14" s="9">
        <f t="shared" si="23"/>
        <v>450998</v>
      </c>
      <c r="BJ14" s="11">
        <f t="shared" si="23"/>
        <v>-4961</v>
      </c>
      <c r="BK14" s="11">
        <f t="shared" si="23"/>
        <v>455959</v>
      </c>
      <c r="BL14" s="11">
        <f t="shared" si="23"/>
        <v>-4446039</v>
      </c>
      <c r="BM14" s="11">
        <f t="shared" si="23"/>
        <v>-352905</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9"/>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9"/>
      <c r="BJ15" s="5"/>
      <c r="BK15" s="48"/>
    </row>
    <row r="16" spans="1:68" s="266" customFormat="1">
      <c r="A16" s="15" t="s">
        <v>134</v>
      </c>
      <c r="B16" s="11" t="s">
        <v>336</v>
      </c>
      <c r="C16" s="267">
        <v>5259143</v>
      </c>
      <c r="D16" s="120">
        <v>2405177</v>
      </c>
      <c r="E16" s="120">
        <v>277163</v>
      </c>
      <c r="F16" s="120">
        <v>428108</v>
      </c>
      <c r="G16" s="120">
        <v>379097</v>
      </c>
      <c r="H16" s="120"/>
      <c r="I16" s="120"/>
      <c r="J16" s="120"/>
      <c r="K16" s="120"/>
      <c r="L16" s="120">
        <v>126750</v>
      </c>
      <c r="M16" s="120">
        <v>501703</v>
      </c>
      <c r="N16" s="120">
        <v>579</v>
      </c>
      <c r="O16" s="120">
        <v>11787</v>
      </c>
      <c r="P16" s="120">
        <v>368014</v>
      </c>
      <c r="Q16" s="120"/>
      <c r="R16" s="120">
        <v>8680</v>
      </c>
      <c r="S16" s="120"/>
      <c r="T16" s="120"/>
      <c r="U16" s="120"/>
      <c r="V16" s="268"/>
      <c r="W16" s="120"/>
      <c r="X16" s="120"/>
      <c r="Y16" s="120">
        <v>8278</v>
      </c>
      <c r="Z16" s="120">
        <v>4465</v>
      </c>
      <c r="AA16" s="268">
        <v>3048</v>
      </c>
      <c r="AB16" s="268">
        <v>7260</v>
      </c>
      <c r="AC16" s="268">
        <v>0</v>
      </c>
      <c r="AD16" s="121">
        <f t="shared" ref="AD16" si="25">SUM(C16:AC16)</f>
        <v>9789252</v>
      </c>
      <c r="AE16" s="120">
        <v>4528</v>
      </c>
      <c r="AF16" s="120">
        <v>703</v>
      </c>
      <c r="AG16" s="120">
        <v>44792</v>
      </c>
      <c r="AH16" s="120"/>
      <c r="AI16" s="120"/>
      <c r="AJ16" s="120">
        <v>162</v>
      </c>
      <c r="AK16" s="120">
        <v>100292</v>
      </c>
      <c r="AL16" s="120">
        <v>337196</v>
      </c>
      <c r="AM16" s="120"/>
      <c r="AN16" s="120">
        <v>251854</v>
      </c>
      <c r="AO16" s="268">
        <v>1181170</v>
      </c>
      <c r="AP16" s="120">
        <v>247596</v>
      </c>
      <c r="AQ16" s="268"/>
      <c r="AR16" s="120"/>
      <c r="AS16" s="120"/>
      <c r="AT16" s="120"/>
      <c r="AU16" s="120"/>
      <c r="AV16" s="120">
        <v>1</v>
      </c>
      <c r="AW16" s="120">
        <v>1783</v>
      </c>
      <c r="AX16" s="120">
        <v>2330</v>
      </c>
      <c r="AY16" s="120">
        <v>182</v>
      </c>
      <c r="AZ16" s="120"/>
      <c r="BA16" s="120"/>
      <c r="BB16" s="268"/>
      <c r="BC16" s="120">
        <v>65173</v>
      </c>
      <c r="BD16" s="120">
        <v>64686</v>
      </c>
      <c r="BE16" s="120"/>
      <c r="BF16" s="120">
        <v>28923</v>
      </c>
      <c r="BG16" s="120">
        <v>5874</v>
      </c>
      <c r="BH16" s="120">
        <f t="shared" ref="BH16" si="26">SUM(AE16:BG16)</f>
        <v>2337245</v>
      </c>
      <c r="BI16" s="125">
        <f>AD16+BH16</f>
        <v>12126497</v>
      </c>
      <c r="BJ16" s="269">
        <v>75497</v>
      </c>
      <c r="BK16" s="276">
        <f t="shared" ref="BK16" si="27">BI16-BJ16</f>
        <v>12051000</v>
      </c>
    </row>
    <row r="17" spans="1:65" s="41" customFormat="1">
      <c r="A17" s="134" t="s">
        <v>134</v>
      </c>
      <c r="B17" s="210" t="s">
        <v>429</v>
      </c>
      <c r="C17" s="267">
        <v>4791391</v>
      </c>
      <c r="D17" s="120">
        <v>2152528</v>
      </c>
      <c r="E17" s="120">
        <v>274912</v>
      </c>
      <c r="F17" s="120">
        <v>388795</v>
      </c>
      <c r="G17" s="120">
        <v>344015</v>
      </c>
      <c r="H17" s="120"/>
      <c r="I17" s="120"/>
      <c r="J17" s="120"/>
      <c r="K17" s="120"/>
      <c r="L17" s="120">
        <v>108560</v>
      </c>
      <c r="M17" s="120">
        <v>458598</v>
      </c>
      <c r="N17" s="120">
        <v>517</v>
      </c>
      <c r="O17" s="120">
        <v>9676</v>
      </c>
      <c r="P17" s="120">
        <v>329054</v>
      </c>
      <c r="Q17" s="120"/>
      <c r="R17" s="120">
        <v>8286</v>
      </c>
      <c r="S17" s="120"/>
      <c r="T17" s="120"/>
      <c r="U17" s="120"/>
      <c r="V17" s="268"/>
      <c r="W17" s="120"/>
      <c r="X17" s="120"/>
      <c r="Y17" s="120">
        <v>8278</v>
      </c>
      <c r="Z17" s="120">
        <v>4465</v>
      </c>
      <c r="AA17" s="268">
        <v>2459</v>
      </c>
      <c r="AB17" s="268">
        <v>6681</v>
      </c>
      <c r="AC17" s="268"/>
      <c r="AD17" s="121">
        <f t="shared" ref="AD17" si="28">SUM(C17:AC17)</f>
        <v>8888215</v>
      </c>
      <c r="AE17" s="120">
        <v>4146</v>
      </c>
      <c r="AF17" s="120">
        <v>549</v>
      </c>
      <c r="AG17" s="120">
        <v>37596</v>
      </c>
      <c r="AH17" s="120"/>
      <c r="AI17" s="120"/>
      <c r="AJ17" s="120">
        <v>142</v>
      </c>
      <c r="AK17" s="120">
        <v>84996</v>
      </c>
      <c r="AL17" s="120">
        <v>298136</v>
      </c>
      <c r="AM17" s="120"/>
      <c r="AN17" s="120">
        <v>220672</v>
      </c>
      <c r="AO17" s="268">
        <v>1067341</v>
      </c>
      <c r="AP17" s="120">
        <v>232218</v>
      </c>
      <c r="AQ17" s="268"/>
      <c r="AR17" s="120"/>
      <c r="AS17" s="120"/>
      <c r="AT17" s="120"/>
      <c r="AU17" s="120"/>
      <c r="AV17" s="120">
        <v>0</v>
      </c>
      <c r="AW17" s="120">
        <v>1338</v>
      </c>
      <c r="AX17" s="120">
        <v>2077</v>
      </c>
      <c r="AY17" s="120">
        <v>138</v>
      </c>
      <c r="AZ17" s="120"/>
      <c r="BA17" s="120"/>
      <c r="BB17" s="268"/>
      <c r="BC17" s="120">
        <v>59094</v>
      </c>
      <c r="BD17" s="120">
        <v>58515</v>
      </c>
      <c r="BE17" s="120">
        <v>0</v>
      </c>
      <c r="BF17" s="120">
        <v>23935</v>
      </c>
      <c r="BG17" s="120">
        <v>5874</v>
      </c>
      <c r="BH17" s="10">
        <f>SUM(AE17:BG17)</f>
        <v>2096767</v>
      </c>
      <c r="BI17" s="249">
        <f>AD17+BH17</f>
        <v>10984982</v>
      </c>
      <c r="BJ17" s="269">
        <v>65028</v>
      </c>
      <c r="BK17" s="10">
        <f t="shared" ref="BK17" si="29">BI17-BJ17</f>
        <v>10919954</v>
      </c>
      <c r="BM17" s="211"/>
    </row>
    <row r="18" spans="1:65">
      <c r="A18" s="128"/>
      <c r="B18" s="12" t="s">
        <v>430</v>
      </c>
      <c r="C18" s="9">
        <f>IF('Upto Month COPPY'!$C$4="",0,'Upto Month COPPY'!$C$4)</f>
        <v>4617628</v>
      </c>
      <c r="D18" s="9">
        <f>IF('Upto Month COPPY'!$C$5="",0,'Upto Month COPPY'!$C$5)</f>
        <v>1595922</v>
      </c>
      <c r="E18" s="9">
        <f>IF('Upto Month COPPY'!$C$6="",0,'Upto Month COPPY'!$C$6)</f>
        <v>256111</v>
      </c>
      <c r="F18" s="9">
        <f>IF('Upto Month COPPY'!$C$7="",0,'Upto Month COPPY'!$C$7)</f>
        <v>368618</v>
      </c>
      <c r="G18" s="9">
        <f>IF('Upto Month COPPY'!$C$8="",0,'Upto Month COPPY'!$C$8)</f>
        <v>312367</v>
      </c>
      <c r="H18" s="9">
        <f>IF('Upto Month COPPY'!$C$9="",0,'Upto Month COPPY'!$C$9)</f>
        <v>0</v>
      </c>
      <c r="I18" s="9">
        <f>IF('Upto Month COPPY'!$C$10="",0,'Upto Month COPPY'!$C$10)</f>
        <v>0</v>
      </c>
      <c r="J18" s="9">
        <f>IF('Upto Month COPPY'!$C$11="",0,'Upto Month COPPY'!$C$11)</f>
        <v>0</v>
      </c>
      <c r="K18" s="9">
        <f>IF('Upto Month COPPY'!$C$12="",0,'Upto Month COPPY'!$C$12)</f>
        <v>87</v>
      </c>
      <c r="L18" s="9">
        <f>IF('Upto Month COPPY'!$C$13="",0,'Upto Month COPPY'!$C$13)</f>
        <v>77600</v>
      </c>
      <c r="M18" s="9">
        <f>IF('Upto Month COPPY'!$C$14="",0,'Upto Month COPPY'!$C$14)</f>
        <v>429968</v>
      </c>
      <c r="N18" s="9">
        <f>IF('Upto Month COPPY'!$C$15="",0,'Upto Month COPPY'!$C$15)</f>
        <v>510</v>
      </c>
      <c r="O18" s="9">
        <f>IF('Upto Month COPPY'!$C$16="",0,'Upto Month COPPY'!$C$16)</f>
        <v>6933</v>
      </c>
      <c r="P18" s="9">
        <f>IF('Upto Month COPPY'!$C$17="",0,'Upto Month COPPY'!$C$17)</f>
        <v>319849</v>
      </c>
      <c r="Q18" s="9">
        <f>IF('Upto Month COPPY'!$C$18="",0,'Upto Month COPPY'!$C$18)</f>
        <v>0</v>
      </c>
      <c r="R18" s="9">
        <f>IF('Upto Month COPPY'!$C$21="",0,'Upto Month COPPY'!$C$21)</f>
        <v>7178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9715</v>
      </c>
      <c r="Z18" s="9">
        <f>IF('Upto Month COPPY'!$C$43="",0,'Upto Month COPPY'!$C$43)</f>
        <v>7685</v>
      </c>
      <c r="AA18" s="9">
        <f>IF('Upto Month COPPY'!$C$44="",0,'Upto Month COPPY'!$C$44)</f>
        <v>1838</v>
      </c>
      <c r="AB18" s="9">
        <f>IF('Upto Month COPPY'!$C$48="",0,'Upto Month COPPY'!$C$48)</f>
        <v>52</v>
      </c>
      <c r="AC18" s="9">
        <f>IF('Upto Month COPPY'!$C$51="",0,'Upto Month COPPY'!$C$51)</f>
        <v>0</v>
      </c>
      <c r="AD18" s="221">
        <f t="shared" ref="AD18:AD19" si="30">SUM(C18:AC18)</f>
        <v>8012061</v>
      </c>
      <c r="AE18" s="9">
        <f>IF('Upto Month COPPY'!$C$19="",0,'Upto Month COPPY'!$C$19)</f>
        <v>3893</v>
      </c>
      <c r="AF18" s="9">
        <f>IF('Upto Month COPPY'!$C$20="",0,'Upto Month COPPY'!$C$20)</f>
        <v>617</v>
      </c>
      <c r="AG18" s="9">
        <f>IF('Upto Month COPPY'!$C$22="",0,'Upto Month COPPY'!$C$22)</f>
        <v>36874</v>
      </c>
      <c r="AH18" s="9">
        <f>IF('Upto Month COPPY'!$C$23="",0,'Upto Month COPPY'!$C$23)</f>
        <v>0</v>
      </c>
      <c r="AI18" s="9">
        <f>IF('Upto Month COPPY'!$C$24="",0,'Upto Month COPPY'!$C$24)</f>
        <v>0</v>
      </c>
      <c r="AJ18" s="9">
        <f>IF('Upto Month COPPY'!$C$25="",0,'Upto Month COPPY'!$C$25)</f>
        <v>164</v>
      </c>
      <c r="AK18" s="9">
        <f>IF('Upto Month COPPY'!$C$28="",0,'Upto Month COPPY'!$C$28)</f>
        <v>80745</v>
      </c>
      <c r="AL18" s="9">
        <f>IF('Upto Month COPPY'!$C$29="",0,'Upto Month COPPY'!$C$29)</f>
        <v>354112</v>
      </c>
      <c r="AM18" s="9">
        <f>IF('Upto Month COPPY'!$C$31="",0,'Upto Month COPPY'!$C$31)</f>
        <v>0</v>
      </c>
      <c r="AN18" s="9">
        <f>IF('Upto Month COPPY'!$C$32="",0,'Upto Month COPPY'!$C$32)</f>
        <v>209692</v>
      </c>
      <c r="AO18" s="9">
        <f>IF('Upto Month COPPY'!$C$33="",0,'Upto Month COPPY'!$C$33)</f>
        <v>991180</v>
      </c>
      <c r="AP18" s="9">
        <f>IF('Upto Month COPPY'!$C$34="",0,'Upto Month COPPY'!$C$34)</f>
        <v>237565</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947</v>
      </c>
      <c r="AX18" s="9">
        <f>IF('Upto Month COPPY'!$C$46="",0,'Upto Month COPPY'!$C$46)</f>
        <v>527</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54218</v>
      </c>
      <c r="BD18" s="9">
        <f>IF('Upto Month COPPY'!$C$54="",0,'Upto Month COPPY'!$C$54)</f>
        <v>53795</v>
      </c>
      <c r="BE18" s="9">
        <f>IF('Upto Month COPPY'!$C$55="",0,'Upto Month COPPY'!$C$55)</f>
        <v>0</v>
      </c>
      <c r="BF18" s="9">
        <f>IF('Upto Month COPPY'!$C$56="",0,'Upto Month COPPY'!$C$56)</f>
        <v>15737</v>
      </c>
      <c r="BG18" s="9">
        <f>IF('Upto Month COPPY'!$C$58="",0,'Upto Month COPPY'!$C$58)</f>
        <v>7002</v>
      </c>
      <c r="BH18" s="9">
        <f>SUM(AE18:BG18)</f>
        <v>2047188</v>
      </c>
      <c r="BI18" s="275">
        <f>AD18+BH18</f>
        <v>10059249</v>
      </c>
      <c r="BJ18" s="9">
        <f>IF('Upto Month COPPY'!$C$60="",0,'Upto Month COPPY'!$C$60)</f>
        <v>188079</v>
      </c>
      <c r="BK18" s="49">
        <f t="shared" ref="BK18:BK19" si="31">BI18-BJ18</f>
        <v>9871170</v>
      </c>
      <c r="BL18">
        <f>'Upto Month COPPY'!$C$61</f>
        <v>9871168</v>
      </c>
      <c r="BM18" s="30">
        <f t="shared" ref="BM18:BM22" si="32">BK18-AD18</f>
        <v>1859109</v>
      </c>
    </row>
    <row r="19" spans="1:65">
      <c r="A19" s="128"/>
      <c r="B19" s="180" t="s">
        <v>431</v>
      </c>
      <c r="C19" s="9">
        <f>IF('Upto Month Current'!$C$4="",0,'Upto Month Current'!$C$4)</f>
        <v>5078726</v>
      </c>
      <c r="D19" s="9">
        <f>IF('Upto Month Current'!$C$5="",0,'Upto Month Current'!$C$5)</f>
        <v>2121733</v>
      </c>
      <c r="E19" s="9">
        <f>IF('Upto Month Current'!$C$6="",0,'Upto Month Current'!$C$6)</f>
        <v>255230</v>
      </c>
      <c r="F19" s="9">
        <f>IF('Upto Month Current'!$C$7="",0,'Upto Month Current'!$C$7)</f>
        <v>414473</v>
      </c>
      <c r="G19" s="9">
        <f>IF('Upto Month Current'!$C$8="",0,'Upto Month Current'!$C$8)</f>
        <v>358432</v>
      </c>
      <c r="H19" s="9">
        <f>IF('Upto Month Current'!$C$9="",0,'Upto Month Current'!$C$9)</f>
        <v>0</v>
      </c>
      <c r="I19" s="9">
        <f>IF('Upto Month Current'!$C$10="",0,'Upto Month Current'!$C$10)</f>
        <v>0</v>
      </c>
      <c r="J19" s="9">
        <f>IF('Upto Month Current'!$C$11="",0,'Upto Month Current'!$C$11)</f>
        <v>0</v>
      </c>
      <c r="K19" s="9">
        <f>IF('Upto Month Current'!$C$12="",0,'Upto Month Current'!$C$12)</f>
        <v>62</v>
      </c>
      <c r="L19" s="9">
        <f>IF('Upto Month Current'!$C$13="",0,'Upto Month Current'!$C$13)</f>
        <v>115719</v>
      </c>
      <c r="M19" s="9">
        <f>IF('Upto Month Current'!$C$14="",0,'Upto Month Current'!$C$14)</f>
        <v>494353</v>
      </c>
      <c r="N19" s="9">
        <f>IF('Upto Month Current'!$C$15="",0,'Upto Month Current'!$C$15)</f>
        <v>293</v>
      </c>
      <c r="O19" s="9">
        <f>IF('Upto Month Current'!$C$16="",0,'Upto Month Current'!$C$16)</f>
        <v>8245</v>
      </c>
      <c r="P19" s="9">
        <f>IF('Upto Month Current'!$C$17="",0,'Upto Month Current'!$C$17)</f>
        <v>358147</v>
      </c>
      <c r="Q19" s="9">
        <f>IF('Upto Month Current'!$C$18="",0,'Upto Month Current'!$C$18)</f>
        <v>0</v>
      </c>
      <c r="R19" s="9">
        <f>IF('Upto Month Current'!$C$21="",0,'Upto Month Current'!$C$21)</f>
        <v>8016</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3620</v>
      </c>
      <c r="Z19" s="9">
        <f>IF('Upto Month Current'!$C$43="",0,'Upto Month Current'!$C$43)</f>
        <v>1156</v>
      </c>
      <c r="AA19" s="9">
        <f>IF('Upto Month Current'!$C$44="",0,'Upto Month Current'!$C$44)</f>
        <v>1672</v>
      </c>
      <c r="AB19" s="9">
        <f>IF('Upto Month Current'!$C$48="",0,'Upto Month Current'!$C$48)</f>
        <v>0</v>
      </c>
      <c r="AC19" s="9">
        <f>IF('Upto Month Current'!$C$51="",0,'Upto Month Current'!$C$51)</f>
        <v>0</v>
      </c>
      <c r="AD19" s="221">
        <f t="shared" si="30"/>
        <v>9219877</v>
      </c>
      <c r="AE19" s="9">
        <f>IF('Upto Month Current'!$C$19="",0,'Upto Month Current'!$C$19)</f>
        <v>4264</v>
      </c>
      <c r="AF19" s="9">
        <f>IF('Upto Month Current'!$C$20="",0,'Upto Month Current'!$C$20)</f>
        <v>1215</v>
      </c>
      <c r="AG19" s="9">
        <f>IF('Upto Month Current'!$C$22="",0,'Upto Month Current'!$C$22)</f>
        <v>46250</v>
      </c>
      <c r="AH19" s="9">
        <f>IF('Upto Month Current'!$C$23="",0,'Upto Month Current'!$C$23)</f>
        <v>0</v>
      </c>
      <c r="AI19" s="9">
        <f>IF('Upto Month Current'!$C$24="",0,'Upto Month Current'!$C$24)</f>
        <v>423</v>
      </c>
      <c r="AJ19" s="9">
        <f>IF('Upto Month Current'!$C$25="",0,'Upto Month Current'!$C$25)</f>
        <v>450</v>
      </c>
      <c r="AK19" s="9">
        <f>IF('Upto Month Current'!$C$28="",0,'Upto Month Current'!$C$28)</f>
        <v>129942</v>
      </c>
      <c r="AL19" s="9">
        <f>IF('Upto Month Current'!$C$29="",0,'Upto Month Current'!$C$29)</f>
        <v>233166</v>
      </c>
      <c r="AM19" s="9">
        <f>IF('Upto Month Current'!$C$31="",0,'Upto Month Current'!$C$31)</f>
        <v>0</v>
      </c>
      <c r="AN19" s="9">
        <f>IF('Upto Month Current'!$C$32="",0,'Upto Month Current'!$C$32)</f>
        <v>205370</v>
      </c>
      <c r="AO19" s="9">
        <f>IF('Upto Month Current'!$C$33="",0,'Upto Month Current'!$C$33)</f>
        <v>1119283</v>
      </c>
      <c r="AP19" s="9">
        <f>IF('Upto Month Current'!$C$34="",0,'Upto Month Current'!$C$34)</f>
        <v>253928</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531</v>
      </c>
      <c r="AX19" s="9">
        <f>IF('Upto Month Current'!$C$46="",0,'Upto Month Current'!$C$46)</f>
        <v>1237</v>
      </c>
      <c r="AY19" s="9">
        <f>IF('Upto Month Current'!$C$47="",0,'Upto Month Current'!$C$47)</f>
        <v>182</v>
      </c>
      <c r="AZ19" s="9">
        <f>IF('Upto Month Current'!$C$49="",0,'Upto Month Current'!$C$49)</f>
        <v>0</v>
      </c>
      <c r="BA19" s="9">
        <f>IF('Upto Month Current'!$C$50="",0,'Upto Month Current'!$C$50)</f>
        <v>0</v>
      </c>
      <c r="BB19" s="9">
        <f>IF('Upto Month Current'!$C$52="",0,'Upto Month Current'!$C$52)</f>
        <v>0</v>
      </c>
      <c r="BC19" s="9">
        <f>IF('Upto Month Current'!$C$53="",0,'Upto Month Current'!$C$53)</f>
        <v>63332</v>
      </c>
      <c r="BD19" s="9">
        <f>IF('Upto Month Current'!$C$54="",0,'Upto Month Current'!$C$54)</f>
        <v>63332</v>
      </c>
      <c r="BE19" s="9">
        <f>IF('Upto Month Current'!$C$55="",0,'Upto Month Current'!$C$55)</f>
        <v>0</v>
      </c>
      <c r="BF19" s="9">
        <f>IF('Upto Month Current'!$C$56="",0,'Upto Month Current'!$C$56)</f>
        <v>18648</v>
      </c>
      <c r="BG19" s="9">
        <f>IF('Upto Month Current'!$C$58="",0,'Upto Month Current'!$C$58)</f>
        <v>14558</v>
      </c>
      <c r="BH19" s="9">
        <f>SUM(AE19:BG19)</f>
        <v>2156111</v>
      </c>
      <c r="BI19" s="275">
        <f>AD19+BH19</f>
        <v>11375988</v>
      </c>
      <c r="BJ19" s="9">
        <f>IF('Upto Month Current'!$C$60="",0,'Upto Month Current'!$C$60)</f>
        <v>57965</v>
      </c>
      <c r="BK19" s="49">
        <f t="shared" si="31"/>
        <v>11318023</v>
      </c>
      <c r="BL19">
        <f>'Upto Month Current'!$C$61</f>
        <v>11318024</v>
      </c>
      <c r="BM19" s="30">
        <f t="shared" si="32"/>
        <v>2098146</v>
      </c>
    </row>
    <row r="20" spans="1:65">
      <c r="A20" s="128"/>
      <c r="B20" s="5" t="s">
        <v>130</v>
      </c>
      <c r="C20" s="11">
        <f>C19-C17</f>
        <v>287335</v>
      </c>
      <c r="D20" s="11">
        <f t="shared" ref="D20" si="33">D19-D17</f>
        <v>-30795</v>
      </c>
      <c r="E20" s="11">
        <f t="shared" ref="E20" si="34">E19-E17</f>
        <v>-19682</v>
      </c>
      <c r="F20" s="11">
        <f t="shared" ref="F20" si="35">F19-F17</f>
        <v>25678</v>
      </c>
      <c r="G20" s="11">
        <f t="shared" ref="G20" si="36">G19-G17</f>
        <v>14417</v>
      </c>
      <c r="H20" s="11">
        <f t="shared" ref="H20" si="37">H19-H17</f>
        <v>0</v>
      </c>
      <c r="I20" s="11">
        <f t="shared" ref="I20" si="38">I19-I17</f>
        <v>0</v>
      </c>
      <c r="J20" s="11">
        <f t="shared" ref="J20" si="39">J19-J17</f>
        <v>0</v>
      </c>
      <c r="K20" s="11">
        <f t="shared" ref="K20" si="40">K19-K17</f>
        <v>62</v>
      </c>
      <c r="L20" s="11">
        <f t="shared" ref="L20" si="41">L19-L17</f>
        <v>7159</v>
      </c>
      <c r="M20" s="11">
        <f t="shared" ref="M20" si="42">M19-M17</f>
        <v>35755</v>
      </c>
      <c r="N20" s="11">
        <f t="shared" ref="N20" si="43">N19-N17</f>
        <v>-224</v>
      </c>
      <c r="O20" s="11">
        <f t="shared" ref="O20" si="44">O19-O17</f>
        <v>-1431</v>
      </c>
      <c r="P20" s="11">
        <f t="shared" ref="P20" si="45">P19-P17</f>
        <v>29093</v>
      </c>
      <c r="Q20" s="11">
        <f t="shared" ref="Q20" si="46">Q19-Q17</f>
        <v>0</v>
      </c>
      <c r="R20" s="11">
        <f t="shared" ref="R20" si="47">R19-R17</f>
        <v>-270</v>
      </c>
      <c r="S20" s="11">
        <f t="shared" ref="S20" si="48">S19-S17</f>
        <v>0</v>
      </c>
      <c r="T20" s="11">
        <f t="shared" ref="T20:U20" si="49">T19-T17</f>
        <v>0</v>
      </c>
      <c r="U20" s="11">
        <f t="shared" si="49"/>
        <v>0</v>
      </c>
      <c r="V20" s="9">
        <f t="shared" ref="V20" si="50">V19-V17</f>
        <v>0</v>
      </c>
      <c r="W20" s="11">
        <f t="shared" ref="W20" si="51">W19-W17</f>
        <v>0</v>
      </c>
      <c r="X20" s="11">
        <f t="shared" ref="X20" si="52">X19-X17</f>
        <v>0</v>
      </c>
      <c r="Y20" s="11">
        <f t="shared" ref="Y20" si="53">Y19-Y17</f>
        <v>-4658</v>
      </c>
      <c r="Z20" s="11">
        <f t="shared" ref="Z20" si="54">Z19-Z17</f>
        <v>-3309</v>
      </c>
      <c r="AA20" s="11">
        <f t="shared" ref="AA20:AD20" si="55">AA19-AA17</f>
        <v>-787</v>
      </c>
      <c r="AB20" s="11">
        <f t="shared" ref="AB20" si="56">AB19-AB17</f>
        <v>-6681</v>
      </c>
      <c r="AC20" s="9">
        <f t="shared" si="55"/>
        <v>0</v>
      </c>
      <c r="AD20" s="216">
        <f t="shared" si="55"/>
        <v>331662</v>
      </c>
      <c r="AE20" s="11">
        <f t="shared" ref="AE20" si="57">AE19-AE17</f>
        <v>118</v>
      </c>
      <c r="AF20" s="11">
        <f t="shared" ref="AF20" si="58">AF19-AF17</f>
        <v>666</v>
      </c>
      <c r="AG20" s="11">
        <f t="shared" ref="AG20" si="59">AG19-AG17</f>
        <v>8654</v>
      </c>
      <c r="AH20" s="11">
        <f t="shared" ref="AH20" si="60">AH19-AH17</f>
        <v>0</v>
      </c>
      <c r="AI20" s="11">
        <f t="shared" ref="AI20" si="61">AI19-AI17</f>
        <v>423</v>
      </c>
      <c r="AJ20" s="11">
        <f t="shared" ref="AJ20" si="62">AJ19-AJ17</f>
        <v>308</v>
      </c>
      <c r="AK20" s="11">
        <f t="shared" ref="AK20" si="63">AK19-AK17</f>
        <v>44946</v>
      </c>
      <c r="AL20" s="11">
        <f t="shared" ref="AL20" si="64">AL19-AL17</f>
        <v>-64970</v>
      </c>
      <c r="AM20" s="11">
        <f t="shared" ref="AM20" si="65">AM19-AM17</f>
        <v>0</v>
      </c>
      <c r="AN20" s="11">
        <f t="shared" ref="AN20" si="66">AN19-AN17</f>
        <v>-15302</v>
      </c>
      <c r="AO20" s="9">
        <f t="shared" ref="AO20" si="67">AO19-AO17</f>
        <v>51942</v>
      </c>
      <c r="AP20" s="11">
        <f t="shared" ref="AP20" si="68">AP19-AP17</f>
        <v>21710</v>
      </c>
      <c r="AQ20" s="9">
        <f t="shared" ref="AQ20" si="69">AQ19-AQ17</f>
        <v>0</v>
      </c>
      <c r="AR20" s="11">
        <f t="shared" ref="AR20" si="70">AR19-AR17</f>
        <v>0</v>
      </c>
      <c r="AS20" s="11">
        <f t="shared" ref="AS20" si="71">AS19-AS17</f>
        <v>0</v>
      </c>
      <c r="AT20" s="11">
        <f t="shared" ref="AT20" si="72">AT19-AT17</f>
        <v>0</v>
      </c>
      <c r="AU20" s="11">
        <f t="shared" ref="AU20" si="73">AU19-AU17</f>
        <v>0</v>
      </c>
      <c r="AV20" s="11">
        <f t="shared" ref="AV20" si="74">AV19-AV17</f>
        <v>0</v>
      </c>
      <c r="AW20" s="11">
        <f t="shared" ref="AW20" si="75">AW19-AW17</f>
        <v>-807</v>
      </c>
      <c r="AX20" s="11">
        <f t="shared" ref="AX20" si="76">AX19-AX17</f>
        <v>-840</v>
      </c>
      <c r="AY20" s="11">
        <f t="shared" ref="AY20" si="77">AY19-AY17</f>
        <v>44</v>
      </c>
      <c r="AZ20" s="11">
        <f t="shared" ref="AZ20" si="78">AZ19-AZ17</f>
        <v>0</v>
      </c>
      <c r="BA20" s="11">
        <f t="shared" ref="BA20" si="79">BA19-BA17</f>
        <v>0</v>
      </c>
      <c r="BB20" s="9">
        <f t="shared" ref="BB20" si="80">BB19-BB17</f>
        <v>0</v>
      </c>
      <c r="BC20" s="11">
        <f t="shared" ref="BC20" si="81">BC19-BC17</f>
        <v>4238</v>
      </c>
      <c r="BD20" s="11">
        <f t="shared" ref="BD20" si="82">BD19-BD17</f>
        <v>4817</v>
      </c>
      <c r="BE20" s="11">
        <f t="shared" ref="BE20" si="83">BE19-BE17</f>
        <v>0</v>
      </c>
      <c r="BF20" s="11">
        <f t="shared" ref="BF20" si="84">BF19-BF17</f>
        <v>-5287</v>
      </c>
      <c r="BG20" s="11">
        <f t="shared" ref="BG20:BH20" si="85">BG19-BG17</f>
        <v>8684</v>
      </c>
      <c r="BH20" s="9">
        <f t="shared" si="85"/>
        <v>59344</v>
      </c>
      <c r="BI20" s="9">
        <f t="shared" ref="BI20" si="86">BI19-BI17</f>
        <v>391006</v>
      </c>
      <c r="BJ20" s="11">
        <f t="shared" ref="BJ20:BK20" si="87">BJ19-BJ17</f>
        <v>-7063</v>
      </c>
      <c r="BK20" s="49">
        <f t="shared" si="87"/>
        <v>398069</v>
      </c>
      <c r="BM20" s="30">
        <f t="shared" si="32"/>
        <v>66407</v>
      </c>
    </row>
    <row r="21" spans="1:65">
      <c r="A21" s="128"/>
      <c r="B21" s="5" t="s">
        <v>131</v>
      </c>
      <c r="C21" s="13">
        <f>C20/C17</f>
        <v>5.996901526091275E-2</v>
      </c>
      <c r="D21" s="13">
        <f t="shared" ref="D21" si="88">D20/D17</f>
        <v>-1.4306434109103342E-2</v>
      </c>
      <c r="E21" s="13">
        <f t="shared" ref="E21" si="89">E20/E17</f>
        <v>-7.1593819113025259E-2</v>
      </c>
      <c r="F21" s="13">
        <f t="shared" ref="F21" si="90">F20/F17</f>
        <v>6.6045088028395427E-2</v>
      </c>
      <c r="G21" s="13">
        <f t="shared" ref="G21" si="91">G20/G17</f>
        <v>4.1908056334752843E-2</v>
      </c>
      <c r="H21" s="13" t="e">
        <f t="shared" ref="H21" si="92">H20/H17</f>
        <v>#DIV/0!</v>
      </c>
      <c r="I21" s="13" t="e">
        <f t="shared" ref="I21" si="93">I20/I17</f>
        <v>#DIV/0!</v>
      </c>
      <c r="J21" s="13" t="e">
        <f t="shared" ref="J21" si="94">J20/J17</f>
        <v>#DIV/0!</v>
      </c>
      <c r="K21" s="13" t="e">
        <f t="shared" ref="K21" si="95">K20/K17</f>
        <v>#DIV/0!</v>
      </c>
      <c r="L21" s="13">
        <f t="shared" ref="L21" si="96">L20/L17</f>
        <v>6.5945099484156222E-2</v>
      </c>
      <c r="M21" s="13">
        <f t="shared" ref="M21" si="97">M20/M17</f>
        <v>7.7965887334877165E-2</v>
      </c>
      <c r="N21" s="13">
        <f t="shared" ref="N21" si="98">N20/N17</f>
        <v>-0.4332688588007737</v>
      </c>
      <c r="O21" s="13">
        <f t="shared" ref="O21" si="99">O20/O17</f>
        <v>-0.14789169078131459</v>
      </c>
      <c r="P21" s="13">
        <f t="shared" ref="P21" si="100">P20/P17</f>
        <v>8.8414059698408168E-2</v>
      </c>
      <c r="Q21" s="13" t="e">
        <f t="shared" ref="Q21" si="101">Q20/Q17</f>
        <v>#DIV/0!</v>
      </c>
      <c r="R21" s="13">
        <f t="shared" ref="R21" si="102">R20/R17</f>
        <v>-3.2585083272990589E-2</v>
      </c>
      <c r="S21" s="13" t="e">
        <f t="shared" ref="S21" si="103">S20/S17</f>
        <v>#DIV/0!</v>
      </c>
      <c r="T21" s="13" t="e">
        <f t="shared" ref="T21:U21" si="104">T20/T17</f>
        <v>#DIV/0!</v>
      </c>
      <c r="U21" s="13" t="e">
        <f t="shared" si="104"/>
        <v>#DIV/0!</v>
      </c>
      <c r="V21" s="160" t="e">
        <f t="shared" ref="V21" si="105">V20/V17</f>
        <v>#DIV/0!</v>
      </c>
      <c r="W21" s="13" t="e">
        <f t="shared" ref="W21" si="106">W20/W17</f>
        <v>#DIV/0!</v>
      </c>
      <c r="X21" s="13" t="e">
        <f t="shared" ref="X21" si="107">X20/X17</f>
        <v>#DIV/0!</v>
      </c>
      <c r="Y21" s="13">
        <f t="shared" ref="Y21" si="108">Y20/Y17</f>
        <v>-0.56269630345494082</v>
      </c>
      <c r="Z21" s="13">
        <f t="shared" ref="Z21" si="109">Z20/Z17</f>
        <v>-0.74109742441209403</v>
      </c>
      <c r="AA21" s="13">
        <f t="shared" ref="AA21:AD21" si="110">AA20/AA17</f>
        <v>-0.3200488003253355</v>
      </c>
      <c r="AB21" s="13">
        <f t="shared" ref="AB21" si="111">AB20/AB17</f>
        <v>-1</v>
      </c>
      <c r="AC21" s="160" t="e">
        <f t="shared" si="110"/>
        <v>#DIV/0!</v>
      </c>
      <c r="AD21" s="217">
        <f t="shared" si="110"/>
        <v>3.7314803928572837E-2</v>
      </c>
      <c r="AE21" s="13">
        <f t="shared" ref="AE21" si="112">AE20/AE17</f>
        <v>2.8461167390255667E-2</v>
      </c>
      <c r="AF21" s="13">
        <f t="shared" ref="AF21" si="113">AF20/AF17</f>
        <v>1.2131147540983607</v>
      </c>
      <c r="AG21" s="13">
        <f t="shared" ref="AG21" si="114">AG20/AG17</f>
        <v>0.23018406213426959</v>
      </c>
      <c r="AH21" s="13" t="e">
        <f t="shared" ref="AH21" si="115">AH20/AH17</f>
        <v>#DIV/0!</v>
      </c>
      <c r="AI21" s="13" t="e">
        <f t="shared" ref="AI21" si="116">AI20/AI17</f>
        <v>#DIV/0!</v>
      </c>
      <c r="AJ21" s="13">
        <f t="shared" ref="AJ21" si="117">AJ20/AJ17</f>
        <v>2.1690140845070425</v>
      </c>
      <c r="AK21" s="13">
        <f t="shared" ref="AK21" si="118">AK20/AK17</f>
        <v>0.52880135535789918</v>
      </c>
      <c r="AL21" s="13">
        <f t="shared" ref="AL21" si="119">AL20/AL17</f>
        <v>-0.21792068049480773</v>
      </c>
      <c r="AM21" s="13" t="e">
        <f t="shared" ref="AM21" si="120">AM20/AM17</f>
        <v>#DIV/0!</v>
      </c>
      <c r="AN21" s="13">
        <f t="shared" ref="AN21" si="121">AN20/AN17</f>
        <v>-6.9342734918793503E-2</v>
      </c>
      <c r="AO21" s="160">
        <f t="shared" ref="AO21" si="122">AO20/AO17</f>
        <v>4.8664859684018506E-2</v>
      </c>
      <c r="AP21" s="13">
        <f t="shared" ref="AP21" si="123">AP20/AP17</f>
        <v>9.3489738090931793E-2</v>
      </c>
      <c r="AQ21" s="160" t="e">
        <f t="shared" ref="AQ21" si="124">AQ20/AQ17</f>
        <v>#DIV/0!</v>
      </c>
      <c r="AR21" s="13" t="e">
        <f t="shared" ref="AR21" si="125">AR20/AR17</f>
        <v>#DIV/0!</v>
      </c>
      <c r="AS21" s="13" t="e">
        <f t="shared" ref="AS21" si="126">AS20/AS17</f>
        <v>#DIV/0!</v>
      </c>
      <c r="AT21" s="13" t="e">
        <f t="shared" ref="AT21" si="127">AT20/AT17</f>
        <v>#DIV/0!</v>
      </c>
      <c r="AU21" s="13" t="e">
        <f t="shared" ref="AU21" si="128">AU20/AU17</f>
        <v>#DIV/0!</v>
      </c>
      <c r="AV21" s="13" t="e">
        <f t="shared" ref="AV21" si="129">AV20/AV17</f>
        <v>#DIV/0!</v>
      </c>
      <c r="AW21" s="13">
        <f t="shared" ref="AW21" si="130">AW20/AW17</f>
        <v>-0.60313901345291476</v>
      </c>
      <c r="AX21" s="13">
        <f t="shared" ref="AX21" si="131">AX20/AX17</f>
        <v>-0.40442946557534903</v>
      </c>
      <c r="AY21" s="13">
        <f t="shared" ref="AY21" si="132">AY20/AY17</f>
        <v>0.3188405797101449</v>
      </c>
      <c r="AZ21" s="13" t="e">
        <f t="shared" ref="AZ21" si="133">AZ20/AZ17</f>
        <v>#DIV/0!</v>
      </c>
      <c r="BA21" s="13" t="e">
        <f t="shared" ref="BA21" si="134">BA20/BA17</f>
        <v>#DIV/0!</v>
      </c>
      <c r="BB21" s="160" t="e">
        <f t="shared" ref="BB21" si="135">BB20/BB17</f>
        <v>#DIV/0!</v>
      </c>
      <c r="BC21" s="13">
        <f t="shared" ref="BC21" si="136">BC20/BC17</f>
        <v>7.1716248688530132E-2</v>
      </c>
      <c r="BD21" s="13">
        <f t="shared" ref="BD21" si="137">BD20/BD17</f>
        <v>8.2320772451508165E-2</v>
      </c>
      <c r="BE21" s="13" t="e">
        <f t="shared" ref="BE21" si="138">BE20/BE17</f>
        <v>#DIV/0!</v>
      </c>
      <c r="BF21" s="13">
        <f t="shared" ref="BF21" si="139">BF20/BF17</f>
        <v>-0.22088991017338624</v>
      </c>
      <c r="BG21" s="13">
        <f t="shared" ref="BG21:BH21" si="140">BG20/BG17</f>
        <v>1.4783792986040176</v>
      </c>
      <c r="BH21" s="160">
        <f t="shared" si="140"/>
        <v>2.8302620176681528E-2</v>
      </c>
      <c r="BI21" s="160">
        <f t="shared" ref="BI21" si="141">BI20/BI17</f>
        <v>3.5594596331609829E-2</v>
      </c>
      <c r="BJ21" s="13">
        <f t="shared" ref="BJ21:BK21" si="142">BJ20/BJ17</f>
        <v>-0.10861475056898567</v>
      </c>
      <c r="BK21" s="50">
        <f t="shared" si="142"/>
        <v>3.6453358686309487E-2</v>
      </c>
      <c r="BM21" s="160" t="e">
        <f t="shared" ref="BM21" si="143">BM20/BM17</f>
        <v>#DIV/0!</v>
      </c>
    </row>
    <row r="22" spans="1:65">
      <c r="A22" s="128"/>
      <c r="B22" s="5" t="s">
        <v>132</v>
      </c>
      <c r="C22" s="11">
        <f>C19-C18</f>
        <v>461098</v>
      </c>
      <c r="D22" s="11">
        <f t="shared" ref="D22:BK22" si="144">D19-D18</f>
        <v>525811</v>
      </c>
      <c r="E22" s="11">
        <f t="shared" si="144"/>
        <v>-881</v>
      </c>
      <c r="F22" s="11">
        <f t="shared" si="144"/>
        <v>45855</v>
      </c>
      <c r="G22" s="11">
        <f t="shared" si="144"/>
        <v>46065</v>
      </c>
      <c r="H22" s="11">
        <f t="shared" si="144"/>
        <v>0</v>
      </c>
      <c r="I22" s="11">
        <f t="shared" si="144"/>
        <v>0</v>
      </c>
      <c r="J22" s="11">
        <f t="shared" si="144"/>
        <v>0</v>
      </c>
      <c r="K22" s="11">
        <f t="shared" si="144"/>
        <v>-25</v>
      </c>
      <c r="L22" s="11">
        <f t="shared" si="144"/>
        <v>38119</v>
      </c>
      <c r="M22" s="11">
        <f t="shared" si="144"/>
        <v>64385</v>
      </c>
      <c r="N22" s="11">
        <f t="shared" si="144"/>
        <v>-217</v>
      </c>
      <c r="O22" s="11">
        <f t="shared" si="144"/>
        <v>1312</v>
      </c>
      <c r="P22" s="11">
        <f t="shared" si="144"/>
        <v>38298</v>
      </c>
      <c r="Q22" s="11">
        <f t="shared" si="144"/>
        <v>0</v>
      </c>
      <c r="R22" s="11">
        <f t="shared" si="144"/>
        <v>838</v>
      </c>
      <c r="S22" s="11">
        <f t="shared" si="144"/>
        <v>0</v>
      </c>
      <c r="T22" s="11">
        <f t="shared" si="144"/>
        <v>0</v>
      </c>
      <c r="U22" s="11">
        <f t="shared" ref="U22" si="145">U19-U18</f>
        <v>0</v>
      </c>
      <c r="V22" s="9">
        <f t="shared" si="144"/>
        <v>0</v>
      </c>
      <c r="W22" s="11">
        <f t="shared" si="144"/>
        <v>0</v>
      </c>
      <c r="X22" s="11">
        <f t="shared" si="144"/>
        <v>0</v>
      </c>
      <c r="Y22" s="11">
        <f t="shared" si="144"/>
        <v>-6095</v>
      </c>
      <c r="Z22" s="11">
        <f t="shared" si="144"/>
        <v>-6529</v>
      </c>
      <c r="AA22" s="11">
        <f t="shared" si="144"/>
        <v>-166</v>
      </c>
      <c r="AB22" s="11">
        <f t="shared" ref="AB22" si="146">AB19-AB18</f>
        <v>-52</v>
      </c>
      <c r="AC22" s="9">
        <f t="shared" ref="AC22:AD22" si="147">AC19-AC18</f>
        <v>0</v>
      </c>
      <c r="AD22" s="216">
        <f t="shared" si="147"/>
        <v>1207816</v>
      </c>
      <c r="AE22" s="11">
        <f t="shared" si="144"/>
        <v>371</v>
      </c>
      <c r="AF22" s="11">
        <f t="shared" si="144"/>
        <v>598</v>
      </c>
      <c r="AG22" s="11">
        <f t="shared" si="144"/>
        <v>9376</v>
      </c>
      <c r="AH22" s="11">
        <f t="shared" si="144"/>
        <v>0</v>
      </c>
      <c r="AI22" s="11">
        <f t="shared" si="144"/>
        <v>423</v>
      </c>
      <c r="AJ22" s="11">
        <f t="shared" si="144"/>
        <v>286</v>
      </c>
      <c r="AK22" s="11">
        <f t="shared" si="144"/>
        <v>49197</v>
      </c>
      <c r="AL22" s="11">
        <f t="shared" si="144"/>
        <v>-120946</v>
      </c>
      <c r="AM22" s="11">
        <f t="shared" si="144"/>
        <v>0</v>
      </c>
      <c r="AN22" s="11">
        <f t="shared" si="144"/>
        <v>-4322</v>
      </c>
      <c r="AO22" s="9">
        <f t="shared" si="144"/>
        <v>128103</v>
      </c>
      <c r="AP22" s="11">
        <f t="shared" si="144"/>
        <v>16363</v>
      </c>
      <c r="AQ22" s="9">
        <f t="shared" si="144"/>
        <v>0</v>
      </c>
      <c r="AR22" s="11">
        <f t="shared" si="144"/>
        <v>0</v>
      </c>
      <c r="AS22" s="11">
        <f t="shared" si="144"/>
        <v>0</v>
      </c>
      <c r="AT22" s="11">
        <f t="shared" si="144"/>
        <v>0</v>
      </c>
      <c r="AU22" s="11">
        <f t="shared" si="144"/>
        <v>0</v>
      </c>
      <c r="AV22" s="11">
        <f t="shared" si="144"/>
        <v>0</v>
      </c>
      <c r="AW22" s="11">
        <f t="shared" si="144"/>
        <v>-416</v>
      </c>
      <c r="AX22" s="11">
        <f t="shared" si="144"/>
        <v>710</v>
      </c>
      <c r="AY22" s="11">
        <f t="shared" si="144"/>
        <v>62</v>
      </c>
      <c r="AZ22" s="11">
        <f t="shared" si="144"/>
        <v>0</v>
      </c>
      <c r="BA22" s="11">
        <f t="shared" si="144"/>
        <v>0</v>
      </c>
      <c r="BB22" s="9">
        <f t="shared" si="144"/>
        <v>0</v>
      </c>
      <c r="BC22" s="11">
        <f t="shared" si="144"/>
        <v>9114</v>
      </c>
      <c r="BD22" s="11">
        <f t="shared" si="144"/>
        <v>9537</v>
      </c>
      <c r="BE22" s="11">
        <f t="shared" si="144"/>
        <v>0</v>
      </c>
      <c r="BF22" s="11">
        <f t="shared" si="144"/>
        <v>2911</v>
      </c>
      <c r="BG22" s="11">
        <f t="shared" si="144"/>
        <v>7556</v>
      </c>
      <c r="BH22" s="9">
        <f t="shared" si="144"/>
        <v>108923</v>
      </c>
      <c r="BI22" s="9">
        <f t="shared" si="144"/>
        <v>1316739</v>
      </c>
      <c r="BJ22" s="11">
        <f t="shared" si="144"/>
        <v>-130114</v>
      </c>
      <c r="BK22" s="49">
        <f t="shared" si="144"/>
        <v>1446853</v>
      </c>
      <c r="BM22" s="30">
        <f t="shared" si="32"/>
        <v>239037</v>
      </c>
    </row>
    <row r="23" spans="1:65">
      <c r="A23" s="128"/>
      <c r="B23" s="5" t="s">
        <v>133</v>
      </c>
      <c r="C23" s="13">
        <f>C22/C18</f>
        <v>9.9856029979028191E-2</v>
      </c>
      <c r="D23" s="13">
        <f t="shared" ref="D23" si="148">D22/D18</f>
        <v>0.32947161578072109</v>
      </c>
      <c r="E23" s="13">
        <f t="shared" ref="E23" si="149">E22/E18</f>
        <v>-3.4399147244749346E-3</v>
      </c>
      <c r="F23" s="13">
        <f t="shared" ref="F23" si="150">F22/F18</f>
        <v>0.12439707230791767</v>
      </c>
      <c r="G23" s="13">
        <f t="shared" ref="G23" si="151">G22/G18</f>
        <v>0.14747076355696984</v>
      </c>
      <c r="H23" s="13" t="e">
        <f t="shared" ref="H23" si="152">H22/H18</f>
        <v>#DIV/0!</v>
      </c>
      <c r="I23" s="13" t="e">
        <f t="shared" ref="I23" si="153">I22/I18</f>
        <v>#DIV/0!</v>
      </c>
      <c r="J23" s="13" t="e">
        <f t="shared" ref="J23" si="154">J22/J18</f>
        <v>#DIV/0!</v>
      </c>
      <c r="K23" s="13">
        <f t="shared" ref="K23" si="155">K22/K18</f>
        <v>-0.28735632183908044</v>
      </c>
      <c r="L23" s="13">
        <f t="shared" ref="L23" si="156">L22/L18</f>
        <v>0.4912242268041237</v>
      </c>
      <c r="M23" s="13">
        <f t="shared" ref="M23" si="157">M22/M18</f>
        <v>0.14974370185688238</v>
      </c>
      <c r="N23" s="13">
        <f t="shared" ref="N23" si="158">N22/N18</f>
        <v>-0.42549019607843136</v>
      </c>
      <c r="O23" s="13">
        <f t="shared" ref="O23" si="159">O22/O18</f>
        <v>0.18923986730131256</v>
      </c>
      <c r="P23" s="13">
        <f t="shared" ref="P23" si="160">P22/P18</f>
        <v>0.11973775125137175</v>
      </c>
      <c r="Q23" s="13" t="e">
        <f t="shared" ref="Q23" si="161">Q22/Q18</f>
        <v>#DIV/0!</v>
      </c>
      <c r="R23" s="13">
        <f t="shared" ref="R23" si="162">R22/R18</f>
        <v>0.11674561159097241</v>
      </c>
      <c r="S23" s="13" t="e">
        <f t="shared" ref="S23" si="163">S22/S18</f>
        <v>#DIV/0!</v>
      </c>
      <c r="T23" s="13" t="e">
        <f t="shared" ref="T23:U23" si="164">T22/T18</f>
        <v>#DIV/0!</v>
      </c>
      <c r="U23" s="13" t="e">
        <f t="shared" si="164"/>
        <v>#DIV/0!</v>
      </c>
      <c r="V23" s="160" t="e">
        <f t="shared" ref="V23" si="165">V22/V18</f>
        <v>#DIV/0!</v>
      </c>
      <c r="W23" s="13" t="e">
        <f t="shared" ref="W23" si="166">W22/W18</f>
        <v>#DIV/0!</v>
      </c>
      <c r="X23" s="13" t="e">
        <f t="shared" ref="X23" si="167">X22/X18</f>
        <v>#DIV/0!</v>
      </c>
      <c r="Y23" s="13">
        <f t="shared" ref="Y23" si="168">Y22/Y18</f>
        <v>-0.62738033968090579</v>
      </c>
      <c r="Z23" s="13">
        <f t="shared" ref="Z23" si="169">Z22/Z18</f>
        <v>-0.84957709824333116</v>
      </c>
      <c r="AA23" s="13">
        <f t="shared" ref="AA23:AD23" si="170">AA22/AA18</f>
        <v>-9.0315560391730138E-2</v>
      </c>
      <c r="AB23" s="13">
        <f t="shared" ref="AB23" si="171">AB22/AB18</f>
        <v>-1</v>
      </c>
      <c r="AC23" s="160" t="e">
        <f t="shared" si="170"/>
        <v>#DIV/0!</v>
      </c>
      <c r="AD23" s="217">
        <f t="shared" si="170"/>
        <v>0.15074972594442304</v>
      </c>
      <c r="AE23" s="13">
        <f t="shared" ref="AE23" si="172">AE22/AE18</f>
        <v>9.5299255073208328E-2</v>
      </c>
      <c r="AF23" s="13">
        <f t="shared" ref="AF23" si="173">AF22/AF18</f>
        <v>0.9692058346839546</v>
      </c>
      <c r="AG23" s="13">
        <f t="shared" ref="AG23" si="174">AG22/AG18</f>
        <v>0.25427130227260403</v>
      </c>
      <c r="AH23" s="13" t="e">
        <f t="shared" ref="AH23" si="175">AH22/AH18</f>
        <v>#DIV/0!</v>
      </c>
      <c r="AI23" s="13" t="e">
        <f t="shared" ref="AI23" si="176">AI22/AI18</f>
        <v>#DIV/0!</v>
      </c>
      <c r="AJ23" s="13">
        <f t="shared" ref="AJ23" si="177">AJ22/AJ18</f>
        <v>1.7439024390243902</v>
      </c>
      <c r="AK23" s="13">
        <f t="shared" ref="AK23" si="178">AK22/AK18</f>
        <v>0.60928850083596509</v>
      </c>
      <c r="AL23" s="13">
        <f t="shared" ref="AL23" si="179">AL22/AL18</f>
        <v>-0.34154730706669079</v>
      </c>
      <c r="AM23" s="13" t="e">
        <f t="shared" ref="AM23" si="180">AM22/AM18</f>
        <v>#DIV/0!</v>
      </c>
      <c r="AN23" s="13">
        <f t="shared" ref="AN23" si="181">AN22/AN18</f>
        <v>-2.0611182114720638E-2</v>
      </c>
      <c r="AO23" s="160">
        <f t="shared" ref="AO23" si="182">AO22/AO18</f>
        <v>0.1292429225771303</v>
      </c>
      <c r="AP23" s="13">
        <f t="shared" ref="AP23" si="183">AP22/AP18</f>
        <v>6.8877991286595247E-2</v>
      </c>
      <c r="AQ23" s="160" t="e">
        <f t="shared" ref="AQ23" si="184">AQ22/AQ18</f>
        <v>#DIV/0!</v>
      </c>
      <c r="AR23" s="13" t="e">
        <f t="shared" ref="AR23" si="185">AR22/AR18</f>
        <v>#DIV/0!</v>
      </c>
      <c r="AS23" s="13" t="e">
        <f t="shared" ref="AS23" si="186">AS22/AS18</f>
        <v>#DIV/0!</v>
      </c>
      <c r="AT23" s="13" t="e">
        <f t="shared" ref="AT23" si="187">AT22/AT18</f>
        <v>#DIV/0!</v>
      </c>
      <c r="AU23" s="13" t="e">
        <f t="shared" ref="AU23" si="188">AU22/AU18</f>
        <v>#DIV/0!</v>
      </c>
      <c r="AV23" s="13" t="e">
        <f t="shared" ref="AV23" si="189">AV22/AV18</f>
        <v>#DIV/0!</v>
      </c>
      <c r="AW23" s="13">
        <f t="shared" ref="AW23" si="190">AW22/AW18</f>
        <v>-0.43928194297782469</v>
      </c>
      <c r="AX23" s="13">
        <f t="shared" ref="AX23" si="191">AX22/AX18</f>
        <v>1.3472485768500948</v>
      </c>
      <c r="AY23" s="13">
        <f t="shared" ref="AY23" si="192">AY22/AY18</f>
        <v>0.51666666666666672</v>
      </c>
      <c r="AZ23" s="13" t="e">
        <f t="shared" ref="AZ23" si="193">AZ22/AZ18</f>
        <v>#DIV/0!</v>
      </c>
      <c r="BA23" s="13" t="e">
        <f t="shared" ref="BA23" si="194">BA22/BA18</f>
        <v>#DIV/0!</v>
      </c>
      <c r="BB23" s="160" t="e">
        <f t="shared" ref="BB23" si="195">BB22/BB18</f>
        <v>#DIV/0!</v>
      </c>
      <c r="BC23" s="13">
        <f t="shared" ref="BC23" si="196">BC22/BC18</f>
        <v>0.16809915526209007</v>
      </c>
      <c r="BD23" s="13">
        <f t="shared" ref="BD23" si="197">BD22/BD18</f>
        <v>0.17728413421321684</v>
      </c>
      <c r="BE23" s="13" t="e">
        <f t="shared" ref="BE23" si="198">BE22/BE18</f>
        <v>#DIV/0!</v>
      </c>
      <c r="BF23" s="13">
        <f t="shared" ref="BF23" si="199">BF22/BF18</f>
        <v>0.18497807714303871</v>
      </c>
      <c r="BG23" s="13">
        <f t="shared" ref="BG23:BH23" si="200">BG22/BG18</f>
        <v>1.0791202513567553</v>
      </c>
      <c r="BH23" s="160">
        <f t="shared" si="200"/>
        <v>5.3206154002465825E-2</v>
      </c>
      <c r="BI23" s="160">
        <f t="shared" ref="BI23" si="201">BI22/BI18</f>
        <v>0.13089834042282877</v>
      </c>
      <c r="BJ23" s="13">
        <f t="shared" ref="BJ23:BK23" si="202">BJ22/BJ18</f>
        <v>-0.69180503937175331</v>
      </c>
      <c r="BK23" s="50">
        <f t="shared" si="202"/>
        <v>0.14657360778914758</v>
      </c>
      <c r="BM23" s="14">
        <f t="shared" ref="BM23" si="203">BM22/BM18</f>
        <v>0.12857610823249202</v>
      </c>
    </row>
    <row r="24" spans="1:65">
      <c r="A24" s="128"/>
      <c r="B24" s="5" t="s">
        <v>340</v>
      </c>
      <c r="C24" s="126">
        <f t="shared" ref="C24:AI24" si="204">C19/C16</f>
        <v>0.96569460081233771</v>
      </c>
      <c r="D24" s="126">
        <f t="shared" si="204"/>
        <v>0.88215254012490552</v>
      </c>
      <c r="E24" s="126">
        <f t="shared" si="204"/>
        <v>0.92086606076568667</v>
      </c>
      <c r="F24" s="126">
        <f t="shared" si="204"/>
        <v>0.96815056013903034</v>
      </c>
      <c r="G24" s="126">
        <f t="shared" si="204"/>
        <v>0.94548888543037801</v>
      </c>
      <c r="H24" s="126" t="e">
        <f t="shared" si="204"/>
        <v>#DIV/0!</v>
      </c>
      <c r="I24" s="126" t="e">
        <f t="shared" si="204"/>
        <v>#DIV/0!</v>
      </c>
      <c r="J24" s="126" t="e">
        <f t="shared" si="204"/>
        <v>#DIV/0!</v>
      </c>
      <c r="K24" s="126" t="e">
        <f t="shared" si="204"/>
        <v>#DIV/0!</v>
      </c>
      <c r="L24" s="126">
        <f t="shared" si="204"/>
        <v>0.91297041420118341</v>
      </c>
      <c r="M24" s="126">
        <f t="shared" si="204"/>
        <v>0.98534989824657215</v>
      </c>
      <c r="N24" s="126">
        <f t="shared" si="204"/>
        <v>0.50604490500863553</v>
      </c>
      <c r="O24" s="126">
        <f t="shared" si="204"/>
        <v>0.69949944854500723</v>
      </c>
      <c r="P24" s="126">
        <f t="shared" si="204"/>
        <v>0.97318852000195644</v>
      </c>
      <c r="Q24" s="126" t="e">
        <f t="shared" si="204"/>
        <v>#DIV/0!</v>
      </c>
      <c r="R24" s="126">
        <f t="shared" si="204"/>
        <v>0.92350230414746548</v>
      </c>
      <c r="S24" s="126" t="e">
        <f t="shared" si="204"/>
        <v>#DIV/0!</v>
      </c>
      <c r="T24" s="126" t="e">
        <f t="shared" si="204"/>
        <v>#DIV/0!</v>
      </c>
      <c r="U24" s="126" t="e">
        <f t="shared" si="204"/>
        <v>#DIV/0!</v>
      </c>
      <c r="V24" s="175" t="e">
        <f t="shared" si="204"/>
        <v>#DIV/0!</v>
      </c>
      <c r="W24" s="126" t="e">
        <f t="shared" si="204"/>
        <v>#DIV/0!</v>
      </c>
      <c r="X24" s="126" t="e">
        <f t="shared" si="204"/>
        <v>#DIV/0!</v>
      </c>
      <c r="Y24" s="126">
        <f t="shared" si="204"/>
        <v>0.43730369654505918</v>
      </c>
      <c r="Z24" s="126">
        <f t="shared" si="204"/>
        <v>0.25890257558790591</v>
      </c>
      <c r="AA24" s="126">
        <f t="shared" si="204"/>
        <v>0.54855643044619418</v>
      </c>
      <c r="AB24" s="126">
        <f t="shared" ref="AB24" si="205">AB19/AB16</f>
        <v>0</v>
      </c>
      <c r="AC24" s="175" t="e">
        <f t="shared" si="204"/>
        <v>#DIV/0!</v>
      </c>
      <c r="AD24" s="218">
        <f t="shared" si="204"/>
        <v>0.94183672051756351</v>
      </c>
      <c r="AE24" s="126">
        <f t="shared" si="204"/>
        <v>0.94169611307420498</v>
      </c>
      <c r="AF24" s="126">
        <f t="shared" si="204"/>
        <v>1.728307254623044</v>
      </c>
      <c r="AG24" s="126">
        <f t="shared" si="204"/>
        <v>1.0325504554384712</v>
      </c>
      <c r="AH24" s="126" t="e">
        <f t="shared" si="204"/>
        <v>#DIV/0!</v>
      </c>
      <c r="AI24" s="126" t="e">
        <f t="shared" si="204"/>
        <v>#DIV/0!</v>
      </c>
      <c r="AJ24" s="126">
        <f t="shared" ref="AJ24:BK24" si="206">AJ19/AJ16</f>
        <v>2.7777777777777777</v>
      </c>
      <c r="AK24" s="126">
        <f t="shared" si="206"/>
        <v>1.2956367407171061</v>
      </c>
      <c r="AL24" s="126">
        <f t="shared" si="206"/>
        <v>0.69148507099728351</v>
      </c>
      <c r="AM24" s="126" t="e">
        <f t="shared" si="206"/>
        <v>#DIV/0!</v>
      </c>
      <c r="AN24" s="126">
        <f t="shared" si="206"/>
        <v>0.81543275072065557</v>
      </c>
      <c r="AO24" s="175">
        <f t="shared" si="206"/>
        <v>0.94760534046750255</v>
      </c>
      <c r="AP24" s="126">
        <f t="shared" si="206"/>
        <v>1.0255739188032116</v>
      </c>
      <c r="AQ24" s="175" t="e">
        <f t="shared" si="206"/>
        <v>#DIV/0!</v>
      </c>
      <c r="AR24" s="126" t="e">
        <f t="shared" si="206"/>
        <v>#DIV/0!</v>
      </c>
      <c r="AS24" s="126" t="e">
        <f t="shared" si="206"/>
        <v>#DIV/0!</v>
      </c>
      <c r="AT24" s="126" t="e">
        <f t="shared" si="206"/>
        <v>#DIV/0!</v>
      </c>
      <c r="AU24" s="126" t="e">
        <f t="shared" si="206"/>
        <v>#DIV/0!</v>
      </c>
      <c r="AV24" s="126">
        <f t="shared" si="206"/>
        <v>0</v>
      </c>
      <c r="AW24" s="126">
        <f t="shared" si="206"/>
        <v>0.29781267526640492</v>
      </c>
      <c r="AX24" s="126">
        <f t="shared" si="206"/>
        <v>0.53090128755364807</v>
      </c>
      <c r="AY24" s="126">
        <f t="shared" si="206"/>
        <v>1</v>
      </c>
      <c r="AZ24" s="126" t="e">
        <f t="shared" si="206"/>
        <v>#DIV/0!</v>
      </c>
      <c r="BA24" s="126" t="e">
        <f t="shared" si="206"/>
        <v>#DIV/0!</v>
      </c>
      <c r="BB24" s="175" t="e">
        <f t="shared" si="206"/>
        <v>#DIV/0!</v>
      </c>
      <c r="BC24" s="126">
        <f t="shared" si="206"/>
        <v>0.97175210593343875</v>
      </c>
      <c r="BD24" s="126">
        <f t="shared" si="206"/>
        <v>0.97906811365674185</v>
      </c>
      <c r="BE24" s="126" t="e">
        <f t="shared" si="206"/>
        <v>#DIV/0!</v>
      </c>
      <c r="BF24" s="126">
        <f t="shared" si="206"/>
        <v>0.644746395602116</v>
      </c>
      <c r="BG24" s="126">
        <f t="shared" si="206"/>
        <v>2.4783792986040178</v>
      </c>
      <c r="BH24" s="175">
        <f t="shared" si="206"/>
        <v>0.922501064287227</v>
      </c>
      <c r="BI24" s="175">
        <f t="shared" si="206"/>
        <v>0.93810999169834453</v>
      </c>
      <c r="BJ24" s="126">
        <f t="shared" si="206"/>
        <v>0.76777885213982011</v>
      </c>
      <c r="BK24" s="126">
        <f t="shared" si="206"/>
        <v>0.93917708074018758</v>
      </c>
      <c r="BM24" s="126" t="e">
        <f>BM19/BM16</f>
        <v>#DIV/0!</v>
      </c>
    </row>
    <row r="25" spans="1:65">
      <c r="A25" s="128"/>
      <c r="B25" s="5" t="s">
        <v>341</v>
      </c>
      <c r="C25" s="11">
        <f>C16-C19</f>
        <v>180417</v>
      </c>
      <c r="D25" s="11">
        <f t="shared" ref="D25:BL25" si="207">D16-D19</f>
        <v>283444</v>
      </c>
      <c r="E25" s="11">
        <f t="shared" si="207"/>
        <v>21933</v>
      </c>
      <c r="F25" s="11">
        <f t="shared" si="207"/>
        <v>13635</v>
      </c>
      <c r="G25" s="11">
        <f t="shared" si="207"/>
        <v>20665</v>
      </c>
      <c r="H25" s="11">
        <f t="shared" si="207"/>
        <v>0</v>
      </c>
      <c r="I25" s="11">
        <f t="shared" si="207"/>
        <v>0</v>
      </c>
      <c r="J25" s="11">
        <f t="shared" si="207"/>
        <v>0</v>
      </c>
      <c r="K25" s="11">
        <f t="shared" si="207"/>
        <v>-62</v>
      </c>
      <c r="L25" s="11">
        <f t="shared" si="207"/>
        <v>11031</v>
      </c>
      <c r="M25" s="11">
        <f t="shared" si="207"/>
        <v>7350</v>
      </c>
      <c r="N25" s="11">
        <f t="shared" si="207"/>
        <v>286</v>
      </c>
      <c r="O25" s="11">
        <f t="shared" si="207"/>
        <v>3542</v>
      </c>
      <c r="P25" s="11">
        <f t="shared" si="207"/>
        <v>9867</v>
      </c>
      <c r="Q25" s="11">
        <f t="shared" si="207"/>
        <v>0</v>
      </c>
      <c r="R25" s="11">
        <f t="shared" si="207"/>
        <v>664</v>
      </c>
      <c r="S25" s="11">
        <f t="shared" si="207"/>
        <v>0</v>
      </c>
      <c r="T25" s="11">
        <f t="shared" si="207"/>
        <v>0</v>
      </c>
      <c r="U25" s="11">
        <f t="shared" si="207"/>
        <v>0</v>
      </c>
      <c r="V25" s="11">
        <f t="shared" si="207"/>
        <v>0</v>
      </c>
      <c r="W25" s="11">
        <f t="shared" si="207"/>
        <v>0</v>
      </c>
      <c r="X25" s="11">
        <f t="shared" si="207"/>
        <v>0</v>
      </c>
      <c r="Y25" s="11">
        <f t="shared" si="207"/>
        <v>4658</v>
      </c>
      <c r="Z25" s="11">
        <f t="shared" si="207"/>
        <v>3309</v>
      </c>
      <c r="AA25" s="11">
        <f t="shared" si="207"/>
        <v>1376</v>
      </c>
      <c r="AB25" s="11">
        <f t="shared" si="207"/>
        <v>7260</v>
      </c>
      <c r="AC25" s="11">
        <f t="shared" si="207"/>
        <v>0</v>
      </c>
      <c r="AD25" s="11">
        <f t="shared" si="207"/>
        <v>569375</v>
      </c>
      <c r="AE25" s="11">
        <f t="shared" si="207"/>
        <v>264</v>
      </c>
      <c r="AF25" s="11">
        <f t="shared" si="207"/>
        <v>-512</v>
      </c>
      <c r="AG25" s="11">
        <f t="shared" si="207"/>
        <v>-1458</v>
      </c>
      <c r="AH25" s="11">
        <f t="shared" si="207"/>
        <v>0</v>
      </c>
      <c r="AI25" s="11">
        <f t="shared" si="207"/>
        <v>-423</v>
      </c>
      <c r="AJ25" s="11">
        <f t="shared" si="207"/>
        <v>-288</v>
      </c>
      <c r="AK25" s="11">
        <f t="shared" si="207"/>
        <v>-29650</v>
      </c>
      <c r="AL25" s="11">
        <f t="shared" si="207"/>
        <v>104030</v>
      </c>
      <c r="AM25" s="11">
        <f t="shared" si="207"/>
        <v>0</v>
      </c>
      <c r="AN25" s="11">
        <f t="shared" si="207"/>
        <v>46484</v>
      </c>
      <c r="AO25" s="11">
        <f t="shared" si="207"/>
        <v>61887</v>
      </c>
      <c r="AP25" s="11">
        <f t="shared" si="207"/>
        <v>-6332</v>
      </c>
      <c r="AQ25" s="11">
        <f t="shared" si="207"/>
        <v>0</v>
      </c>
      <c r="AR25" s="11">
        <f t="shared" si="207"/>
        <v>0</v>
      </c>
      <c r="AS25" s="11">
        <f t="shared" si="207"/>
        <v>0</v>
      </c>
      <c r="AT25" s="11">
        <f t="shared" si="207"/>
        <v>0</v>
      </c>
      <c r="AU25" s="11">
        <f t="shared" si="207"/>
        <v>0</v>
      </c>
      <c r="AV25" s="11">
        <f t="shared" si="207"/>
        <v>1</v>
      </c>
      <c r="AW25" s="11">
        <f t="shared" si="207"/>
        <v>1252</v>
      </c>
      <c r="AX25" s="11">
        <f t="shared" si="207"/>
        <v>1093</v>
      </c>
      <c r="AY25" s="11">
        <f t="shared" si="207"/>
        <v>0</v>
      </c>
      <c r="AZ25" s="11">
        <f t="shared" si="207"/>
        <v>0</v>
      </c>
      <c r="BA25" s="11">
        <f t="shared" si="207"/>
        <v>0</v>
      </c>
      <c r="BB25" s="11">
        <f t="shared" si="207"/>
        <v>0</v>
      </c>
      <c r="BC25" s="11">
        <f t="shared" si="207"/>
        <v>1841</v>
      </c>
      <c r="BD25" s="11">
        <f t="shared" si="207"/>
        <v>1354</v>
      </c>
      <c r="BE25" s="11">
        <f t="shared" si="207"/>
        <v>0</v>
      </c>
      <c r="BF25" s="11">
        <f t="shared" si="207"/>
        <v>10275</v>
      </c>
      <c r="BG25" s="11">
        <f t="shared" si="207"/>
        <v>-8684</v>
      </c>
      <c r="BH25" s="11">
        <f t="shared" si="207"/>
        <v>181134</v>
      </c>
      <c r="BI25" s="11">
        <f t="shared" si="207"/>
        <v>750509</v>
      </c>
      <c r="BJ25" s="11">
        <f t="shared" si="207"/>
        <v>17532</v>
      </c>
      <c r="BK25" s="11">
        <f t="shared" si="207"/>
        <v>732977</v>
      </c>
      <c r="BL25" s="11">
        <f t="shared" si="207"/>
        <v>-11318024</v>
      </c>
      <c r="BM25" s="11">
        <f t="shared" ref="BM25" si="208">BM19-BM16</f>
        <v>2098146</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6"/>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266" customFormat="1">
      <c r="A27" s="15" t="s">
        <v>135</v>
      </c>
      <c r="B27" s="11" t="s">
        <v>336</v>
      </c>
      <c r="C27" s="267">
        <v>1027142</v>
      </c>
      <c r="D27" s="120">
        <v>469998</v>
      </c>
      <c r="E27" s="120">
        <v>49464</v>
      </c>
      <c r="F27" s="120">
        <v>129699</v>
      </c>
      <c r="G27" s="120">
        <v>97308</v>
      </c>
      <c r="H27" s="120"/>
      <c r="I27" s="120"/>
      <c r="J27" s="120"/>
      <c r="K27" s="120">
        <v>3734</v>
      </c>
      <c r="L27" s="120">
        <v>11985</v>
      </c>
      <c r="M27" s="120">
        <v>12683</v>
      </c>
      <c r="N27" s="120">
        <v>256</v>
      </c>
      <c r="O27" s="120">
        <v>4023</v>
      </c>
      <c r="P27" s="120">
        <v>11875</v>
      </c>
      <c r="Q27" s="120"/>
      <c r="R27" s="120">
        <v>2966</v>
      </c>
      <c r="S27" s="120"/>
      <c r="T27" s="120"/>
      <c r="U27" s="120"/>
      <c r="V27" s="268">
        <v>1864</v>
      </c>
      <c r="W27" s="120"/>
      <c r="X27" s="120"/>
      <c r="Y27" s="120">
        <v>1560</v>
      </c>
      <c r="Z27" s="120">
        <v>1697</v>
      </c>
      <c r="AA27" s="120">
        <v>386</v>
      </c>
      <c r="AB27" s="120">
        <v>0</v>
      </c>
      <c r="AC27" s="268">
        <v>130259</v>
      </c>
      <c r="AD27" s="121">
        <f t="shared" ref="AD27:AD28" si="209">SUM(C27:AC27)</f>
        <v>1956899</v>
      </c>
      <c r="AE27" s="120">
        <v>1016</v>
      </c>
      <c r="AF27" s="120">
        <v>867</v>
      </c>
      <c r="AG27" s="120">
        <v>0</v>
      </c>
      <c r="AH27" s="120"/>
      <c r="AI27" s="120"/>
      <c r="AJ27" s="120">
        <v>224</v>
      </c>
      <c r="AK27" s="120">
        <v>820170</v>
      </c>
      <c r="AL27" s="120">
        <v>94672</v>
      </c>
      <c r="AM27" s="120"/>
      <c r="AN27" s="120"/>
      <c r="AO27" s="268">
        <v>125267</v>
      </c>
      <c r="AP27" s="120">
        <v>-22153</v>
      </c>
      <c r="AQ27" s="268"/>
      <c r="AR27" s="120"/>
      <c r="AS27" s="120"/>
      <c r="AT27" s="120"/>
      <c r="AU27" s="120"/>
      <c r="AV27" s="120"/>
      <c r="AW27" s="120">
        <v>507</v>
      </c>
      <c r="AX27" s="120">
        <v>483</v>
      </c>
      <c r="AY27" s="120"/>
      <c r="AZ27" s="120"/>
      <c r="BA27" s="120"/>
      <c r="BB27" s="268">
        <v>212224</v>
      </c>
      <c r="BC27" s="120">
        <v>8832</v>
      </c>
      <c r="BD27" s="120">
        <v>8832</v>
      </c>
      <c r="BE27" s="120"/>
      <c r="BF27" s="120">
        <v>11296</v>
      </c>
      <c r="BG27" s="120">
        <v>422</v>
      </c>
      <c r="BH27" s="120">
        <f t="shared" ref="BH27" si="210">SUM(AE27:BG27)</f>
        <v>1262659</v>
      </c>
      <c r="BI27" s="125">
        <f t="shared" ref="BI27" si="211">AD27+BH27</f>
        <v>3219558</v>
      </c>
      <c r="BJ27" s="269">
        <v>14558</v>
      </c>
      <c r="BK27" s="124">
        <f t="shared" ref="BK27" si="212">BI27-BJ27</f>
        <v>3205000</v>
      </c>
    </row>
    <row r="28" spans="1:65" s="41" customFormat="1">
      <c r="A28" s="134" t="s">
        <v>135</v>
      </c>
      <c r="B28" s="210" t="s">
        <v>429</v>
      </c>
      <c r="C28" s="267">
        <v>946919</v>
      </c>
      <c r="D28" s="120">
        <v>425160</v>
      </c>
      <c r="E28" s="120">
        <v>48003</v>
      </c>
      <c r="F28" s="120">
        <v>118443</v>
      </c>
      <c r="G28" s="120">
        <v>88687</v>
      </c>
      <c r="H28" s="120"/>
      <c r="I28" s="120"/>
      <c r="J28" s="120"/>
      <c r="K28" s="120">
        <v>3734</v>
      </c>
      <c r="L28" s="120">
        <v>10295</v>
      </c>
      <c r="M28" s="120">
        <v>11557</v>
      </c>
      <c r="N28" s="120">
        <v>228</v>
      </c>
      <c r="O28" s="120">
        <v>3280</v>
      </c>
      <c r="P28" s="120">
        <v>11169</v>
      </c>
      <c r="Q28" s="120"/>
      <c r="R28" s="120">
        <v>2948</v>
      </c>
      <c r="S28" s="120"/>
      <c r="T28" s="120"/>
      <c r="U28" s="120"/>
      <c r="V28" s="268">
        <v>1714</v>
      </c>
      <c r="W28" s="120"/>
      <c r="X28" s="120"/>
      <c r="Y28" s="120">
        <v>1435</v>
      </c>
      <c r="Z28" s="120">
        <v>1697</v>
      </c>
      <c r="AA28" s="120">
        <v>327</v>
      </c>
      <c r="AB28" s="120">
        <v>0</v>
      </c>
      <c r="AC28" s="268">
        <v>120091</v>
      </c>
      <c r="AD28" s="121">
        <f t="shared" si="209"/>
        <v>1795687</v>
      </c>
      <c r="AE28" s="120">
        <v>999</v>
      </c>
      <c r="AF28" s="120">
        <v>802</v>
      </c>
      <c r="AG28" s="120">
        <v>0</v>
      </c>
      <c r="AH28" s="120"/>
      <c r="AI28" s="120"/>
      <c r="AJ28" s="120">
        <v>206</v>
      </c>
      <c r="AK28" s="120">
        <v>692924</v>
      </c>
      <c r="AL28" s="120">
        <v>84834</v>
      </c>
      <c r="AM28" s="120"/>
      <c r="AN28" s="120"/>
      <c r="AO28" s="268">
        <v>114292</v>
      </c>
      <c r="AP28" s="120">
        <v>-22153</v>
      </c>
      <c r="AQ28" s="268"/>
      <c r="AR28" s="120"/>
      <c r="AS28" s="120"/>
      <c r="AT28" s="120"/>
      <c r="AU28" s="120"/>
      <c r="AV28" s="120"/>
      <c r="AW28" s="120">
        <v>381</v>
      </c>
      <c r="AX28" s="120">
        <v>393</v>
      </c>
      <c r="AY28" s="120">
        <v>0</v>
      </c>
      <c r="AZ28" s="120"/>
      <c r="BA28" s="120"/>
      <c r="BB28" s="268">
        <v>173917</v>
      </c>
      <c r="BC28" s="120">
        <v>7516</v>
      </c>
      <c r="BD28" s="120">
        <v>7516</v>
      </c>
      <c r="BE28" s="120">
        <v>0</v>
      </c>
      <c r="BF28" s="120">
        <v>10304</v>
      </c>
      <c r="BG28" s="120">
        <v>422</v>
      </c>
      <c r="BH28" s="10">
        <f>SUM(AE28:BG28)</f>
        <v>1072353</v>
      </c>
      <c r="BI28" s="249">
        <f>AD28+BH28</f>
        <v>2868040</v>
      </c>
      <c r="BJ28" s="269">
        <v>21959</v>
      </c>
      <c r="BK28" s="10">
        <f t="shared" ref="BK28" si="213">BI28-BJ28</f>
        <v>2846081</v>
      </c>
      <c r="BM28" s="211"/>
    </row>
    <row r="29" spans="1:65">
      <c r="A29" s="128"/>
      <c r="B29" s="12" t="s">
        <v>430</v>
      </c>
      <c r="C29" s="9">
        <f>IF('Upto Month COPPY'!$D$4="",0,'Upto Month COPPY'!$D$4)</f>
        <v>903034</v>
      </c>
      <c r="D29" s="9">
        <f>IF('Upto Month COPPY'!$D$5="",0,'Upto Month COPPY'!$D$5)</f>
        <v>329801</v>
      </c>
      <c r="E29" s="9">
        <f>IF('Upto Month COPPY'!$D$6="",0,'Upto Month COPPY'!$D$6)</f>
        <v>43362</v>
      </c>
      <c r="F29" s="9">
        <f>IF('Upto Month COPPY'!$D$7="",0,'Upto Month COPPY'!$D$7)</f>
        <v>112419</v>
      </c>
      <c r="G29" s="9">
        <f>IF('Upto Month COPPY'!$D$8="",0,'Upto Month COPPY'!$D$8)</f>
        <v>78988</v>
      </c>
      <c r="H29" s="9">
        <f>IF('Upto Month COPPY'!$D$9="",0,'Upto Month COPPY'!$D$9)</f>
        <v>0</v>
      </c>
      <c r="I29" s="9">
        <f>IF('Upto Month COPPY'!$D$10="",0,'Upto Month COPPY'!$D$10)</f>
        <v>0</v>
      </c>
      <c r="J29" s="9">
        <f>IF('Upto Month COPPY'!$D$11="",0,'Upto Month COPPY'!$D$11)</f>
        <v>0</v>
      </c>
      <c r="K29" s="9">
        <f>IF('Upto Month COPPY'!$D$12="",0,'Upto Month COPPY'!$D$12)</f>
        <v>2935</v>
      </c>
      <c r="L29" s="9">
        <f>IF('Upto Month COPPY'!$D$13="",0,'Upto Month COPPY'!$D$13)</f>
        <v>7337</v>
      </c>
      <c r="M29" s="9">
        <f>IF('Upto Month COPPY'!$D$14="",0,'Upto Month COPPY'!$D$14)</f>
        <v>11585</v>
      </c>
      <c r="N29" s="9">
        <f>IF('Upto Month COPPY'!$D$15="",0,'Upto Month COPPY'!$D$15)</f>
        <v>133</v>
      </c>
      <c r="O29" s="9">
        <f>IF('Upto Month COPPY'!$D$16="",0,'Upto Month COPPY'!$D$16)</f>
        <v>2415</v>
      </c>
      <c r="P29" s="9">
        <f>IF('Upto Month COPPY'!$D$17="",0,'Upto Month COPPY'!$D$17)</f>
        <v>10325</v>
      </c>
      <c r="Q29" s="9">
        <f>IF('Upto Month COPPY'!$D$18="",0,'Upto Month COPPY'!$D$18)</f>
        <v>0</v>
      </c>
      <c r="R29" s="9">
        <f>IF('Upto Month COPPY'!$D$21="",0,'Upto Month COPPY'!$D$21)</f>
        <v>2471</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925</v>
      </c>
      <c r="Z29" s="9">
        <f>IF('Upto Month COPPY'!$D$43="",0,'Upto Month COPPY'!$D$43)</f>
        <v>3057</v>
      </c>
      <c r="AA29" s="9">
        <f>IF('Upto Month COPPY'!$D$44="",0,'Upto Month COPPY'!$D$44)</f>
        <v>434</v>
      </c>
      <c r="AB29" s="9">
        <f>IF('Upto Month COPPY'!$D$48="",0,'Upto Month COPPY'!$D$48)</f>
        <v>0</v>
      </c>
      <c r="AC29" s="9">
        <f>IF('Upto Month COPPY'!$D$51="",0,'Upto Month COPPY'!$D$51)</f>
        <v>104866</v>
      </c>
      <c r="AD29" s="221">
        <f t="shared" ref="AD29:AD30" si="214">SUM(C29:AC29)</f>
        <v>1614087</v>
      </c>
      <c r="AE29" s="9">
        <f>IF('Upto Month COPPY'!$D$19="",0,'Upto Month COPPY'!$D$19)</f>
        <v>915</v>
      </c>
      <c r="AF29" s="9">
        <f>IF('Upto Month COPPY'!$D$20="",0,'Upto Month COPPY'!$D$20)</f>
        <v>819</v>
      </c>
      <c r="AG29" s="9">
        <f>IF('Upto Month COPPY'!$D$22="",0,'Upto Month COPPY'!$D$22)</f>
        <v>734</v>
      </c>
      <c r="AH29" s="9">
        <f>IF('Upto Month COPPY'!$D$23="",0,'Upto Month COPPY'!$D$23)</f>
        <v>0</v>
      </c>
      <c r="AI29" s="9">
        <f>IF('Upto Month COPPY'!$D$24="",0,'Upto Month COPPY'!$D$24)</f>
        <v>0</v>
      </c>
      <c r="AJ29" s="9">
        <f>IF('Upto Month COPPY'!$D$25="",0,'Upto Month COPPY'!$D$25)</f>
        <v>138</v>
      </c>
      <c r="AK29" s="9">
        <f>IF('Upto Month COPPY'!$D$28="",0,'Upto Month COPPY'!$D$28)</f>
        <v>473920</v>
      </c>
      <c r="AL29" s="9">
        <f>IF('Upto Month COPPY'!$D$29="",0,'Upto Month COPPY'!$D$29)</f>
        <v>78435</v>
      </c>
      <c r="AM29" s="9">
        <f>IF('Upto Month COPPY'!$D$31="",0,'Upto Month COPPY'!$D$31)</f>
        <v>0</v>
      </c>
      <c r="AN29" s="9">
        <f>IF('Upto Month COPPY'!$D$32="",0,'Upto Month COPPY'!$D$32)</f>
        <v>320</v>
      </c>
      <c r="AO29" s="9">
        <f>IF('Upto Month COPPY'!$D$33="",0,'Upto Month COPPY'!$D$33)</f>
        <v>126498</v>
      </c>
      <c r="AP29" s="9">
        <f>IF('Upto Month COPPY'!$D$34="",0,'Upto Month COPPY'!$D$34)</f>
        <v>-22728</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115</v>
      </c>
      <c r="AZ29" s="9">
        <f>IF('Upto Month COPPY'!$D$49="",0,'Upto Month COPPY'!$D$49)</f>
        <v>0</v>
      </c>
      <c r="BA29" s="9">
        <f>IF('Upto Month COPPY'!$D$50="",0,'Upto Month COPPY'!$D$50)</f>
        <v>0</v>
      </c>
      <c r="BB29" s="9">
        <f>IF('Upto Month COPPY'!$D$52="",0,'Upto Month COPPY'!$D$52)</f>
        <v>101417</v>
      </c>
      <c r="BC29" s="9">
        <f>IF('Upto Month COPPY'!$D$53="",0,'Upto Month COPPY'!$D$53)</f>
        <v>7538</v>
      </c>
      <c r="BD29" s="9">
        <f>IF('Upto Month COPPY'!$D$54="",0,'Upto Month COPPY'!$D$54)</f>
        <v>7538</v>
      </c>
      <c r="BE29" s="9">
        <f>IF('Upto Month COPPY'!$D$55="",0,'Upto Month COPPY'!$D$55)</f>
        <v>0</v>
      </c>
      <c r="BF29" s="9">
        <f>IF('Upto Month COPPY'!$D$56="",0,'Upto Month COPPY'!$D$56)</f>
        <v>13454</v>
      </c>
      <c r="BG29" s="9">
        <f>IF('Upto Month COPPY'!$D$58="",0,'Upto Month COPPY'!$D$58)</f>
        <v>311</v>
      </c>
      <c r="BH29" s="9">
        <f>SUM(AE29:BG29)</f>
        <v>789424</v>
      </c>
      <c r="BI29" s="275">
        <f>AD29+BH29</f>
        <v>2403511</v>
      </c>
      <c r="BJ29" s="9">
        <f>IF('Upto Month COPPY'!$D$60="",0,'Upto Month COPPY'!$D$60)</f>
        <v>1293</v>
      </c>
      <c r="BK29" s="49">
        <f t="shared" ref="BK29:BK30" si="215">BI29-BJ29</f>
        <v>2402218</v>
      </c>
      <c r="BL29">
        <f>'Upto Month COPPY'!$D$61</f>
        <v>2402215</v>
      </c>
      <c r="BM29" s="30">
        <f t="shared" ref="BM29:BM33" si="216">BK29-AD29</f>
        <v>788131</v>
      </c>
    </row>
    <row r="30" spans="1:65">
      <c r="A30" s="128"/>
      <c r="B30" s="180" t="s">
        <v>431</v>
      </c>
      <c r="C30" s="9">
        <f>IF('Upto Month Current'!$D$4="",0,'Upto Month Current'!$D$4)</f>
        <v>880649</v>
      </c>
      <c r="D30" s="9">
        <f>IF('Upto Month Current'!$D$5="",0,'Upto Month Current'!$D$5)</f>
        <v>401163</v>
      </c>
      <c r="E30" s="9">
        <f>IF('Upto Month Current'!$D$6="",0,'Upto Month Current'!$D$6)</f>
        <v>42657</v>
      </c>
      <c r="F30" s="9">
        <f>IF('Upto Month Current'!$D$7="",0,'Upto Month Current'!$D$7)</f>
        <v>109965</v>
      </c>
      <c r="G30" s="9">
        <f>IF('Upto Month Current'!$D$8="",0,'Upto Month Current'!$D$8)</f>
        <v>87727</v>
      </c>
      <c r="H30" s="9">
        <f>IF('Upto Month Current'!$D$9="",0,'Upto Month Current'!$D$9)</f>
        <v>0</v>
      </c>
      <c r="I30" s="9">
        <f>IF('Upto Month Current'!$D$10="",0,'Upto Month Current'!$D$10)</f>
        <v>0</v>
      </c>
      <c r="J30" s="9">
        <f>IF('Upto Month Current'!$D$11="",0,'Upto Month Current'!$D$11)</f>
        <v>0</v>
      </c>
      <c r="K30" s="9">
        <f>IF('Upto Month Current'!$D$12="",0,'Upto Month Current'!$D$12)</f>
        <v>937</v>
      </c>
      <c r="L30" s="9">
        <f>IF('Upto Month Current'!$D$13="",0,'Upto Month Current'!$D$13)</f>
        <v>9505</v>
      </c>
      <c r="M30" s="9">
        <f>IF('Upto Month Current'!$D$14="",0,'Upto Month Current'!$D$14)</f>
        <v>10249</v>
      </c>
      <c r="N30" s="9">
        <f>IF('Upto Month Current'!$D$15="",0,'Upto Month Current'!$D$15)</f>
        <v>100</v>
      </c>
      <c r="O30" s="9">
        <f>IF('Upto Month Current'!$D$16="",0,'Upto Month Current'!$D$16)</f>
        <v>3115</v>
      </c>
      <c r="P30" s="9">
        <f>IF('Upto Month Current'!$D$17="",0,'Upto Month Current'!$D$17)</f>
        <v>11920</v>
      </c>
      <c r="Q30" s="9">
        <f>IF('Upto Month Current'!$D$18="",0,'Upto Month Current'!$D$18)</f>
        <v>0</v>
      </c>
      <c r="R30" s="9">
        <f>IF('Upto Month Current'!$D$21="",0,'Upto Month Current'!$D$21)</f>
        <v>2961</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584</v>
      </c>
      <c r="Z30" s="9">
        <f>IF('Upto Month Current'!$D$43="",0,'Upto Month Current'!$D$43)</f>
        <v>172</v>
      </c>
      <c r="AA30" s="9">
        <f>IF('Upto Month Current'!$D$44="",0,'Upto Month Current'!$D$44)</f>
        <v>106</v>
      </c>
      <c r="AB30" s="9">
        <f>IF('Upto Month Current'!$D$48="",0,'Upto Month Current'!$D$48)</f>
        <v>0</v>
      </c>
      <c r="AC30" s="9">
        <f>IF('Upto Month Current'!$D$51="",0,'Upto Month Current'!$D$51)</f>
        <v>71535</v>
      </c>
      <c r="AD30" s="221">
        <f t="shared" si="214"/>
        <v>1633345</v>
      </c>
      <c r="AE30" s="9">
        <f>IF('Upto Month Current'!$D$19="",0,'Upto Month Current'!$D$19)</f>
        <v>984</v>
      </c>
      <c r="AF30" s="9">
        <f>IF('Upto Month Current'!$D$20="",0,'Upto Month Current'!$D$20)</f>
        <v>1210</v>
      </c>
      <c r="AG30" s="9">
        <f>IF('Upto Month Current'!$D$22="",0,'Upto Month Current'!$D$22)</f>
        <v>2377</v>
      </c>
      <c r="AH30" s="9">
        <f>IF('Upto Month Current'!$D$23="",0,'Upto Month Current'!$D$23)</f>
        <v>0</v>
      </c>
      <c r="AI30" s="9">
        <f>IF('Upto Month Current'!$D$24="",0,'Upto Month Current'!$D$24)</f>
        <v>0</v>
      </c>
      <c r="AJ30" s="9">
        <f>IF('Upto Month Current'!$D$25="",0,'Upto Month Current'!$D$25)</f>
        <v>750</v>
      </c>
      <c r="AK30" s="9">
        <f>IF('Upto Month Current'!$D$28="",0,'Upto Month Current'!$D$28)</f>
        <v>611023</v>
      </c>
      <c r="AL30" s="9">
        <f>IF('Upto Month Current'!$D$29="",0,'Upto Month Current'!$D$29)</f>
        <v>108490</v>
      </c>
      <c r="AM30" s="9">
        <f>IF('Upto Month Current'!$D$31="",0,'Upto Month Current'!$D$31)</f>
        <v>0</v>
      </c>
      <c r="AN30" s="9">
        <f>IF('Upto Month Current'!$D$32="",0,'Upto Month Current'!$D$32)</f>
        <v>280</v>
      </c>
      <c r="AO30" s="9">
        <f>IF('Upto Month Current'!$D$33="",0,'Upto Month Current'!$D$33)</f>
        <v>67507</v>
      </c>
      <c r="AP30" s="9">
        <f>IF('Upto Month Current'!$D$34="",0,'Upto Month Current'!$D$34)</f>
        <v>-108589</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115</v>
      </c>
      <c r="AX30" s="9">
        <f>IF('Upto Month Current'!$D$46="",0,'Upto Month Current'!$D$46)</f>
        <v>368</v>
      </c>
      <c r="AY30" s="9">
        <f>IF('Upto Month Current'!$D$47="",0,'Upto Month Current'!$D$47)</f>
        <v>0</v>
      </c>
      <c r="AZ30" s="9">
        <f>IF('Upto Month Current'!$D$49="",0,'Upto Month Current'!$D$49)</f>
        <v>0</v>
      </c>
      <c r="BA30" s="9">
        <f>IF('Upto Month Current'!$D$50="",0,'Upto Month Current'!$D$50)</f>
        <v>0</v>
      </c>
      <c r="BB30" s="9">
        <f>IF('Upto Month Current'!$D$52="",0,'Upto Month Current'!$D$52)</f>
        <v>74630</v>
      </c>
      <c r="BC30" s="9">
        <f>IF('Upto Month Current'!$D$53="",0,'Upto Month Current'!$D$53)</f>
        <v>5777</v>
      </c>
      <c r="BD30" s="9">
        <f>IF('Upto Month Current'!$D$54="",0,'Upto Month Current'!$D$54)</f>
        <v>5777</v>
      </c>
      <c r="BE30" s="9">
        <f>IF('Upto Month Current'!$D$55="",0,'Upto Month Current'!$D$55)</f>
        <v>0</v>
      </c>
      <c r="BF30" s="9">
        <f>IF('Upto Month Current'!$D$56="",0,'Upto Month Current'!$D$56)</f>
        <v>12818</v>
      </c>
      <c r="BG30" s="9">
        <f>IF('Upto Month Current'!$D$58="",0,'Upto Month Current'!$D$58)</f>
        <v>2840</v>
      </c>
      <c r="BH30" s="9">
        <f>SUM(AE30:BG30)</f>
        <v>786357</v>
      </c>
      <c r="BI30" s="275">
        <f>AD30+BH30</f>
        <v>2419702</v>
      </c>
      <c r="BJ30" s="9">
        <f>IF('Upto Month Current'!$D$60="",0,'Upto Month Current'!$D$60)</f>
        <v>0</v>
      </c>
      <c r="BK30" s="49">
        <f t="shared" si="215"/>
        <v>2419702</v>
      </c>
      <c r="BL30">
        <f>'Upto Month Current'!$D$61</f>
        <v>2419702</v>
      </c>
      <c r="BM30" s="30">
        <f t="shared" si="216"/>
        <v>786357</v>
      </c>
    </row>
    <row r="31" spans="1:65">
      <c r="A31" s="128"/>
      <c r="B31" s="5" t="s">
        <v>130</v>
      </c>
      <c r="C31" s="11">
        <f>C30-C28</f>
        <v>-66270</v>
      </c>
      <c r="D31" s="11">
        <f t="shared" ref="D31" si="217">D30-D28</f>
        <v>-23997</v>
      </c>
      <c r="E31" s="11">
        <f t="shared" ref="E31" si="218">E30-E28</f>
        <v>-5346</v>
      </c>
      <c r="F31" s="11">
        <f t="shared" ref="F31" si="219">F30-F28</f>
        <v>-8478</v>
      </c>
      <c r="G31" s="11">
        <f t="shared" ref="G31" si="220">G30-G28</f>
        <v>-960</v>
      </c>
      <c r="H31" s="11">
        <f t="shared" ref="H31" si="221">H30-H28</f>
        <v>0</v>
      </c>
      <c r="I31" s="11">
        <f t="shared" ref="I31" si="222">I30-I28</f>
        <v>0</v>
      </c>
      <c r="J31" s="11">
        <f t="shared" ref="J31" si="223">J30-J28</f>
        <v>0</v>
      </c>
      <c r="K31" s="11">
        <f t="shared" ref="K31" si="224">K30-K28</f>
        <v>-2797</v>
      </c>
      <c r="L31" s="11">
        <f t="shared" ref="L31" si="225">L30-L28</f>
        <v>-790</v>
      </c>
      <c r="M31" s="11">
        <f t="shared" ref="M31" si="226">M30-M28</f>
        <v>-1308</v>
      </c>
      <c r="N31" s="11">
        <f t="shared" ref="N31" si="227">N30-N28</f>
        <v>-128</v>
      </c>
      <c r="O31" s="11">
        <f t="shared" ref="O31" si="228">O30-O28</f>
        <v>-165</v>
      </c>
      <c r="P31" s="11">
        <f t="shared" ref="P31" si="229">P30-P28</f>
        <v>751</v>
      </c>
      <c r="Q31" s="11">
        <f t="shared" ref="Q31" si="230">Q30-Q28</f>
        <v>0</v>
      </c>
      <c r="R31" s="11">
        <f t="shared" ref="R31" si="231">R30-R28</f>
        <v>13</v>
      </c>
      <c r="S31" s="11">
        <f t="shared" ref="S31" si="232">S30-S28</f>
        <v>0</v>
      </c>
      <c r="T31" s="11">
        <f t="shared" ref="T31:U31" si="233">T30-T28</f>
        <v>0</v>
      </c>
      <c r="U31" s="11">
        <f t="shared" si="233"/>
        <v>0</v>
      </c>
      <c r="V31" s="9">
        <f t="shared" ref="V31" si="234">V30-V28</f>
        <v>-1714</v>
      </c>
      <c r="W31" s="11">
        <f t="shared" ref="W31" si="235">W30-W28</f>
        <v>0</v>
      </c>
      <c r="X31" s="11">
        <f t="shared" ref="X31" si="236">X30-X28</f>
        <v>0</v>
      </c>
      <c r="Y31" s="11">
        <f t="shared" ref="Y31" si="237">Y30-Y28</f>
        <v>-851</v>
      </c>
      <c r="Z31" s="11">
        <f t="shared" ref="Z31" si="238">Z30-Z28</f>
        <v>-1525</v>
      </c>
      <c r="AA31" s="11">
        <f t="shared" ref="AA31:AD31" si="239">AA30-AA28</f>
        <v>-221</v>
      </c>
      <c r="AB31" s="11">
        <f t="shared" ref="AB31" si="240">AB30-AB28</f>
        <v>0</v>
      </c>
      <c r="AC31" s="9">
        <f t="shared" si="239"/>
        <v>-48556</v>
      </c>
      <c r="AD31" s="216">
        <f t="shared" si="239"/>
        <v>-162342</v>
      </c>
      <c r="AE31" s="11">
        <f t="shared" ref="AE31" si="241">AE30-AE28</f>
        <v>-15</v>
      </c>
      <c r="AF31" s="11">
        <f t="shared" ref="AF31" si="242">AF30-AF28</f>
        <v>408</v>
      </c>
      <c r="AG31" s="11">
        <f t="shared" ref="AG31" si="243">AG30-AG28</f>
        <v>2377</v>
      </c>
      <c r="AH31" s="11">
        <f t="shared" ref="AH31" si="244">AH30-AH28</f>
        <v>0</v>
      </c>
      <c r="AI31" s="11">
        <f t="shared" ref="AI31" si="245">AI30-AI28</f>
        <v>0</v>
      </c>
      <c r="AJ31" s="11">
        <f t="shared" ref="AJ31" si="246">AJ30-AJ28</f>
        <v>544</v>
      </c>
      <c r="AK31" s="11">
        <f t="shared" ref="AK31" si="247">AK30-AK28</f>
        <v>-81901</v>
      </c>
      <c r="AL31" s="11">
        <f t="shared" ref="AL31" si="248">AL30-AL28</f>
        <v>23656</v>
      </c>
      <c r="AM31" s="11">
        <f t="shared" ref="AM31" si="249">AM30-AM28</f>
        <v>0</v>
      </c>
      <c r="AN31" s="11">
        <f t="shared" ref="AN31" si="250">AN30-AN28</f>
        <v>280</v>
      </c>
      <c r="AO31" s="9">
        <f t="shared" ref="AO31" si="251">AO30-AO28</f>
        <v>-46785</v>
      </c>
      <c r="AP31" s="11">
        <f t="shared" ref="AP31" si="252">AP30-AP28</f>
        <v>-86436</v>
      </c>
      <c r="AQ31" s="9">
        <f t="shared" ref="AQ31" si="253">AQ30-AQ28</f>
        <v>0</v>
      </c>
      <c r="AR31" s="11">
        <f t="shared" ref="AR31" si="254">AR30-AR28</f>
        <v>0</v>
      </c>
      <c r="AS31" s="11">
        <f t="shared" ref="AS31" si="255">AS30-AS28</f>
        <v>0</v>
      </c>
      <c r="AT31" s="11">
        <f t="shared" ref="AT31" si="256">AT30-AT28</f>
        <v>0</v>
      </c>
      <c r="AU31" s="11">
        <f t="shared" ref="AU31" si="257">AU30-AU28</f>
        <v>0</v>
      </c>
      <c r="AV31" s="11">
        <f t="shared" ref="AV31" si="258">AV30-AV28</f>
        <v>0</v>
      </c>
      <c r="AW31" s="11">
        <f t="shared" ref="AW31" si="259">AW30-AW28</f>
        <v>-266</v>
      </c>
      <c r="AX31" s="11">
        <f t="shared" ref="AX31" si="260">AX30-AX28</f>
        <v>-25</v>
      </c>
      <c r="AY31" s="11">
        <f t="shared" ref="AY31" si="261">AY30-AY28</f>
        <v>0</v>
      </c>
      <c r="AZ31" s="11">
        <f t="shared" ref="AZ31" si="262">AZ30-AZ28</f>
        <v>0</v>
      </c>
      <c r="BA31" s="11">
        <f t="shared" ref="BA31" si="263">BA30-BA28</f>
        <v>0</v>
      </c>
      <c r="BB31" s="9">
        <f t="shared" ref="BB31" si="264">BB30-BB28</f>
        <v>-99287</v>
      </c>
      <c r="BC31" s="11">
        <f t="shared" ref="BC31" si="265">BC30-BC28</f>
        <v>-1739</v>
      </c>
      <c r="BD31" s="11">
        <f t="shared" ref="BD31" si="266">BD30-BD28</f>
        <v>-1739</v>
      </c>
      <c r="BE31" s="11">
        <f t="shared" ref="BE31" si="267">BE30-BE28</f>
        <v>0</v>
      </c>
      <c r="BF31" s="11">
        <f t="shared" ref="BF31" si="268">BF30-BF28</f>
        <v>2514</v>
      </c>
      <c r="BG31" s="11">
        <f t="shared" ref="BG31:BH31" si="269">BG30-BG28</f>
        <v>2418</v>
      </c>
      <c r="BH31" s="9">
        <f t="shared" si="269"/>
        <v>-285996</v>
      </c>
      <c r="BI31" s="9">
        <f t="shared" ref="BI31" si="270">BI30-BI28</f>
        <v>-448338</v>
      </c>
      <c r="BJ31" s="11">
        <f t="shared" ref="BJ31:BK31" si="271">BJ30-BJ28</f>
        <v>-21959</v>
      </c>
      <c r="BK31" s="49">
        <f t="shared" si="271"/>
        <v>-426379</v>
      </c>
      <c r="BM31" s="30">
        <f t="shared" si="216"/>
        <v>-264037</v>
      </c>
    </row>
    <row r="32" spans="1:65">
      <c r="A32" s="128"/>
      <c r="B32" s="5" t="s">
        <v>131</v>
      </c>
      <c r="C32" s="13">
        <f>C31/C28</f>
        <v>-6.9984866709824178E-2</v>
      </c>
      <c r="D32" s="13">
        <f t="shared" ref="D32" si="272">D31/D28</f>
        <v>-5.6442280553203501E-2</v>
      </c>
      <c r="E32" s="13">
        <f t="shared" ref="E32" si="273">E31/E28</f>
        <v>-0.11136803949753141</v>
      </c>
      <c r="F32" s="13">
        <f t="shared" ref="F32" si="274">F31/F28</f>
        <v>-7.1578734074618164E-2</v>
      </c>
      <c r="G32" s="13">
        <f t="shared" ref="G32" si="275">G31/G28</f>
        <v>-1.0824585339452231E-2</v>
      </c>
      <c r="H32" s="13" t="e">
        <f t="shared" ref="H32" si="276">H31/H28</f>
        <v>#DIV/0!</v>
      </c>
      <c r="I32" s="13" t="e">
        <f t="shared" ref="I32" si="277">I31/I28</f>
        <v>#DIV/0!</v>
      </c>
      <c r="J32" s="13" t="e">
        <f t="shared" ref="J32" si="278">J31/J28</f>
        <v>#DIV/0!</v>
      </c>
      <c r="K32" s="13">
        <f t="shared" ref="K32" si="279">K31/K28</f>
        <v>-0.74906266738082483</v>
      </c>
      <c r="L32" s="13">
        <f t="shared" ref="L32" si="280">L31/L28</f>
        <v>-7.6736279747450217E-2</v>
      </c>
      <c r="M32" s="13">
        <f t="shared" ref="M32" si="281">M31/M28</f>
        <v>-0.11317816042225491</v>
      </c>
      <c r="N32" s="13">
        <f t="shared" ref="N32" si="282">N31/N28</f>
        <v>-0.56140350877192979</v>
      </c>
      <c r="O32" s="13">
        <f t="shared" ref="O32" si="283">O31/O28</f>
        <v>-5.0304878048780491E-2</v>
      </c>
      <c r="P32" s="13">
        <f t="shared" ref="P32" si="284">P31/P28</f>
        <v>6.7239681260632109E-2</v>
      </c>
      <c r="Q32" s="13" t="e">
        <f t="shared" ref="Q32" si="285">Q31/Q28</f>
        <v>#DIV/0!</v>
      </c>
      <c r="R32" s="13">
        <f t="shared" ref="R32" si="286">R31/R28</f>
        <v>4.4097693351424693E-3</v>
      </c>
      <c r="S32" s="13" t="e">
        <f t="shared" ref="S32" si="287">S31/S28</f>
        <v>#DIV/0!</v>
      </c>
      <c r="T32" s="13" t="e">
        <f t="shared" ref="T32:U32" si="288">T31/T28</f>
        <v>#DIV/0!</v>
      </c>
      <c r="U32" s="13" t="e">
        <f t="shared" si="288"/>
        <v>#DIV/0!</v>
      </c>
      <c r="V32" s="160">
        <f t="shared" ref="V32" si="289">V31/V28</f>
        <v>-1</v>
      </c>
      <c r="W32" s="13" t="e">
        <f t="shared" ref="W32" si="290">W31/W28</f>
        <v>#DIV/0!</v>
      </c>
      <c r="X32" s="13" t="e">
        <f t="shared" ref="X32" si="291">X31/X28</f>
        <v>#DIV/0!</v>
      </c>
      <c r="Y32" s="13">
        <f t="shared" ref="Y32" si="292">Y31/Y28</f>
        <v>-0.59303135888501746</v>
      </c>
      <c r="Z32" s="13">
        <f t="shared" ref="Z32" si="293">Z31/Z28</f>
        <v>-0.89864466705951684</v>
      </c>
      <c r="AA32" s="13">
        <f t="shared" ref="AA32:AD32" si="294">AA31/AA28</f>
        <v>-0.67584097859327219</v>
      </c>
      <c r="AB32" s="13" t="e">
        <f t="shared" ref="AB32" si="295">AB31/AB28</f>
        <v>#DIV/0!</v>
      </c>
      <c r="AC32" s="160">
        <f t="shared" si="294"/>
        <v>-0.40432671890483052</v>
      </c>
      <c r="AD32" s="217">
        <f t="shared" si="294"/>
        <v>-9.0406624317044118E-2</v>
      </c>
      <c r="AE32" s="13">
        <f t="shared" ref="AE32" si="296">AE31/AE28</f>
        <v>-1.5015015015015015E-2</v>
      </c>
      <c r="AF32" s="13">
        <f t="shared" ref="AF32" si="297">AF31/AF28</f>
        <v>0.50872817955112215</v>
      </c>
      <c r="AG32" s="13" t="e">
        <f t="shared" ref="AG32" si="298">AG31/AG28</f>
        <v>#DIV/0!</v>
      </c>
      <c r="AH32" s="13" t="e">
        <f t="shared" ref="AH32" si="299">AH31/AH28</f>
        <v>#DIV/0!</v>
      </c>
      <c r="AI32" s="13" t="e">
        <f t="shared" ref="AI32" si="300">AI31/AI28</f>
        <v>#DIV/0!</v>
      </c>
      <c r="AJ32" s="13">
        <f t="shared" ref="AJ32" si="301">AJ31/AJ28</f>
        <v>2.6407766990291264</v>
      </c>
      <c r="AK32" s="13">
        <f t="shared" ref="AK32" si="302">AK31/AK28</f>
        <v>-0.11819622353966669</v>
      </c>
      <c r="AL32" s="13">
        <f t="shared" ref="AL32" si="303">AL31/AL28</f>
        <v>0.27885046090011079</v>
      </c>
      <c r="AM32" s="13" t="e">
        <f t="shared" ref="AM32" si="304">AM31/AM28</f>
        <v>#DIV/0!</v>
      </c>
      <c r="AN32" s="13" t="e">
        <f t="shared" ref="AN32" si="305">AN31/AN28</f>
        <v>#DIV/0!</v>
      </c>
      <c r="AO32" s="160">
        <f t="shared" ref="AO32" si="306">AO31/AO28</f>
        <v>-0.40934623595702235</v>
      </c>
      <c r="AP32" s="13">
        <f t="shared" ref="AP32" si="307">AP31/AP28</f>
        <v>3.9017740260912741</v>
      </c>
      <c r="AQ32" s="160" t="e">
        <f t="shared" ref="AQ32" si="308">AQ31/AQ28</f>
        <v>#DIV/0!</v>
      </c>
      <c r="AR32" s="13" t="e">
        <f t="shared" ref="AR32" si="309">AR31/AR28</f>
        <v>#DIV/0!</v>
      </c>
      <c r="AS32" s="13" t="e">
        <f t="shared" ref="AS32" si="310">AS31/AS28</f>
        <v>#DIV/0!</v>
      </c>
      <c r="AT32" s="13" t="e">
        <f t="shared" ref="AT32" si="311">AT31/AT28</f>
        <v>#DIV/0!</v>
      </c>
      <c r="AU32" s="13" t="e">
        <f t="shared" ref="AU32" si="312">AU31/AU28</f>
        <v>#DIV/0!</v>
      </c>
      <c r="AV32" s="13" t="e">
        <f t="shared" ref="AV32" si="313">AV31/AV28</f>
        <v>#DIV/0!</v>
      </c>
      <c r="AW32" s="13">
        <f t="shared" ref="AW32" si="314">AW31/AW28</f>
        <v>-0.69816272965879267</v>
      </c>
      <c r="AX32" s="13">
        <f t="shared" ref="AX32" si="315">AX31/AX28</f>
        <v>-6.3613231552162849E-2</v>
      </c>
      <c r="AY32" s="13" t="e">
        <f t="shared" ref="AY32" si="316">AY31/AY28</f>
        <v>#DIV/0!</v>
      </c>
      <c r="AZ32" s="13" t="e">
        <f t="shared" ref="AZ32" si="317">AZ31/AZ28</f>
        <v>#DIV/0!</v>
      </c>
      <c r="BA32" s="13" t="e">
        <f t="shared" ref="BA32" si="318">BA31/BA28</f>
        <v>#DIV/0!</v>
      </c>
      <c r="BB32" s="160">
        <f t="shared" ref="BB32" si="319">BB31/BB28</f>
        <v>-0.57088726231478237</v>
      </c>
      <c r="BC32" s="13">
        <f t="shared" ref="BC32" si="320">BC31/BC28</f>
        <v>-0.23137307078233102</v>
      </c>
      <c r="BD32" s="13">
        <f t="shared" ref="BD32" si="321">BD31/BD28</f>
        <v>-0.23137307078233102</v>
      </c>
      <c r="BE32" s="13" t="e">
        <f t="shared" ref="BE32" si="322">BE31/BE28</f>
        <v>#DIV/0!</v>
      </c>
      <c r="BF32" s="13">
        <f t="shared" ref="BF32" si="323">BF31/BF28</f>
        <v>0.2439829192546584</v>
      </c>
      <c r="BG32" s="13">
        <f t="shared" ref="BG32:BH32" si="324">BG31/BG28</f>
        <v>5.729857819905213</v>
      </c>
      <c r="BH32" s="160">
        <f t="shared" si="324"/>
        <v>-0.2666994916785797</v>
      </c>
      <c r="BI32" s="160">
        <f t="shared" ref="BI32" si="325">BI31/BI28</f>
        <v>-0.15632208755805357</v>
      </c>
      <c r="BJ32" s="13">
        <f t="shared" ref="BJ32:BK32" si="326">BJ31/BJ28</f>
        <v>-1</v>
      </c>
      <c r="BK32" s="50">
        <f t="shared" si="326"/>
        <v>-0.14981267223244876</v>
      </c>
      <c r="BM32" s="160" t="e">
        <f t="shared" ref="BM32" si="327">BM31/BM28</f>
        <v>#DIV/0!</v>
      </c>
    </row>
    <row r="33" spans="1:65">
      <c r="A33" s="128"/>
      <c r="B33" s="5" t="s">
        <v>132</v>
      </c>
      <c r="C33" s="11">
        <f>C30-C29</f>
        <v>-22385</v>
      </c>
      <c r="D33" s="11">
        <f t="shared" ref="D33:BK33" si="328">D30-D29</f>
        <v>71362</v>
      </c>
      <c r="E33" s="11">
        <f t="shared" si="328"/>
        <v>-705</v>
      </c>
      <c r="F33" s="11">
        <f t="shared" si="328"/>
        <v>-2454</v>
      </c>
      <c r="G33" s="11">
        <f t="shared" si="328"/>
        <v>8739</v>
      </c>
      <c r="H33" s="11">
        <f t="shared" si="328"/>
        <v>0</v>
      </c>
      <c r="I33" s="11">
        <f t="shared" si="328"/>
        <v>0</v>
      </c>
      <c r="J33" s="11">
        <f t="shared" si="328"/>
        <v>0</v>
      </c>
      <c r="K33" s="11">
        <f t="shared" si="328"/>
        <v>-1998</v>
      </c>
      <c r="L33" s="11">
        <f t="shared" si="328"/>
        <v>2168</v>
      </c>
      <c r="M33" s="11">
        <f t="shared" si="328"/>
        <v>-1336</v>
      </c>
      <c r="N33" s="11">
        <f t="shared" si="328"/>
        <v>-33</v>
      </c>
      <c r="O33" s="11">
        <f t="shared" si="328"/>
        <v>700</v>
      </c>
      <c r="P33" s="11">
        <f t="shared" si="328"/>
        <v>1595</v>
      </c>
      <c r="Q33" s="11">
        <f t="shared" si="328"/>
        <v>0</v>
      </c>
      <c r="R33" s="11">
        <f t="shared" si="328"/>
        <v>490</v>
      </c>
      <c r="S33" s="11">
        <f t="shared" si="328"/>
        <v>0</v>
      </c>
      <c r="T33" s="11">
        <f t="shared" si="328"/>
        <v>0</v>
      </c>
      <c r="U33" s="11">
        <f t="shared" ref="U33" si="329">U30-U29</f>
        <v>0</v>
      </c>
      <c r="V33" s="9">
        <f t="shared" si="328"/>
        <v>0</v>
      </c>
      <c r="W33" s="11">
        <f t="shared" si="328"/>
        <v>0</v>
      </c>
      <c r="X33" s="11">
        <f t="shared" si="328"/>
        <v>0</v>
      </c>
      <c r="Y33" s="11">
        <f t="shared" si="328"/>
        <v>-341</v>
      </c>
      <c r="Z33" s="11">
        <f t="shared" si="328"/>
        <v>-2885</v>
      </c>
      <c r="AA33" s="11">
        <f t="shared" si="328"/>
        <v>-328</v>
      </c>
      <c r="AB33" s="11">
        <f t="shared" ref="AB33" si="330">AB30-AB29</f>
        <v>0</v>
      </c>
      <c r="AC33" s="9">
        <f t="shared" ref="AC33:AD33" si="331">AC30-AC29</f>
        <v>-33331</v>
      </c>
      <c r="AD33" s="216">
        <f t="shared" si="331"/>
        <v>19258</v>
      </c>
      <c r="AE33" s="11">
        <f t="shared" si="328"/>
        <v>69</v>
      </c>
      <c r="AF33" s="11">
        <f t="shared" si="328"/>
        <v>391</v>
      </c>
      <c r="AG33" s="11">
        <f t="shared" si="328"/>
        <v>1643</v>
      </c>
      <c r="AH33" s="11">
        <f t="shared" si="328"/>
        <v>0</v>
      </c>
      <c r="AI33" s="11">
        <f t="shared" si="328"/>
        <v>0</v>
      </c>
      <c r="AJ33" s="11">
        <f t="shared" si="328"/>
        <v>612</v>
      </c>
      <c r="AK33" s="11">
        <f t="shared" si="328"/>
        <v>137103</v>
      </c>
      <c r="AL33" s="11">
        <f t="shared" si="328"/>
        <v>30055</v>
      </c>
      <c r="AM33" s="11">
        <f t="shared" si="328"/>
        <v>0</v>
      </c>
      <c r="AN33" s="11">
        <f t="shared" si="328"/>
        <v>-40</v>
      </c>
      <c r="AO33" s="9">
        <f t="shared" si="328"/>
        <v>-58991</v>
      </c>
      <c r="AP33" s="11">
        <f t="shared" si="328"/>
        <v>-85861</v>
      </c>
      <c r="AQ33" s="9">
        <f t="shared" si="328"/>
        <v>0</v>
      </c>
      <c r="AR33" s="11">
        <f t="shared" si="328"/>
        <v>0</v>
      </c>
      <c r="AS33" s="11">
        <f t="shared" si="328"/>
        <v>0</v>
      </c>
      <c r="AT33" s="11">
        <f t="shared" si="328"/>
        <v>0</v>
      </c>
      <c r="AU33" s="11">
        <f t="shared" si="328"/>
        <v>0</v>
      </c>
      <c r="AV33" s="11">
        <f t="shared" si="328"/>
        <v>0</v>
      </c>
      <c r="AW33" s="11">
        <f t="shared" si="328"/>
        <v>115</v>
      </c>
      <c r="AX33" s="11">
        <f t="shared" si="328"/>
        <v>368</v>
      </c>
      <c r="AY33" s="11">
        <f t="shared" si="328"/>
        <v>-115</v>
      </c>
      <c r="AZ33" s="11">
        <f t="shared" si="328"/>
        <v>0</v>
      </c>
      <c r="BA33" s="11">
        <f t="shared" si="328"/>
        <v>0</v>
      </c>
      <c r="BB33" s="9">
        <f t="shared" si="328"/>
        <v>-26787</v>
      </c>
      <c r="BC33" s="11">
        <f t="shared" si="328"/>
        <v>-1761</v>
      </c>
      <c r="BD33" s="11">
        <f t="shared" si="328"/>
        <v>-1761</v>
      </c>
      <c r="BE33" s="11">
        <f t="shared" si="328"/>
        <v>0</v>
      </c>
      <c r="BF33" s="11">
        <f t="shared" si="328"/>
        <v>-636</v>
      </c>
      <c r="BG33" s="11">
        <f t="shared" si="328"/>
        <v>2529</v>
      </c>
      <c r="BH33" s="9">
        <f t="shared" si="328"/>
        <v>-3067</v>
      </c>
      <c r="BI33" s="9">
        <f t="shared" si="328"/>
        <v>16191</v>
      </c>
      <c r="BJ33" s="11">
        <f t="shared" si="328"/>
        <v>-1293</v>
      </c>
      <c r="BK33" s="49">
        <f t="shared" si="328"/>
        <v>17484</v>
      </c>
      <c r="BM33" s="30">
        <f t="shared" si="216"/>
        <v>-1774</v>
      </c>
    </row>
    <row r="34" spans="1:65">
      <c r="A34" s="128"/>
      <c r="B34" s="5" t="s">
        <v>133</v>
      </c>
      <c r="C34" s="13">
        <f>C33/C29</f>
        <v>-2.4788656905498575E-2</v>
      </c>
      <c r="D34" s="13">
        <f t="shared" ref="D34" si="332">D33/D29</f>
        <v>0.21637896792308089</v>
      </c>
      <c r="E34" s="13">
        <f t="shared" ref="E34" si="333">E33/E29</f>
        <v>-1.6258475162584753E-2</v>
      </c>
      <c r="F34" s="13">
        <f t="shared" ref="F34" si="334">F33/F29</f>
        <v>-2.1829050249512982E-2</v>
      </c>
      <c r="G34" s="13">
        <f t="shared" ref="G34" si="335">G33/G29</f>
        <v>0.11063705879374082</v>
      </c>
      <c r="H34" s="13" t="e">
        <f t="shared" ref="H34" si="336">H33/H29</f>
        <v>#DIV/0!</v>
      </c>
      <c r="I34" s="13" t="e">
        <f t="shared" ref="I34" si="337">I33/I29</f>
        <v>#DIV/0!</v>
      </c>
      <c r="J34" s="13" t="e">
        <f t="shared" ref="J34" si="338">J33/J29</f>
        <v>#DIV/0!</v>
      </c>
      <c r="K34" s="13">
        <f t="shared" ref="K34" si="339">K33/K29</f>
        <v>-0.68074957410562176</v>
      </c>
      <c r="L34" s="13">
        <f t="shared" ref="L34" si="340">L33/L29</f>
        <v>0.29548861932670029</v>
      </c>
      <c r="M34" s="13">
        <f t="shared" ref="M34" si="341">M33/M29</f>
        <v>-0.11532153646957273</v>
      </c>
      <c r="N34" s="13">
        <f t="shared" ref="N34" si="342">N33/N29</f>
        <v>-0.24812030075187969</v>
      </c>
      <c r="O34" s="13">
        <f t="shared" ref="O34" si="343">O33/O29</f>
        <v>0.28985507246376813</v>
      </c>
      <c r="P34" s="13">
        <f t="shared" ref="P34" si="344">P33/P29</f>
        <v>0.15447941888619854</v>
      </c>
      <c r="Q34" s="13" t="e">
        <f t="shared" ref="Q34" si="345">Q33/Q29</f>
        <v>#DIV/0!</v>
      </c>
      <c r="R34" s="13">
        <f t="shared" ref="R34" si="346">R33/R29</f>
        <v>0.19830028328611898</v>
      </c>
      <c r="S34" s="13" t="e">
        <f t="shared" ref="S34" si="347">S33/S29</f>
        <v>#DIV/0!</v>
      </c>
      <c r="T34" s="13" t="e">
        <f t="shared" ref="T34:U34" si="348">T33/T29</f>
        <v>#DIV/0!</v>
      </c>
      <c r="U34" s="13" t="e">
        <f t="shared" si="348"/>
        <v>#DIV/0!</v>
      </c>
      <c r="V34" s="160" t="e">
        <f t="shared" ref="V34" si="349">V33/V29</f>
        <v>#DIV/0!</v>
      </c>
      <c r="W34" s="13" t="e">
        <f t="shared" ref="W34" si="350">W33/W29</f>
        <v>#DIV/0!</v>
      </c>
      <c r="X34" s="13" t="e">
        <f t="shared" ref="X34" si="351">X33/X29</f>
        <v>#DIV/0!</v>
      </c>
      <c r="Y34" s="13">
        <f t="shared" ref="Y34" si="352">Y33/Y29</f>
        <v>-0.36864864864864866</v>
      </c>
      <c r="Z34" s="13">
        <f t="shared" ref="Z34" si="353">Z33/Z29</f>
        <v>-0.9437356885835787</v>
      </c>
      <c r="AA34" s="13">
        <f t="shared" ref="AA34:AD34" si="354">AA33/AA29</f>
        <v>-0.75576036866359442</v>
      </c>
      <c r="AB34" s="13" t="e">
        <f t="shared" ref="AB34" si="355">AB33/AB29</f>
        <v>#DIV/0!</v>
      </c>
      <c r="AC34" s="160">
        <f t="shared" si="354"/>
        <v>-0.31784372437205577</v>
      </c>
      <c r="AD34" s="217">
        <f t="shared" si="354"/>
        <v>1.1931203212714061E-2</v>
      </c>
      <c r="AE34" s="13">
        <f t="shared" ref="AE34" si="356">AE33/AE29</f>
        <v>7.5409836065573776E-2</v>
      </c>
      <c r="AF34" s="13">
        <f t="shared" ref="AF34" si="357">AF33/AF29</f>
        <v>0.47741147741147744</v>
      </c>
      <c r="AG34" s="13">
        <f t="shared" ref="AG34" si="358">AG33/AG29</f>
        <v>2.2384196185286105</v>
      </c>
      <c r="AH34" s="13" t="e">
        <f t="shared" ref="AH34" si="359">AH33/AH29</f>
        <v>#DIV/0!</v>
      </c>
      <c r="AI34" s="13" t="e">
        <f t="shared" ref="AI34" si="360">AI33/AI29</f>
        <v>#DIV/0!</v>
      </c>
      <c r="AJ34" s="13">
        <f t="shared" ref="AJ34" si="361">AJ33/AJ29</f>
        <v>4.4347826086956523</v>
      </c>
      <c r="AK34" s="13">
        <f t="shared" ref="AK34" si="362">AK33/AK29</f>
        <v>0.28929566171505738</v>
      </c>
      <c r="AL34" s="13">
        <f t="shared" ref="AL34" si="363">AL33/AL29</f>
        <v>0.383183527761841</v>
      </c>
      <c r="AM34" s="13" t="e">
        <f t="shared" ref="AM34" si="364">AM33/AM29</f>
        <v>#DIV/0!</v>
      </c>
      <c r="AN34" s="13">
        <f t="shared" ref="AN34" si="365">AN33/AN29</f>
        <v>-0.125</v>
      </c>
      <c r="AO34" s="160">
        <f t="shared" ref="AO34" si="366">AO33/AO29</f>
        <v>-0.46633938876503978</v>
      </c>
      <c r="AP34" s="13">
        <f t="shared" ref="AP34" si="367">AP33/AP29</f>
        <v>3.7777631115804295</v>
      </c>
      <c r="AQ34" s="160" t="e">
        <f t="shared" ref="AQ34" si="368">AQ33/AQ29</f>
        <v>#DIV/0!</v>
      </c>
      <c r="AR34" s="13" t="e">
        <f t="shared" ref="AR34" si="369">AR33/AR29</f>
        <v>#DIV/0!</v>
      </c>
      <c r="AS34" s="13" t="e">
        <f t="shared" ref="AS34" si="370">AS33/AS29</f>
        <v>#DIV/0!</v>
      </c>
      <c r="AT34" s="13" t="e">
        <f t="shared" ref="AT34" si="371">AT33/AT29</f>
        <v>#DIV/0!</v>
      </c>
      <c r="AU34" s="13" t="e">
        <f t="shared" ref="AU34" si="372">AU33/AU29</f>
        <v>#DIV/0!</v>
      </c>
      <c r="AV34" s="13" t="e">
        <f t="shared" ref="AV34" si="373">AV33/AV29</f>
        <v>#DIV/0!</v>
      </c>
      <c r="AW34" s="13" t="e">
        <f t="shared" ref="AW34" si="374">AW33/AW29</f>
        <v>#DIV/0!</v>
      </c>
      <c r="AX34" s="13" t="e">
        <f t="shared" ref="AX34" si="375">AX33/AX29</f>
        <v>#DIV/0!</v>
      </c>
      <c r="AY34" s="13">
        <f t="shared" ref="AY34" si="376">AY33/AY29</f>
        <v>-1</v>
      </c>
      <c r="AZ34" s="13" t="e">
        <f t="shared" ref="AZ34" si="377">AZ33/AZ29</f>
        <v>#DIV/0!</v>
      </c>
      <c r="BA34" s="13" t="e">
        <f t="shared" ref="BA34" si="378">BA33/BA29</f>
        <v>#DIV/0!</v>
      </c>
      <c r="BB34" s="160">
        <f t="shared" ref="BB34" si="379">BB33/BB29</f>
        <v>-0.26412731593322619</v>
      </c>
      <c r="BC34" s="13">
        <f t="shared" ref="BC34" si="380">BC33/BC29</f>
        <v>-0.23361634385778721</v>
      </c>
      <c r="BD34" s="13">
        <f t="shared" ref="BD34" si="381">BD33/BD29</f>
        <v>-0.23361634385778721</v>
      </c>
      <c r="BE34" s="13" t="e">
        <f t="shared" ref="BE34" si="382">BE33/BE29</f>
        <v>#DIV/0!</v>
      </c>
      <c r="BF34" s="13">
        <f t="shared" ref="BF34" si="383">BF33/BF29</f>
        <v>-4.7272186710272036E-2</v>
      </c>
      <c r="BG34" s="13">
        <f t="shared" ref="BG34:BH34" si="384">BG33/BG29</f>
        <v>8.1318327974276521</v>
      </c>
      <c r="BH34" s="160">
        <f t="shared" si="384"/>
        <v>-3.885111169662944E-3</v>
      </c>
      <c r="BI34" s="160">
        <f t="shared" ref="BI34" si="385">BI33/BI29</f>
        <v>6.7363952151664793E-3</v>
      </c>
      <c r="BJ34" s="13">
        <f t="shared" ref="BJ34:BK34" si="386">BJ33/BJ29</f>
        <v>-1</v>
      </c>
      <c r="BK34" s="50">
        <f t="shared" si="386"/>
        <v>7.2782736620906176E-3</v>
      </c>
      <c r="BM34" s="14">
        <f t="shared" ref="BM34" si="387">BM33/BM29</f>
        <v>-2.2508948385484141E-3</v>
      </c>
    </row>
    <row r="35" spans="1:65">
      <c r="A35" s="128"/>
      <c r="B35" s="5" t="s">
        <v>340</v>
      </c>
      <c r="C35" s="126">
        <f>C30/C27</f>
        <v>0.85737804509989857</v>
      </c>
      <c r="D35" s="126">
        <f t="shared" ref="D35:BK35" si="388">D30/D27</f>
        <v>0.85354192996565947</v>
      </c>
      <c r="E35" s="126">
        <f t="shared" si="388"/>
        <v>0.86238476467734104</v>
      </c>
      <c r="F35" s="126">
        <f t="shared" si="388"/>
        <v>0.84784770892605188</v>
      </c>
      <c r="G35" s="126">
        <f t="shared" si="388"/>
        <v>0.9015394417725161</v>
      </c>
      <c r="H35" s="126" t="e">
        <f t="shared" si="388"/>
        <v>#DIV/0!</v>
      </c>
      <c r="I35" s="126" t="e">
        <f t="shared" si="388"/>
        <v>#DIV/0!</v>
      </c>
      <c r="J35" s="126" t="e">
        <f t="shared" si="388"/>
        <v>#DIV/0!</v>
      </c>
      <c r="K35" s="126">
        <f t="shared" si="388"/>
        <v>0.25093733261917517</v>
      </c>
      <c r="L35" s="126">
        <f t="shared" si="388"/>
        <v>0.7930746766791823</v>
      </c>
      <c r="M35" s="126">
        <f t="shared" si="388"/>
        <v>0.8080895687140266</v>
      </c>
      <c r="N35" s="126">
        <f t="shared" si="388"/>
        <v>0.390625</v>
      </c>
      <c r="O35" s="126">
        <f t="shared" si="388"/>
        <v>0.77429778772060653</v>
      </c>
      <c r="P35" s="126">
        <f t="shared" si="388"/>
        <v>1.0037894736842106</v>
      </c>
      <c r="Q35" s="126" t="e">
        <f t="shared" si="388"/>
        <v>#DIV/0!</v>
      </c>
      <c r="R35" s="126">
        <f t="shared" si="388"/>
        <v>0.99831422791638569</v>
      </c>
      <c r="S35" s="126" t="e">
        <f t="shared" si="388"/>
        <v>#DIV/0!</v>
      </c>
      <c r="T35" s="126" t="e">
        <f t="shared" si="388"/>
        <v>#DIV/0!</v>
      </c>
      <c r="U35" s="126" t="e">
        <f t="shared" si="388"/>
        <v>#DIV/0!</v>
      </c>
      <c r="V35" s="175">
        <f t="shared" si="388"/>
        <v>0</v>
      </c>
      <c r="W35" s="126" t="e">
        <f t="shared" si="388"/>
        <v>#DIV/0!</v>
      </c>
      <c r="X35" s="126" t="e">
        <f t="shared" si="388"/>
        <v>#DIV/0!</v>
      </c>
      <c r="Y35" s="126">
        <f t="shared" si="388"/>
        <v>0.37435897435897436</v>
      </c>
      <c r="Z35" s="126">
        <f t="shared" si="388"/>
        <v>0.10135533294048321</v>
      </c>
      <c r="AA35" s="126">
        <f t="shared" si="388"/>
        <v>0.27461139896373055</v>
      </c>
      <c r="AB35" s="126" t="e">
        <f t="shared" ref="AB35" si="389">AB30/AB27</f>
        <v>#DIV/0!</v>
      </c>
      <c r="AC35" s="175">
        <f t="shared" si="388"/>
        <v>0.54917510498314892</v>
      </c>
      <c r="AD35" s="218">
        <f t="shared" si="388"/>
        <v>0.83465983681324385</v>
      </c>
      <c r="AE35" s="126">
        <f t="shared" si="388"/>
        <v>0.96850393700787396</v>
      </c>
      <c r="AF35" s="126">
        <f t="shared" si="388"/>
        <v>1.3956170703575548</v>
      </c>
      <c r="AG35" s="126" t="e">
        <f t="shared" si="388"/>
        <v>#DIV/0!</v>
      </c>
      <c r="AH35" s="126" t="e">
        <f t="shared" si="388"/>
        <v>#DIV/0!</v>
      </c>
      <c r="AI35" s="126" t="e">
        <f t="shared" si="388"/>
        <v>#DIV/0!</v>
      </c>
      <c r="AJ35" s="126">
        <f t="shared" si="388"/>
        <v>3.3482142857142856</v>
      </c>
      <c r="AK35" s="126">
        <f t="shared" si="388"/>
        <v>0.74499554970311033</v>
      </c>
      <c r="AL35" s="126">
        <f t="shared" si="388"/>
        <v>1.1459565658272772</v>
      </c>
      <c r="AM35" s="126" t="e">
        <f t="shared" si="388"/>
        <v>#DIV/0!</v>
      </c>
      <c r="AN35" s="126" t="e">
        <f t="shared" si="388"/>
        <v>#DIV/0!</v>
      </c>
      <c r="AO35" s="175">
        <f t="shared" si="388"/>
        <v>0.5389048991354467</v>
      </c>
      <c r="AP35" s="126">
        <f t="shared" si="388"/>
        <v>4.9017740260912745</v>
      </c>
      <c r="AQ35" s="175" t="e">
        <f t="shared" si="388"/>
        <v>#DIV/0!</v>
      </c>
      <c r="AR35" s="126" t="e">
        <f t="shared" si="388"/>
        <v>#DIV/0!</v>
      </c>
      <c r="AS35" s="126" t="e">
        <f t="shared" si="388"/>
        <v>#DIV/0!</v>
      </c>
      <c r="AT35" s="126" t="e">
        <f t="shared" si="388"/>
        <v>#DIV/0!</v>
      </c>
      <c r="AU35" s="126" t="e">
        <f t="shared" si="388"/>
        <v>#DIV/0!</v>
      </c>
      <c r="AV35" s="126" t="e">
        <f t="shared" si="388"/>
        <v>#DIV/0!</v>
      </c>
      <c r="AW35" s="126">
        <f t="shared" si="388"/>
        <v>0.22682445759368836</v>
      </c>
      <c r="AX35" s="126">
        <f t="shared" si="388"/>
        <v>0.76190476190476186</v>
      </c>
      <c r="AY35" s="126" t="e">
        <f t="shared" si="388"/>
        <v>#DIV/0!</v>
      </c>
      <c r="AZ35" s="126" t="e">
        <f t="shared" si="388"/>
        <v>#DIV/0!</v>
      </c>
      <c r="BA35" s="126" t="e">
        <f t="shared" si="388"/>
        <v>#DIV/0!</v>
      </c>
      <c r="BB35" s="175">
        <f t="shared" si="388"/>
        <v>0.35165674004825093</v>
      </c>
      <c r="BC35" s="126">
        <f t="shared" si="388"/>
        <v>0.65409873188405798</v>
      </c>
      <c r="BD35" s="126">
        <f t="shared" si="388"/>
        <v>0.65409873188405798</v>
      </c>
      <c r="BE35" s="126" t="e">
        <f t="shared" si="388"/>
        <v>#DIV/0!</v>
      </c>
      <c r="BF35" s="126">
        <f t="shared" si="388"/>
        <v>1.1347379603399435</v>
      </c>
      <c r="BG35" s="126">
        <f t="shared" si="388"/>
        <v>6.729857819905213</v>
      </c>
      <c r="BH35" s="175">
        <f t="shared" si="388"/>
        <v>0.62277859659654744</v>
      </c>
      <c r="BI35" s="175">
        <f t="shared" si="388"/>
        <v>0.75156341336295229</v>
      </c>
      <c r="BJ35" s="126">
        <f t="shared" si="388"/>
        <v>0</v>
      </c>
      <c r="BK35" s="126">
        <f t="shared" si="388"/>
        <v>0.75497722308892357</v>
      </c>
      <c r="BM35" s="126" t="e">
        <f t="shared" ref="BM35" si="390">BM30/BM27</f>
        <v>#DIV/0!</v>
      </c>
    </row>
    <row r="36" spans="1:65" s="178" customFormat="1">
      <c r="A36" s="128"/>
      <c r="B36" s="5" t="s">
        <v>341</v>
      </c>
      <c r="C36" s="11">
        <f>C27-C30</f>
        <v>146493</v>
      </c>
      <c r="D36" s="11">
        <f t="shared" ref="D36:BK36" si="391">D27-D30</f>
        <v>68835</v>
      </c>
      <c r="E36" s="11">
        <f t="shared" si="391"/>
        <v>6807</v>
      </c>
      <c r="F36" s="11">
        <f t="shared" si="391"/>
        <v>19734</v>
      </c>
      <c r="G36" s="11">
        <f t="shared" si="391"/>
        <v>9581</v>
      </c>
      <c r="H36" s="11">
        <f t="shared" si="391"/>
        <v>0</v>
      </c>
      <c r="I36" s="11">
        <f t="shared" si="391"/>
        <v>0</v>
      </c>
      <c r="J36" s="11">
        <f t="shared" si="391"/>
        <v>0</v>
      </c>
      <c r="K36" s="11">
        <f t="shared" si="391"/>
        <v>2797</v>
      </c>
      <c r="L36" s="11">
        <f t="shared" si="391"/>
        <v>2480</v>
      </c>
      <c r="M36" s="11">
        <f t="shared" si="391"/>
        <v>2434</v>
      </c>
      <c r="N36" s="11">
        <f t="shared" si="391"/>
        <v>156</v>
      </c>
      <c r="O36" s="11">
        <f t="shared" si="391"/>
        <v>908</v>
      </c>
      <c r="P36" s="11">
        <f t="shared" si="391"/>
        <v>-45</v>
      </c>
      <c r="Q36" s="11">
        <f t="shared" si="391"/>
        <v>0</v>
      </c>
      <c r="R36" s="11">
        <f t="shared" si="391"/>
        <v>5</v>
      </c>
      <c r="S36" s="11">
        <f t="shared" si="391"/>
        <v>0</v>
      </c>
      <c r="T36" s="11">
        <f t="shared" si="391"/>
        <v>0</v>
      </c>
      <c r="U36" s="11">
        <f t="shared" si="391"/>
        <v>0</v>
      </c>
      <c r="V36" s="11">
        <f t="shared" si="391"/>
        <v>1864</v>
      </c>
      <c r="W36" s="11">
        <f t="shared" si="391"/>
        <v>0</v>
      </c>
      <c r="X36" s="11">
        <f t="shared" si="391"/>
        <v>0</v>
      </c>
      <c r="Y36" s="11">
        <f t="shared" si="391"/>
        <v>976</v>
      </c>
      <c r="Z36" s="11">
        <f t="shared" si="391"/>
        <v>1525</v>
      </c>
      <c r="AA36" s="11">
        <f t="shared" si="391"/>
        <v>280</v>
      </c>
      <c r="AB36" s="11">
        <f t="shared" si="391"/>
        <v>0</v>
      </c>
      <c r="AC36" s="11">
        <f t="shared" si="391"/>
        <v>58724</v>
      </c>
      <c r="AD36" s="11">
        <f t="shared" si="391"/>
        <v>323554</v>
      </c>
      <c r="AE36" s="11">
        <f t="shared" si="391"/>
        <v>32</v>
      </c>
      <c r="AF36" s="11">
        <f t="shared" si="391"/>
        <v>-343</v>
      </c>
      <c r="AG36" s="11">
        <f t="shared" si="391"/>
        <v>-2377</v>
      </c>
      <c r="AH36" s="11">
        <f t="shared" si="391"/>
        <v>0</v>
      </c>
      <c r="AI36" s="11">
        <f t="shared" si="391"/>
        <v>0</v>
      </c>
      <c r="AJ36" s="11">
        <f t="shared" si="391"/>
        <v>-526</v>
      </c>
      <c r="AK36" s="11">
        <f t="shared" si="391"/>
        <v>209147</v>
      </c>
      <c r="AL36" s="11">
        <f t="shared" si="391"/>
        <v>-13818</v>
      </c>
      <c r="AM36" s="11">
        <f t="shared" si="391"/>
        <v>0</v>
      </c>
      <c r="AN36" s="11">
        <f t="shared" si="391"/>
        <v>-280</v>
      </c>
      <c r="AO36" s="11">
        <f t="shared" si="391"/>
        <v>57760</v>
      </c>
      <c r="AP36" s="11">
        <f t="shared" si="391"/>
        <v>86436</v>
      </c>
      <c r="AQ36" s="11">
        <f t="shared" si="391"/>
        <v>0</v>
      </c>
      <c r="AR36" s="11">
        <f t="shared" si="391"/>
        <v>0</v>
      </c>
      <c r="AS36" s="11">
        <f t="shared" si="391"/>
        <v>0</v>
      </c>
      <c r="AT36" s="11">
        <f t="shared" si="391"/>
        <v>0</v>
      </c>
      <c r="AU36" s="11">
        <f t="shared" si="391"/>
        <v>0</v>
      </c>
      <c r="AV36" s="11">
        <f t="shared" si="391"/>
        <v>0</v>
      </c>
      <c r="AW36" s="11">
        <f t="shared" si="391"/>
        <v>392</v>
      </c>
      <c r="AX36" s="11">
        <f t="shared" si="391"/>
        <v>115</v>
      </c>
      <c r="AY36" s="11">
        <f t="shared" si="391"/>
        <v>0</v>
      </c>
      <c r="AZ36" s="11">
        <f t="shared" si="391"/>
        <v>0</v>
      </c>
      <c r="BA36" s="11">
        <f t="shared" si="391"/>
        <v>0</v>
      </c>
      <c r="BB36" s="11">
        <f t="shared" si="391"/>
        <v>137594</v>
      </c>
      <c r="BC36" s="11">
        <f t="shared" si="391"/>
        <v>3055</v>
      </c>
      <c r="BD36" s="11">
        <f t="shared" si="391"/>
        <v>3055</v>
      </c>
      <c r="BE36" s="11">
        <f t="shared" si="391"/>
        <v>0</v>
      </c>
      <c r="BF36" s="11">
        <f t="shared" si="391"/>
        <v>-1522</v>
      </c>
      <c r="BG36" s="11">
        <f t="shared" si="391"/>
        <v>-2418</v>
      </c>
      <c r="BH36" s="11">
        <f t="shared" si="391"/>
        <v>476302</v>
      </c>
      <c r="BI36" s="11">
        <f t="shared" si="391"/>
        <v>799856</v>
      </c>
      <c r="BJ36" s="11">
        <f t="shared" si="391"/>
        <v>14558</v>
      </c>
      <c r="BK36" s="11">
        <f t="shared" si="391"/>
        <v>785298</v>
      </c>
      <c r="BL36" s="11">
        <f t="shared" ref="BL36:BM36" si="392">BL30-BL27</f>
        <v>2419702</v>
      </c>
      <c r="BM36" s="11">
        <f t="shared" si="392"/>
        <v>786357</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9"/>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9"/>
      <c r="BJ37" s="5"/>
      <c r="BK37" s="48"/>
    </row>
    <row r="38" spans="1:65" s="266" customFormat="1">
      <c r="A38" s="15" t="s">
        <v>136</v>
      </c>
      <c r="B38" s="11" t="s">
        <v>336</v>
      </c>
      <c r="C38" s="267">
        <v>1714502</v>
      </c>
      <c r="D38" s="120">
        <v>784238</v>
      </c>
      <c r="E38" s="120">
        <v>73815</v>
      </c>
      <c r="F38" s="120">
        <v>224132</v>
      </c>
      <c r="G38" s="120">
        <v>132849</v>
      </c>
      <c r="H38" s="120"/>
      <c r="I38" s="120"/>
      <c r="J38" s="120"/>
      <c r="K38" s="120">
        <v>3694</v>
      </c>
      <c r="L38" s="120">
        <v>62334</v>
      </c>
      <c r="M38" s="120">
        <v>34360</v>
      </c>
      <c r="N38" s="120">
        <v>908</v>
      </c>
      <c r="O38" s="120">
        <v>5542</v>
      </c>
      <c r="P38" s="120">
        <v>44721</v>
      </c>
      <c r="Q38" s="120"/>
      <c r="R38" s="120">
        <v>5217</v>
      </c>
      <c r="S38" s="120"/>
      <c r="T38" s="120"/>
      <c r="U38" s="120"/>
      <c r="V38" s="268">
        <v>805489</v>
      </c>
      <c r="W38" s="120">
        <v>732</v>
      </c>
      <c r="X38" s="120"/>
      <c r="Y38" s="120">
        <v>3522</v>
      </c>
      <c r="Z38" s="120">
        <v>1089</v>
      </c>
      <c r="AA38" s="120">
        <v>648</v>
      </c>
      <c r="AB38" s="120">
        <v>3398</v>
      </c>
      <c r="AC38" s="268">
        <v>1653325</v>
      </c>
      <c r="AD38" s="121">
        <f t="shared" ref="AD38" si="393">SUM(C38:AC38)</f>
        <v>5554515</v>
      </c>
      <c r="AE38" s="120">
        <v>732</v>
      </c>
      <c r="AF38" s="120">
        <v>224</v>
      </c>
      <c r="AG38" s="120">
        <v>2</v>
      </c>
      <c r="AH38" s="120"/>
      <c r="AI38" s="120"/>
      <c r="AJ38" s="120"/>
      <c r="AK38" s="120">
        <v>410907</v>
      </c>
      <c r="AL38" s="120">
        <v>54635</v>
      </c>
      <c r="AM38" s="268">
        <v>540</v>
      </c>
      <c r="AN38" s="120"/>
      <c r="AO38" s="268">
        <v>128608</v>
      </c>
      <c r="AP38" s="120">
        <v>-491194</v>
      </c>
      <c r="AQ38" s="268">
        <v>857225</v>
      </c>
      <c r="AR38" s="120"/>
      <c r="AS38" s="120"/>
      <c r="AT38" s="120"/>
      <c r="AU38" s="120"/>
      <c r="AV38" s="120"/>
      <c r="AW38" s="120"/>
      <c r="AX38" s="120"/>
      <c r="AY38" s="120"/>
      <c r="AZ38" s="120"/>
      <c r="BA38" s="120"/>
      <c r="BB38" s="268">
        <v>1716102</v>
      </c>
      <c r="BC38" s="120">
        <v>3203</v>
      </c>
      <c r="BD38" s="120">
        <v>3203</v>
      </c>
      <c r="BE38" s="120"/>
      <c r="BF38" s="120">
        <v>25911</v>
      </c>
      <c r="BG38" s="120">
        <v>553</v>
      </c>
      <c r="BH38" s="120">
        <f t="shared" ref="BH38" si="394">SUM(AE38:BG38)</f>
        <v>2710651</v>
      </c>
      <c r="BI38" s="125">
        <f t="shared" ref="BI38" si="395">AD38+BH38</f>
        <v>8265166</v>
      </c>
      <c r="BJ38" s="276">
        <v>142166</v>
      </c>
      <c r="BK38" s="124">
        <f t="shared" ref="BK38" si="396">BI38-BJ38</f>
        <v>8123000</v>
      </c>
    </row>
    <row r="39" spans="1:65" s="41" customFormat="1">
      <c r="A39" s="134" t="s">
        <v>136</v>
      </c>
      <c r="B39" s="210" t="s">
        <v>429</v>
      </c>
      <c r="C39" s="267">
        <v>1560640</v>
      </c>
      <c r="D39" s="120">
        <v>701284</v>
      </c>
      <c r="E39" s="120">
        <v>72221</v>
      </c>
      <c r="F39" s="120">
        <v>203937</v>
      </c>
      <c r="G39" s="120">
        <v>119767</v>
      </c>
      <c r="H39" s="120"/>
      <c r="I39" s="120"/>
      <c r="J39" s="120"/>
      <c r="K39" s="120">
        <v>3650</v>
      </c>
      <c r="L39" s="120">
        <v>53715</v>
      </c>
      <c r="M39" s="120">
        <v>31489</v>
      </c>
      <c r="N39" s="120">
        <v>791</v>
      </c>
      <c r="O39" s="120">
        <v>4477</v>
      </c>
      <c r="P39" s="120">
        <v>40144</v>
      </c>
      <c r="Q39" s="120"/>
      <c r="R39" s="120">
        <v>4721</v>
      </c>
      <c r="S39" s="120"/>
      <c r="T39" s="120"/>
      <c r="U39" s="120"/>
      <c r="V39" s="268">
        <v>737349</v>
      </c>
      <c r="W39" s="120">
        <v>549</v>
      </c>
      <c r="X39" s="120"/>
      <c r="Y39" s="120">
        <v>3522</v>
      </c>
      <c r="Z39" s="120">
        <v>1089</v>
      </c>
      <c r="AA39" s="120">
        <v>623</v>
      </c>
      <c r="AB39" s="120">
        <v>3127</v>
      </c>
      <c r="AC39" s="268">
        <v>1490996</v>
      </c>
      <c r="AD39" s="121">
        <f t="shared" ref="AD39" si="397">SUM(C39:AC39)</f>
        <v>5034091</v>
      </c>
      <c r="AE39" s="120">
        <v>695</v>
      </c>
      <c r="AF39" s="120">
        <v>204</v>
      </c>
      <c r="AG39" s="120">
        <v>2</v>
      </c>
      <c r="AH39" s="120"/>
      <c r="AI39" s="120"/>
      <c r="AJ39" s="120"/>
      <c r="AK39" s="120">
        <v>358539</v>
      </c>
      <c r="AL39" s="120">
        <v>47191</v>
      </c>
      <c r="AM39" s="268">
        <v>492</v>
      </c>
      <c r="AN39" s="120"/>
      <c r="AO39" s="268">
        <v>115157</v>
      </c>
      <c r="AP39" s="120">
        <v>-491194</v>
      </c>
      <c r="AQ39" s="268">
        <v>754106</v>
      </c>
      <c r="AR39" s="120"/>
      <c r="AS39" s="120"/>
      <c r="AT39" s="120"/>
      <c r="AU39" s="120"/>
      <c r="AV39" s="120"/>
      <c r="AW39" s="120"/>
      <c r="AX39" s="120"/>
      <c r="AY39" s="120"/>
      <c r="AZ39" s="120"/>
      <c r="BA39" s="120"/>
      <c r="BB39" s="268">
        <v>1529834</v>
      </c>
      <c r="BC39" s="120">
        <v>2952</v>
      </c>
      <c r="BD39" s="120">
        <v>2954</v>
      </c>
      <c r="BE39" s="120"/>
      <c r="BF39" s="120">
        <v>22189</v>
      </c>
      <c r="BG39" s="120">
        <v>430</v>
      </c>
      <c r="BH39" s="10">
        <f>SUM(AE39:BG39)</f>
        <v>2343551</v>
      </c>
      <c r="BI39" s="249">
        <f>AD39+BH39</f>
        <v>7377642</v>
      </c>
      <c r="BJ39" s="276">
        <v>128076</v>
      </c>
      <c r="BK39" s="10">
        <f t="shared" ref="BK39" si="398">BI39-BJ39</f>
        <v>7249566</v>
      </c>
      <c r="BM39" s="211"/>
    </row>
    <row r="40" spans="1:65">
      <c r="A40" s="128"/>
      <c r="B40" s="12" t="s">
        <v>430</v>
      </c>
      <c r="C40" s="9">
        <f>IF('Upto Month COPPY'!$E$4="",0,'Upto Month COPPY'!$E$4)</f>
        <v>1518365</v>
      </c>
      <c r="D40" s="9">
        <f>IF('Upto Month COPPY'!$E$5="",0,'Upto Month COPPY'!$E$5)</f>
        <v>564104</v>
      </c>
      <c r="E40" s="9">
        <f>IF('Upto Month COPPY'!$E$6="",0,'Upto Month COPPY'!$E$6)</f>
        <v>70297</v>
      </c>
      <c r="F40" s="9">
        <f>IF('Upto Month COPPY'!$E$7="",0,'Upto Month COPPY'!$E$7)</f>
        <v>196267</v>
      </c>
      <c r="G40" s="9">
        <f>IF('Upto Month COPPY'!$E$8="",0,'Upto Month COPPY'!$E$8)</f>
        <v>112478</v>
      </c>
      <c r="H40" s="9">
        <f>IF('Upto Month COPPY'!$E$9="",0,'Upto Month COPPY'!$E$9)</f>
        <v>0</v>
      </c>
      <c r="I40" s="9">
        <f>IF('Upto Month COPPY'!$E$10="",0,'Upto Month COPPY'!$E$10)</f>
        <v>0</v>
      </c>
      <c r="J40" s="9">
        <f>IF('Upto Month COPPY'!$E$11="",0,'Upto Month COPPY'!$E$11)</f>
        <v>0</v>
      </c>
      <c r="K40" s="9">
        <f>IF('Upto Month COPPY'!$E$12="",0,'Upto Month COPPY'!$E$12)</f>
        <v>3311</v>
      </c>
      <c r="L40" s="9">
        <f>IF('Upto Month COPPY'!$E$13="",0,'Upto Month COPPY'!$E$13)</f>
        <v>38164</v>
      </c>
      <c r="M40" s="9">
        <f>IF('Upto Month COPPY'!$E$14="",0,'Upto Month COPPY'!$E$14)</f>
        <v>31380</v>
      </c>
      <c r="N40" s="9">
        <f>IF('Upto Month COPPY'!$E$15="",0,'Upto Month COPPY'!$E$15)</f>
        <v>497</v>
      </c>
      <c r="O40" s="9">
        <f>IF('Upto Month COPPY'!$E$16="",0,'Upto Month COPPY'!$E$16)</f>
        <v>4206</v>
      </c>
      <c r="P40" s="9">
        <f>IF('Upto Month COPPY'!$E$17="",0,'Upto Month COPPY'!$E$17)</f>
        <v>39098</v>
      </c>
      <c r="Q40" s="9">
        <f>IF('Upto Month COPPY'!$E$18="",0,'Upto Month COPPY'!$E$18)</f>
        <v>0</v>
      </c>
      <c r="R40" s="9">
        <f>IF('Upto Month COPPY'!$E$21="",0,'Upto Month COPPY'!$E$21)</f>
        <v>4349</v>
      </c>
      <c r="S40" s="9">
        <f>IF('Upto Month COPPY'!$E$26="",0,'Upto Month COPPY'!$E$26)</f>
        <v>0</v>
      </c>
      <c r="T40" s="9">
        <f>IF('Upto Month COPPY'!$E$27="",0,'Upto Month COPPY'!$E$27)</f>
        <v>0</v>
      </c>
      <c r="U40" s="9">
        <f>IF('Upto Month COPPY'!$E$30="",0,'Upto Month COPPY'!$E$30)</f>
        <v>0</v>
      </c>
      <c r="V40" s="9">
        <f>IF('Upto Month COPPY'!$E$35="",0,'Upto Month COPPY'!$E$35)</f>
        <v>620467</v>
      </c>
      <c r="W40" s="9">
        <f>IF('Upto Month COPPY'!$E$39="",0,'Upto Month COPPY'!$E$39)</f>
        <v>0</v>
      </c>
      <c r="X40" s="9">
        <f>IF('Upto Month COPPY'!$E$40="",0,'Upto Month COPPY'!$E$40)</f>
        <v>0</v>
      </c>
      <c r="Y40" s="9">
        <f>IF('Upto Month COPPY'!$E$42="",0,'Upto Month COPPY'!$E$42)</f>
        <v>4029</v>
      </c>
      <c r="Z40" s="9">
        <f>IF('Upto Month COPPY'!$E$43="",0,'Upto Month COPPY'!$E$43)</f>
        <v>3294</v>
      </c>
      <c r="AA40" s="9">
        <f>IF('Upto Month COPPY'!$E$44="",0,'Upto Month COPPY'!$E$44)</f>
        <v>1202</v>
      </c>
      <c r="AB40" s="9">
        <f>IF('Upto Month COPPY'!$E$48="",0,'Upto Month COPPY'!$E$48)</f>
        <v>0</v>
      </c>
      <c r="AC40" s="9">
        <f>IF('Upto Month COPPY'!$E$51="",0,'Upto Month COPPY'!$E$51)</f>
        <v>1497934</v>
      </c>
      <c r="AD40" s="221">
        <f t="shared" ref="AD40:AD41" si="399">SUM(C40:AC40)</f>
        <v>4709442</v>
      </c>
      <c r="AE40" s="9">
        <f>IF('Upto Month COPPY'!$E$19="",0,'Upto Month COPPY'!$E$19)</f>
        <v>646</v>
      </c>
      <c r="AF40" s="9">
        <f>IF('Upto Month COPPY'!$E$20="",0,'Upto Month COPPY'!$E$20)</f>
        <v>832</v>
      </c>
      <c r="AG40" s="9">
        <f>IF('Upto Month COPPY'!$E$22="",0,'Upto Month COPPY'!$E$22)</f>
        <v>2</v>
      </c>
      <c r="AH40" s="9">
        <f>IF('Upto Month COPPY'!$E$23="",0,'Upto Month COPPY'!$E$23)</f>
        <v>0</v>
      </c>
      <c r="AI40" s="9">
        <f>IF('Upto Month COPPY'!$E$24="",0,'Upto Month COPPY'!$E$24)</f>
        <v>0</v>
      </c>
      <c r="AJ40" s="9">
        <f>IF('Upto Month COPPY'!$E$25="",0,'Upto Month COPPY'!$E$25)</f>
        <v>0</v>
      </c>
      <c r="AK40" s="9">
        <f>IF('Upto Month COPPY'!$E$28="",0,'Upto Month COPPY'!$E$28)</f>
        <v>314029</v>
      </c>
      <c r="AL40" s="9">
        <f>IF('Upto Month COPPY'!$E$29="",0,'Upto Month COPPY'!$E$29)</f>
        <v>35937</v>
      </c>
      <c r="AM40" s="9">
        <f>IF('Upto Month COPPY'!$E$31="",0,'Upto Month COPPY'!$E$31)</f>
        <v>435</v>
      </c>
      <c r="AN40" s="9">
        <f>IF('Upto Month COPPY'!$E$32="",0,'Upto Month COPPY'!$E$32)</f>
        <v>0</v>
      </c>
      <c r="AO40" s="9">
        <f>IF('Upto Month COPPY'!$E$33="",0,'Upto Month COPPY'!$E$33)</f>
        <v>107874</v>
      </c>
      <c r="AP40" s="9">
        <f>IF('Upto Month COPPY'!$E$34="",0,'Upto Month COPPY'!$E$34)</f>
        <v>-480471</v>
      </c>
      <c r="AQ40" s="9">
        <f>IF('Upto Month COPPY'!$E$36="",0,'Upto Month COPPY'!$E$36)</f>
        <v>640115</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1543051</v>
      </c>
      <c r="BC40" s="9">
        <f>IF('Upto Month COPPY'!$E$53="",0,'Upto Month COPPY'!$E$53)</f>
        <v>2602</v>
      </c>
      <c r="BD40" s="9">
        <f>IF('Upto Month COPPY'!$E$54="",0,'Upto Month COPPY'!$E$54)</f>
        <v>2602</v>
      </c>
      <c r="BE40" s="9">
        <f>IF('Upto Month COPPY'!$E$55="",0,'Upto Month COPPY'!$E$55)</f>
        <v>0</v>
      </c>
      <c r="BF40" s="9">
        <f>IF('Upto Month COPPY'!$E$56="",0,'Upto Month COPPY'!$E$56)</f>
        <v>14568</v>
      </c>
      <c r="BG40" s="10">
        <f>IF('Upto Month COPPY'!$E$58="",0,'Upto Month COPPY'!$E$58)</f>
        <v>1030</v>
      </c>
      <c r="BH40" s="9">
        <f>SUM(AE40:BG40)</f>
        <v>2183252</v>
      </c>
      <c r="BI40" s="275">
        <f>AD40+BH40</f>
        <v>6892694</v>
      </c>
      <c r="BJ40" s="9">
        <f>IF('Upto Month COPPY'!$E$60="",0,'Upto Month COPPY'!$E$60)</f>
        <v>24554</v>
      </c>
      <c r="BK40" s="9">
        <f t="shared" ref="BK40:BK41" si="400">BI40-BJ40</f>
        <v>6868140</v>
      </c>
      <c r="BL40">
        <f>'Upto Month COPPY'!$E$61</f>
        <v>6868142</v>
      </c>
      <c r="BM40" s="30">
        <f t="shared" ref="BM40:BM44" si="401">BK40-AD40</f>
        <v>2158698</v>
      </c>
    </row>
    <row r="41" spans="1:65">
      <c r="A41" s="128"/>
      <c r="B41" s="180" t="s">
        <v>431</v>
      </c>
      <c r="C41" s="9">
        <f>IF('Upto Month Current'!$E$4="",0,'Upto Month Current'!$E$4)</f>
        <v>1563644</v>
      </c>
      <c r="D41" s="9">
        <f>IF('Upto Month Current'!$E$5="",0,'Upto Month Current'!$E$5)</f>
        <v>711922</v>
      </c>
      <c r="E41" s="9">
        <f>IF('Upto Month Current'!$E$6="",0,'Upto Month Current'!$E$6)</f>
        <v>71411</v>
      </c>
      <c r="F41" s="9">
        <f>IF('Upto Month Current'!$E$7="",0,'Upto Month Current'!$E$7)</f>
        <v>205539</v>
      </c>
      <c r="G41" s="9">
        <f>IF('Upto Month Current'!$E$8="",0,'Upto Month Current'!$E$8)</f>
        <v>123429</v>
      </c>
      <c r="H41" s="9">
        <f>IF('Upto Month Current'!$E$9="",0,'Upto Month Current'!$E$9)</f>
        <v>0</v>
      </c>
      <c r="I41" s="9">
        <f>IF('Upto Month Current'!$E$10="",0,'Upto Month Current'!$E$10)</f>
        <v>0</v>
      </c>
      <c r="J41" s="9">
        <f>IF('Upto Month Current'!$E$11="",0,'Upto Month Current'!$E$11)</f>
        <v>0</v>
      </c>
      <c r="K41" s="9">
        <f>IF('Upto Month Current'!$E$12="",0,'Upto Month Current'!$E$12)</f>
        <v>1316</v>
      </c>
      <c r="L41" s="9">
        <f>IF('Upto Month Current'!$E$13="",0,'Upto Month Current'!$E$13)</f>
        <v>51128</v>
      </c>
      <c r="M41" s="9">
        <f>IF('Upto Month Current'!$E$14="",0,'Upto Month Current'!$E$14)</f>
        <v>34166</v>
      </c>
      <c r="N41" s="9">
        <f>IF('Upto Month Current'!$E$15="",0,'Upto Month Current'!$E$15)</f>
        <v>658</v>
      </c>
      <c r="O41" s="9">
        <f>IF('Upto Month Current'!$E$16="",0,'Upto Month Current'!$E$16)</f>
        <v>4720</v>
      </c>
      <c r="P41" s="9">
        <f>IF('Upto Month Current'!$E$17="",0,'Upto Month Current'!$E$17)</f>
        <v>45792</v>
      </c>
      <c r="Q41" s="9">
        <f>IF('Upto Month Current'!$E$18="",0,'Upto Month Current'!$E$18)</f>
        <v>0</v>
      </c>
      <c r="R41" s="9">
        <f>IF('Upto Month Current'!$E$21="",0,'Upto Month Current'!$E$21)</f>
        <v>5695</v>
      </c>
      <c r="S41" s="9">
        <f>IF('Upto Month Current'!$E$26="",0,'Upto Month Current'!$E$26)</f>
        <v>0</v>
      </c>
      <c r="T41" s="9">
        <f>IF('Upto Month Current'!$E$27="",0,'Upto Month Current'!$E$27)</f>
        <v>0</v>
      </c>
      <c r="U41" s="9">
        <f>IF('Upto Month Current'!$E$30="",0,'Upto Month Current'!$E$30)</f>
        <v>0</v>
      </c>
      <c r="V41" s="9">
        <f>IF('Upto Month Current'!$E$35="",0,'Upto Month Current'!$E$35)</f>
        <v>613279</v>
      </c>
      <c r="W41" s="9">
        <f>IF('Upto Month Current'!$E$39="",0,'Upto Month Current'!$E$39)</f>
        <v>232</v>
      </c>
      <c r="X41" s="9">
        <f>IF('Upto Month Current'!$E$40="",0,'Upto Month Current'!$E$40)</f>
        <v>0</v>
      </c>
      <c r="Y41" s="9">
        <f>IF('Upto Month Current'!$E$42="",0,'Upto Month Current'!$E$42)</f>
        <v>2742</v>
      </c>
      <c r="Z41" s="9">
        <f>IF('Upto Month Current'!$E$43="",0,'Upto Month Current'!$E$43)</f>
        <v>761</v>
      </c>
      <c r="AA41" s="9">
        <f>IF('Upto Month Current'!$E$44="",0,'Upto Month Current'!$E$44)</f>
        <v>740</v>
      </c>
      <c r="AB41" s="9">
        <f>IF('Upto Month Current'!$E$48="",0,'Upto Month Current'!$E$48)</f>
        <v>0</v>
      </c>
      <c r="AC41" s="9">
        <f>IF('Upto Month Current'!$E$51="",0,'Upto Month Current'!$E$51)</f>
        <v>1226096</v>
      </c>
      <c r="AD41" s="221">
        <f t="shared" si="399"/>
        <v>4663270</v>
      </c>
      <c r="AE41" s="9">
        <f>IF('Upto Month Current'!$E$19="",0,'Upto Month Current'!$E$19)</f>
        <v>787</v>
      </c>
      <c r="AF41" s="9">
        <f>IF('Upto Month Current'!$E$20="",0,'Upto Month Current'!$E$20)</f>
        <v>124</v>
      </c>
      <c r="AG41" s="9">
        <f>IF('Upto Month Current'!$E$22="",0,'Upto Month Current'!$E$22)</f>
        <v>568</v>
      </c>
      <c r="AH41" s="9">
        <f>IF('Upto Month Current'!$E$23="",0,'Upto Month Current'!$E$23)</f>
        <v>0</v>
      </c>
      <c r="AI41" s="9">
        <f>IF('Upto Month Current'!$E$24="",0,'Upto Month Current'!$E$24)</f>
        <v>0</v>
      </c>
      <c r="AJ41" s="9">
        <f>IF('Upto Month Current'!$E$25="",0,'Upto Month Current'!$E$25)</f>
        <v>0</v>
      </c>
      <c r="AK41" s="9">
        <f>IF('Upto Month Current'!$E$28="",0,'Upto Month Current'!$E$28)</f>
        <v>440505</v>
      </c>
      <c r="AL41" s="9">
        <f>IF('Upto Month Current'!$E$29="",0,'Upto Month Current'!$E$29)</f>
        <v>73528</v>
      </c>
      <c r="AM41" s="9">
        <f>IF('Upto Month Current'!$E$31="",0,'Upto Month Current'!$E$31)</f>
        <v>446</v>
      </c>
      <c r="AN41" s="9">
        <f>IF('Upto Month Current'!$E$32="",0,'Upto Month Current'!$E$32)</f>
        <v>0</v>
      </c>
      <c r="AO41" s="9">
        <f>IF('Upto Month Current'!$E$33="",0,'Upto Month Current'!$E$33)</f>
        <v>120319</v>
      </c>
      <c r="AP41" s="9">
        <f>IF('Upto Month Current'!$E$34="",0,'Upto Month Current'!$E$34)</f>
        <v>-596674</v>
      </c>
      <c r="AQ41" s="9">
        <f>IF('Upto Month Current'!$E$36="",0,'Upto Month Current'!$E$36)</f>
        <v>702335</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11</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1386652</v>
      </c>
      <c r="BC41" s="9">
        <f>IF('Upto Month Current'!$E$53="",0,'Upto Month Current'!$E$53)</f>
        <v>2963</v>
      </c>
      <c r="BD41" s="9">
        <f>IF('Upto Month Current'!$E$54="",0,'Upto Month Current'!$E$54)</f>
        <v>2963</v>
      </c>
      <c r="BE41" s="9">
        <f>IF('Upto Month Current'!$E$55="",0,'Upto Month Current'!$E$55)</f>
        <v>0</v>
      </c>
      <c r="BF41" s="9">
        <f>IF('Upto Month Current'!$E$56="",0,'Upto Month Current'!$E$56)</f>
        <v>19662</v>
      </c>
      <c r="BG41" s="9">
        <f>IF('Upto Month Current'!$E$58="",0,'Upto Month Current'!$E$58)</f>
        <v>898</v>
      </c>
      <c r="BH41" s="9">
        <f>SUM(AE41:BG41)</f>
        <v>2155087</v>
      </c>
      <c r="BI41" s="275">
        <f>AD41+BH41</f>
        <v>6818357</v>
      </c>
      <c r="BJ41" s="9">
        <f>IF('Upto Month Current'!$E$60="",0,'Upto Month Current'!$E$60)</f>
        <v>27901</v>
      </c>
      <c r="BK41" s="49">
        <f t="shared" si="400"/>
        <v>6790456</v>
      </c>
      <c r="BL41">
        <f>'Upto Month Current'!$E$61</f>
        <v>6790454</v>
      </c>
      <c r="BM41" s="30">
        <f t="shared" si="401"/>
        <v>2127186</v>
      </c>
    </row>
    <row r="42" spans="1:65">
      <c r="A42" s="128"/>
      <c r="B42" s="5" t="s">
        <v>130</v>
      </c>
      <c r="C42" s="11">
        <f>C41-C39</f>
        <v>3004</v>
      </c>
      <c r="D42" s="11">
        <f t="shared" ref="D42" si="402">D41-D39</f>
        <v>10638</v>
      </c>
      <c r="E42" s="11">
        <f t="shared" ref="E42" si="403">E41-E39</f>
        <v>-810</v>
      </c>
      <c r="F42" s="11">
        <f t="shared" ref="F42" si="404">F41-F39</f>
        <v>1602</v>
      </c>
      <c r="G42" s="11">
        <f t="shared" ref="G42" si="405">G41-G39</f>
        <v>3662</v>
      </c>
      <c r="H42" s="11">
        <f t="shared" ref="H42" si="406">H41-H39</f>
        <v>0</v>
      </c>
      <c r="I42" s="11">
        <f t="shared" ref="I42" si="407">I41-I39</f>
        <v>0</v>
      </c>
      <c r="J42" s="11">
        <f t="shared" ref="J42" si="408">J41-J39</f>
        <v>0</v>
      </c>
      <c r="K42" s="11">
        <f t="shared" ref="K42" si="409">K41-K39</f>
        <v>-2334</v>
      </c>
      <c r="L42" s="11">
        <f t="shared" ref="L42" si="410">L41-L39</f>
        <v>-2587</v>
      </c>
      <c r="M42" s="11">
        <f t="shared" ref="M42" si="411">M41-M39</f>
        <v>2677</v>
      </c>
      <c r="N42" s="11">
        <f t="shared" ref="N42" si="412">N41-N39</f>
        <v>-133</v>
      </c>
      <c r="O42" s="11">
        <f t="shared" ref="O42" si="413">O41-O39</f>
        <v>243</v>
      </c>
      <c r="P42" s="11">
        <f t="shared" ref="P42" si="414">P41-P39</f>
        <v>5648</v>
      </c>
      <c r="Q42" s="11">
        <f t="shared" ref="Q42" si="415">Q41-Q39</f>
        <v>0</v>
      </c>
      <c r="R42" s="11">
        <f t="shared" ref="R42" si="416">R41-R39</f>
        <v>974</v>
      </c>
      <c r="S42" s="11">
        <f t="shared" ref="S42" si="417">S41-S39</f>
        <v>0</v>
      </c>
      <c r="T42" s="11">
        <f t="shared" ref="T42:U42" si="418">T41-T39</f>
        <v>0</v>
      </c>
      <c r="U42" s="11">
        <f t="shared" si="418"/>
        <v>0</v>
      </c>
      <c r="V42" s="9">
        <f t="shared" ref="V42" si="419">V41-V39</f>
        <v>-124070</v>
      </c>
      <c r="W42" s="11">
        <f t="shared" ref="W42" si="420">W41-W39</f>
        <v>-317</v>
      </c>
      <c r="X42" s="11">
        <f t="shared" ref="X42" si="421">X41-X39</f>
        <v>0</v>
      </c>
      <c r="Y42" s="11">
        <f t="shared" ref="Y42" si="422">Y41-Y39</f>
        <v>-780</v>
      </c>
      <c r="Z42" s="11">
        <f t="shared" ref="Z42" si="423">Z41-Z39</f>
        <v>-328</v>
      </c>
      <c r="AA42" s="11">
        <f t="shared" ref="AA42:AD42" si="424">AA41-AA39</f>
        <v>117</v>
      </c>
      <c r="AB42" s="11">
        <f t="shared" si="424"/>
        <v>-3127</v>
      </c>
      <c r="AC42" s="9">
        <f t="shared" si="424"/>
        <v>-264900</v>
      </c>
      <c r="AD42" s="216">
        <f t="shared" si="424"/>
        <v>-370821</v>
      </c>
      <c r="AE42" s="11">
        <f t="shared" ref="AE42" si="425">AE41-AE39</f>
        <v>92</v>
      </c>
      <c r="AF42" s="11">
        <f t="shared" ref="AF42" si="426">AF41-AF39</f>
        <v>-80</v>
      </c>
      <c r="AG42" s="11">
        <f t="shared" ref="AG42" si="427">AG41-AG39</f>
        <v>566</v>
      </c>
      <c r="AH42" s="11">
        <f t="shared" ref="AH42" si="428">AH41-AH39</f>
        <v>0</v>
      </c>
      <c r="AI42" s="11">
        <f t="shared" ref="AI42" si="429">AI41-AI39</f>
        <v>0</v>
      </c>
      <c r="AJ42" s="11">
        <f t="shared" ref="AJ42" si="430">AJ41-AJ39</f>
        <v>0</v>
      </c>
      <c r="AK42" s="11">
        <f t="shared" ref="AK42" si="431">AK41-AK39</f>
        <v>81966</v>
      </c>
      <c r="AL42" s="11">
        <f t="shared" ref="AL42" si="432">AL41-AL39</f>
        <v>26337</v>
      </c>
      <c r="AM42" s="11">
        <f t="shared" ref="AM42" si="433">AM41-AM39</f>
        <v>-46</v>
      </c>
      <c r="AN42" s="11">
        <f t="shared" ref="AN42" si="434">AN41-AN39</f>
        <v>0</v>
      </c>
      <c r="AO42" s="9">
        <f t="shared" ref="AO42" si="435">AO41-AO39</f>
        <v>5162</v>
      </c>
      <c r="AP42" s="11">
        <f t="shared" ref="AP42" si="436">AP41-AP39</f>
        <v>-105480</v>
      </c>
      <c r="AQ42" s="9">
        <f t="shared" ref="AQ42" si="437">AQ41-AQ39</f>
        <v>-51771</v>
      </c>
      <c r="AR42" s="11">
        <f t="shared" ref="AR42" si="438">AR41-AR39</f>
        <v>0</v>
      </c>
      <c r="AS42" s="11">
        <f t="shared" ref="AS42" si="439">AS41-AS39</f>
        <v>0</v>
      </c>
      <c r="AT42" s="11">
        <f t="shared" ref="AT42" si="440">AT41-AT39</f>
        <v>0</v>
      </c>
      <c r="AU42" s="11">
        <f t="shared" ref="AU42" si="441">AU41-AU39</f>
        <v>0</v>
      </c>
      <c r="AV42" s="11">
        <f t="shared" ref="AV42" si="442">AV41-AV39</f>
        <v>0</v>
      </c>
      <c r="AW42" s="11">
        <f t="shared" ref="AW42" si="443">AW41-AW39</f>
        <v>11</v>
      </c>
      <c r="AX42" s="11">
        <f t="shared" ref="AX42" si="444">AX41-AX39</f>
        <v>0</v>
      </c>
      <c r="AY42" s="11">
        <f t="shared" ref="AY42" si="445">AY41-AY39</f>
        <v>0</v>
      </c>
      <c r="AZ42" s="11">
        <f t="shared" ref="AZ42" si="446">AZ41-AZ39</f>
        <v>0</v>
      </c>
      <c r="BA42" s="11">
        <f t="shared" ref="BA42" si="447">BA41-BA39</f>
        <v>0</v>
      </c>
      <c r="BB42" s="9">
        <f t="shared" ref="BB42" si="448">BB41-BB39</f>
        <v>-143182</v>
      </c>
      <c r="BC42" s="11">
        <f t="shared" ref="BC42" si="449">BC41-BC39</f>
        <v>11</v>
      </c>
      <c r="BD42" s="11">
        <f t="shared" ref="BD42" si="450">BD41-BD39</f>
        <v>9</v>
      </c>
      <c r="BE42" s="11">
        <f t="shared" ref="BE42" si="451">BE41-BE39</f>
        <v>0</v>
      </c>
      <c r="BF42" s="11">
        <f t="shared" ref="BF42" si="452">BF41-BF39</f>
        <v>-2527</v>
      </c>
      <c r="BG42" s="11">
        <f t="shared" ref="BG42:BH42" si="453">BG41-BG39</f>
        <v>468</v>
      </c>
      <c r="BH42" s="9">
        <f t="shared" si="453"/>
        <v>-188464</v>
      </c>
      <c r="BI42" s="9">
        <f t="shared" ref="BI42" si="454">BI41-BI39</f>
        <v>-559285</v>
      </c>
      <c r="BJ42" s="11">
        <f t="shared" ref="BJ42:BK42" si="455">BJ41-BJ39</f>
        <v>-100175</v>
      </c>
      <c r="BK42" s="49">
        <f t="shared" si="455"/>
        <v>-459110</v>
      </c>
      <c r="BM42" s="30">
        <f t="shared" si="401"/>
        <v>-88289</v>
      </c>
    </row>
    <row r="43" spans="1:65">
      <c r="A43" s="128"/>
      <c r="B43" s="5" t="s">
        <v>131</v>
      </c>
      <c r="C43" s="13">
        <f>C42/C39</f>
        <v>1.9248513430387534E-3</v>
      </c>
      <c r="D43" s="13">
        <f t="shared" ref="D43" si="456">D42/D39</f>
        <v>1.5169317993851279E-2</v>
      </c>
      <c r="E43" s="13">
        <f t="shared" ref="E43" si="457">E42/E39</f>
        <v>-1.1215574417413218E-2</v>
      </c>
      <c r="F43" s="13">
        <f t="shared" ref="F43" si="458">F42/F39</f>
        <v>7.855367098662823E-3</v>
      </c>
      <c r="G43" s="13">
        <f t="shared" ref="G43" si="459">G42/G39</f>
        <v>3.0576035134886905E-2</v>
      </c>
      <c r="H43" s="13" t="e">
        <f t="shared" ref="H43" si="460">H42/H39</f>
        <v>#DIV/0!</v>
      </c>
      <c r="I43" s="13" t="e">
        <f t="shared" ref="I43" si="461">I42/I39</f>
        <v>#DIV/0!</v>
      </c>
      <c r="J43" s="13" t="e">
        <f t="shared" ref="J43" si="462">J42/J39</f>
        <v>#DIV/0!</v>
      </c>
      <c r="K43" s="13">
        <f t="shared" ref="K43" si="463">K42/K39</f>
        <v>-0.6394520547945205</v>
      </c>
      <c r="L43" s="13">
        <f t="shared" ref="L43" si="464">L42/L39</f>
        <v>-4.8161593595829839E-2</v>
      </c>
      <c r="M43" s="13">
        <f t="shared" ref="M43" si="465">M42/M39</f>
        <v>8.5013814347867506E-2</v>
      </c>
      <c r="N43" s="13">
        <f t="shared" ref="N43" si="466">N42/N39</f>
        <v>-0.16814159292035399</v>
      </c>
      <c r="O43" s="13">
        <f t="shared" ref="O43" si="467">O42/O39</f>
        <v>5.4277417913781552E-2</v>
      </c>
      <c r="P43" s="13">
        <f t="shared" ref="P43" si="468">P42/P39</f>
        <v>0.1406935033878039</v>
      </c>
      <c r="Q43" s="13" t="e">
        <f t="shared" ref="Q43" si="469">Q42/Q39</f>
        <v>#DIV/0!</v>
      </c>
      <c r="R43" s="13">
        <f t="shared" ref="R43" si="470">R42/R39</f>
        <v>0.20631222198686719</v>
      </c>
      <c r="S43" s="13" t="e">
        <f t="shared" ref="S43" si="471">S42/S39</f>
        <v>#DIV/0!</v>
      </c>
      <c r="T43" s="13" t="e">
        <f t="shared" ref="T43:U43" si="472">T42/T39</f>
        <v>#DIV/0!</v>
      </c>
      <c r="U43" s="13" t="e">
        <f t="shared" si="472"/>
        <v>#DIV/0!</v>
      </c>
      <c r="V43" s="160">
        <f t="shared" ref="V43" si="473">V42/V39</f>
        <v>-0.16826496001215163</v>
      </c>
      <c r="W43" s="13">
        <f t="shared" ref="W43" si="474">W42/W39</f>
        <v>-0.57741347905282336</v>
      </c>
      <c r="X43" s="13" t="e">
        <f t="shared" ref="X43" si="475">X42/X39</f>
        <v>#DIV/0!</v>
      </c>
      <c r="Y43" s="13">
        <f t="shared" ref="Y43" si="476">Y42/Y39</f>
        <v>-0.22146507666098808</v>
      </c>
      <c r="Z43" s="13">
        <f t="shared" ref="Z43" si="477">Z42/Z39</f>
        <v>-0.30119375573921031</v>
      </c>
      <c r="AA43" s="13">
        <f t="shared" ref="AA43:AD43" si="478">AA42/AA39</f>
        <v>0.18780096308186195</v>
      </c>
      <c r="AB43" s="13">
        <f t="shared" si="478"/>
        <v>-1</v>
      </c>
      <c r="AC43" s="160">
        <f t="shared" si="478"/>
        <v>-0.17766647261293794</v>
      </c>
      <c r="AD43" s="217">
        <f t="shared" si="478"/>
        <v>-7.3661958037707309E-2</v>
      </c>
      <c r="AE43" s="13">
        <f t="shared" ref="AE43" si="479">AE42/AE39</f>
        <v>0.13237410071942446</v>
      </c>
      <c r="AF43" s="13">
        <f t="shared" ref="AF43" si="480">AF42/AF39</f>
        <v>-0.39215686274509803</v>
      </c>
      <c r="AG43" s="13">
        <f t="shared" ref="AG43" si="481">AG42/AG39</f>
        <v>283</v>
      </c>
      <c r="AH43" s="13" t="e">
        <f t="shared" ref="AH43" si="482">AH42/AH39</f>
        <v>#DIV/0!</v>
      </c>
      <c r="AI43" s="13" t="e">
        <f t="shared" ref="AI43" si="483">AI42/AI39</f>
        <v>#DIV/0!</v>
      </c>
      <c r="AJ43" s="13" t="e">
        <f t="shared" ref="AJ43" si="484">AJ42/AJ39</f>
        <v>#DIV/0!</v>
      </c>
      <c r="AK43" s="13">
        <f t="shared" ref="AK43" si="485">AK42/AK39</f>
        <v>0.2286111134353585</v>
      </c>
      <c r="AL43" s="13">
        <f t="shared" ref="AL43" si="486">AL42/AL39</f>
        <v>0.55809370430802485</v>
      </c>
      <c r="AM43" s="13">
        <f t="shared" ref="AM43" si="487">AM42/AM39</f>
        <v>-9.3495934959349589E-2</v>
      </c>
      <c r="AN43" s="13" t="e">
        <f t="shared" ref="AN43" si="488">AN42/AN39</f>
        <v>#DIV/0!</v>
      </c>
      <c r="AO43" s="160">
        <f t="shared" ref="AO43" si="489">AO42/AO39</f>
        <v>4.4825759615134124E-2</v>
      </c>
      <c r="AP43" s="13">
        <f t="shared" ref="AP43" si="490">AP42/AP39</f>
        <v>0.21474203675126324</v>
      </c>
      <c r="AQ43" s="160">
        <f t="shared" ref="AQ43" si="491">AQ42/AQ39</f>
        <v>-6.8652152349934895E-2</v>
      </c>
      <c r="AR43" s="13" t="e">
        <f t="shared" ref="AR43" si="492">AR42/AR39</f>
        <v>#DIV/0!</v>
      </c>
      <c r="AS43" s="13" t="e">
        <f t="shared" ref="AS43" si="493">AS42/AS39</f>
        <v>#DIV/0!</v>
      </c>
      <c r="AT43" s="13" t="e">
        <f t="shared" ref="AT43" si="494">AT42/AT39</f>
        <v>#DIV/0!</v>
      </c>
      <c r="AU43" s="13" t="e">
        <f t="shared" ref="AU43" si="495">AU42/AU39</f>
        <v>#DIV/0!</v>
      </c>
      <c r="AV43" s="13" t="e">
        <f t="shared" ref="AV43" si="496">AV42/AV39</f>
        <v>#DIV/0!</v>
      </c>
      <c r="AW43" s="13" t="e">
        <f t="shared" ref="AW43" si="497">AW42/AW39</f>
        <v>#DIV/0!</v>
      </c>
      <c r="AX43" s="13" t="e">
        <f t="shared" ref="AX43" si="498">AX42/AX39</f>
        <v>#DIV/0!</v>
      </c>
      <c r="AY43" s="13" t="e">
        <f t="shared" ref="AY43" si="499">AY42/AY39</f>
        <v>#DIV/0!</v>
      </c>
      <c r="AZ43" s="13" t="e">
        <f t="shared" ref="AZ43" si="500">AZ42/AZ39</f>
        <v>#DIV/0!</v>
      </c>
      <c r="BA43" s="13" t="e">
        <f t="shared" ref="BA43" si="501">BA42/BA39</f>
        <v>#DIV/0!</v>
      </c>
      <c r="BB43" s="160">
        <f t="shared" ref="BB43" si="502">BB42/BB39</f>
        <v>-9.3593161088065757E-2</v>
      </c>
      <c r="BC43" s="13">
        <f t="shared" ref="BC43" si="503">BC42/BC39</f>
        <v>3.7262872628726286E-3</v>
      </c>
      <c r="BD43" s="13">
        <f t="shared" ref="BD43" si="504">BD42/BD39</f>
        <v>3.046716316858497E-3</v>
      </c>
      <c r="BE43" s="13" t="e">
        <f t="shared" ref="BE43" si="505">BE42/BE39</f>
        <v>#DIV/0!</v>
      </c>
      <c r="BF43" s="13">
        <f t="shared" ref="BF43" si="506">BF42/BF39</f>
        <v>-0.1138852584613998</v>
      </c>
      <c r="BG43" s="13">
        <f t="shared" ref="BG43:BH43" si="507">BG42/BG39</f>
        <v>1.0883720930232559</v>
      </c>
      <c r="BH43" s="160">
        <f t="shared" si="507"/>
        <v>-8.0418134702423802E-2</v>
      </c>
      <c r="BI43" s="160">
        <f t="shared" ref="BI43" si="508">BI42/BI39</f>
        <v>-7.5808096950217965E-2</v>
      </c>
      <c r="BJ43" s="13">
        <f t="shared" ref="BJ43:BK43" si="509">BJ42/BJ39</f>
        <v>-0.78215278428433122</v>
      </c>
      <c r="BK43" s="50">
        <f t="shared" si="509"/>
        <v>-6.3329308264798198E-2</v>
      </c>
      <c r="BM43" s="160" t="e">
        <f t="shared" ref="BM43" si="510">BM42/BM39</f>
        <v>#DIV/0!</v>
      </c>
    </row>
    <row r="44" spans="1:65">
      <c r="A44" s="128"/>
      <c r="B44" s="5" t="s">
        <v>132</v>
      </c>
      <c r="C44" s="11">
        <f>C41-C40</f>
        <v>45279</v>
      </c>
      <c r="D44" s="11">
        <f t="shared" ref="D44:BK44" si="511">D41-D40</f>
        <v>147818</v>
      </c>
      <c r="E44" s="11">
        <f t="shared" si="511"/>
        <v>1114</v>
      </c>
      <c r="F44" s="11">
        <f t="shared" si="511"/>
        <v>9272</v>
      </c>
      <c r="G44" s="11">
        <f t="shared" si="511"/>
        <v>10951</v>
      </c>
      <c r="H44" s="11">
        <f t="shared" si="511"/>
        <v>0</v>
      </c>
      <c r="I44" s="11">
        <f t="shared" si="511"/>
        <v>0</v>
      </c>
      <c r="J44" s="11">
        <f t="shared" si="511"/>
        <v>0</v>
      </c>
      <c r="K44" s="11">
        <f t="shared" si="511"/>
        <v>-1995</v>
      </c>
      <c r="L44" s="11">
        <f t="shared" si="511"/>
        <v>12964</v>
      </c>
      <c r="M44" s="11">
        <f t="shared" si="511"/>
        <v>2786</v>
      </c>
      <c r="N44" s="11">
        <f t="shared" si="511"/>
        <v>161</v>
      </c>
      <c r="O44" s="11">
        <f t="shared" si="511"/>
        <v>514</v>
      </c>
      <c r="P44" s="11">
        <f t="shared" si="511"/>
        <v>6694</v>
      </c>
      <c r="Q44" s="11">
        <f t="shared" si="511"/>
        <v>0</v>
      </c>
      <c r="R44" s="11">
        <f t="shared" si="511"/>
        <v>1346</v>
      </c>
      <c r="S44" s="11">
        <f t="shared" si="511"/>
        <v>0</v>
      </c>
      <c r="T44" s="11">
        <f t="shared" si="511"/>
        <v>0</v>
      </c>
      <c r="U44" s="11">
        <f t="shared" ref="U44" si="512">U41-U40</f>
        <v>0</v>
      </c>
      <c r="V44" s="9">
        <f t="shared" si="511"/>
        <v>-7188</v>
      </c>
      <c r="W44" s="11">
        <f t="shared" si="511"/>
        <v>232</v>
      </c>
      <c r="X44" s="11">
        <f t="shared" si="511"/>
        <v>0</v>
      </c>
      <c r="Y44" s="11">
        <f t="shared" si="511"/>
        <v>-1287</v>
      </c>
      <c r="Z44" s="11">
        <f t="shared" si="511"/>
        <v>-2533</v>
      </c>
      <c r="AA44" s="11">
        <f t="shared" si="511"/>
        <v>-462</v>
      </c>
      <c r="AB44" s="11">
        <f t="shared" ref="AB44" si="513">AB41-AB40</f>
        <v>0</v>
      </c>
      <c r="AC44" s="9">
        <f t="shared" ref="AC44:AD44" si="514">AC41-AC40</f>
        <v>-271838</v>
      </c>
      <c r="AD44" s="216">
        <f t="shared" si="514"/>
        <v>-46172</v>
      </c>
      <c r="AE44" s="11">
        <f t="shared" si="511"/>
        <v>141</v>
      </c>
      <c r="AF44" s="11">
        <f t="shared" si="511"/>
        <v>-708</v>
      </c>
      <c r="AG44" s="11">
        <f t="shared" si="511"/>
        <v>566</v>
      </c>
      <c r="AH44" s="11">
        <f t="shared" si="511"/>
        <v>0</v>
      </c>
      <c r="AI44" s="11">
        <f t="shared" si="511"/>
        <v>0</v>
      </c>
      <c r="AJ44" s="11">
        <f t="shared" si="511"/>
        <v>0</v>
      </c>
      <c r="AK44" s="11">
        <f t="shared" si="511"/>
        <v>126476</v>
      </c>
      <c r="AL44" s="11">
        <f t="shared" si="511"/>
        <v>37591</v>
      </c>
      <c r="AM44" s="11">
        <f t="shared" si="511"/>
        <v>11</v>
      </c>
      <c r="AN44" s="11">
        <f t="shared" si="511"/>
        <v>0</v>
      </c>
      <c r="AO44" s="9">
        <f t="shared" si="511"/>
        <v>12445</v>
      </c>
      <c r="AP44" s="11">
        <f t="shared" si="511"/>
        <v>-116203</v>
      </c>
      <c r="AQ44" s="9">
        <f t="shared" si="511"/>
        <v>62220</v>
      </c>
      <c r="AR44" s="11">
        <f t="shared" si="511"/>
        <v>0</v>
      </c>
      <c r="AS44" s="11">
        <f t="shared" si="511"/>
        <v>0</v>
      </c>
      <c r="AT44" s="11">
        <f t="shared" si="511"/>
        <v>0</v>
      </c>
      <c r="AU44" s="11">
        <f t="shared" si="511"/>
        <v>0</v>
      </c>
      <c r="AV44" s="11">
        <f t="shared" si="511"/>
        <v>0</v>
      </c>
      <c r="AW44" s="11">
        <f t="shared" si="511"/>
        <v>11</v>
      </c>
      <c r="AX44" s="11">
        <f t="shared" si="511"/>
        <v>0</v>
      </c>
      <c r="AY44" s="11">
        <f t="shared" si="511"/>
        <v>0</v>
      </c>
      <c r="AZ44" s="11">
        <f t="shared" si="511"/>
        <v>0</v>
      </c>
      <c r="BA44" s="11">
        <f t="shared" si="511"/>
        <v>0</v>
      </c>
      <c r="BB44" s="9">
        <f t="shared" si="511"/>
        <v>-156399</v>
      </c>
      <c r="BC44" s="11">
        <f t="shared" si="511"/>
        <v>361</v>
      </c>
      <c r="BD44" s="11">
        <f t="shared" si="511"/>
        <v>361</v>
      </c>
      <c r="BE44" s="11">
        <f t="shared" si="511"/>
        <v>0</v>
      </c>
      <c r="BF44" s="11">
        <f t="shared" si="511"/>
        <v>5094</v>
      </c>
      <c r="BG44" s="11">
        <f t="shared" si="511"/>
        <v>-132</v>
      </c>
      <c r="BH44" s="9">
        <f t="shared" si="511"/>
        <v>-28165</v>
      </c>
      <c r="BI44" s="9">
        <f t="shared" si="511"/>
        <v>-74337</v>
      </c>
      <c r="BJ44" s="11">
        <f t="shared" si="511"/>
        <v>3347</v>
      </c>
      <c r="BK44" s="49">
        <f t="shared" si="511"/>
        <v>-77684</v>
      </c>
      <c r="BM44" s="30">
        <f t="shared" si="401"/>
        <v>-31512</v>
      </c>
    </row>
    <row r="45" spans="1:65">
      <c r="A45" s="128"/>
      <c r="B45" s="5" t="s">
        <v>133</v>
      </c>
      <c r="C45" s="13">
        <f>C44/C40</f>
        <v>2.9820892868315591E-2</v>
      </c>
      <c r="D45" s="13">
        <f t="shared" ref="D45" si="515">D44/D40</f>
        <v>0.26204033298824331</v>
      </c>
      <c r="E45" s="13">
        <f t="shared" ref="E45" si="516">E44/E40</f>
        <v>1.5847048949457303E-2</v>
      </c>
      <c r="F45" s="13">
        <f t="shared" ref="F45" si="517">F44/F40</f>
        <v>4.7241767592106673E-2</v>
      </c>
      <c r="G45" s="13">
        <f t="shared" ref="G45" si="518">G44/G40</f>
        <v>9.7361261757854867E-2</v>
      </c>
      <c r="H45" s="13" t="e">
        <f t="shared" ref="H45" si="519">H44/H40</f>
        <v>#DIV/0!</v>
      </c>
      <c r="I45" s="13" t="e">
        <f t="shared" ref="I45" si="520">I44/I40</f>
        <v>#DIV/0!</v>
      </c>
      <c r="J45" s="13" t="e">
        <f t="shared" ref="J45" si="521">J44/J40</f>
        <v>#DIV/0!</v>
      </c>
      <c r="K45" s="13">
        <f t="shared" ref="K45" si="522">K44/K40</f>
        <v>-0.60253699788583515</v>
      </c>
      <c r="L45" s="13">
        <f t="shared" ref="L45" si="523">L44/L40</f>
        <v>0.33969185619955977</v>
      </c>
      <c r="M45" s="13">
        <f t="shared" ref="M45" si="524">M44/M40</f>
        <v>8.8782664117272148E-2</v>
      </c>
      <c r="N45" s="13">
        <f t="shared" ref="N45" si="525">N44/N40</f>
        <v>0.323943661971831</v>
      </c>
      <c r="O45" s="13">
        <f t="shared" ref="O45" si="526">O44/O40</f>
        <v>0.12220637184973847</v>
      </c>
      <c r="P45" s="13">
        <f t="shared" ref="P45" si="527">P44/P40</f>
        <v>0.17121080362166863</v>
      </c>
      <c r="Q45" s="13" t="e">
        <f t="shared" ref="Q45" si="528">Q44/Q40</f>
        <v>#DIV/0!</v>
      </c>
      <c r="R45" s="13">
        <f t="shared" ref="R45" si="529">R44/R40</f>
        <v>0.30949643596229021</v>
      </c>
      <c r="S45" s="13" t="e">
        <f t="shared" ref="S45" si="530">S44/S40</f>
        <v>#DIV/0!</v>
      </c>
      <c r="T45" s="13" t="e">
        <f t="shared" ref="T45:U45" si="531">T44/T40</f>
        <v>#DIV/0!</v>
      </c>
      <c r="U45" s="13" t="e">
        <f t="shared" si="531"/>
        <v>#DIV/0!</v>
      </c>
      <c r="V45" s="160">
        <f t="shared" ref="V45" si="532">V44/V40</f>
        <v>-1.1584822399902009E-2</v>
      </c>
      <c r="W45" s="13" t="e">
        <f t="shared" ref="W45" si="533">W44/W40</f>
        <v>#DIV/0!</v>
      </c>
      <c r="X45" s="13" t="e">
        <f t="shared" ref="X45" si="534">X44/X40</f>
        <v>#DIV/0!</v>
      </c>
      <c r="Y45" s="13">
        <f t="shared" ref="Y45" si="535">Y44/Y40</f>
        <v>-0.31943410275502604</v>
      </c>
      <c r="Z45" s="13">
        <f t="shared" ref="Z45" si="536">Z44/Z40</f>
        <v>-0.76897389192471155</v>
      </c>
      <c r="AA45" s="13">
        <f t="shared" ref="AA45:AD45" si="537">AA44/AA40</f>
        <v>-0.3843594009983361</v>
      </c>
      <c r="AB45" s="13" t="e">
        <f t="shared" ref="AB45" si="538">AB44/AB40</f>
        <v>#DIV/0!</v>
      </c>
      <c r="AC45" s="160">
        <f t="shared" si="537"/>
        <v>-0.18147528529294349</v>
      </c>
      <c r="AD45" s="217">
        <f t="shared" si="537"/>
        <v>-9.8041339080086349E-3</v>
      </c>
      <c r="AE45" s="13">
        <f t="shared" ref="AE45" si="539">AE44/AE40</f>
        <v>0.21826625386996903</v>
      </c>
      <c r="AF45" s="13">
        <f t="shared" ref="AF45" si="540">AF44/AF40</f>
        <v>-0.85096153846153844</v>
      </c>
      <c r="AG45" s="13">
        <f t="shared" ref="AG45" si="541">AG44/AG40</f>
        <v>283</v>
      </c>
      <c r="AH45" s="13" t="e">
        <f t="shared" ref="AH45" si="542">AH44/AH40</f>
        <v>#DIV/0!</v>
      </c>
      <c r="AI45" s="13" t="e">
        <f t="shared" ref="AI45" si="543">AI44/AI40</f>
        <v>#DIV/0!</v>
      </c>
      <c r="AJ45" s="13" t="e">
        <f t="shared" ref="AJ45" si="544">AJ44/AJ40</f>
        <v>#DIV/0!</v>
      </c>
      <c r="AK45" s="13">
        <f t="shared" ref="AK45" si="545">AK44/AK40</f>
        <v>0.40275261201990897</v>
      </c>
      <c r="AL45" s="13">
        <f t="shared" ref="AL45" si="546">AL44/AL40</f>
        <v>1.0460249881737484</v>
      </c>
      <c r="AM45" s="13">
        <f t="shared" ref="AM45" si="547">AM44/AM40</f>
        <v>2.528735632183908E-2</v>
      </c>
      <c r="AN45" s="13" t="e">
        <f t="shared" ref="AN45" si="548">AN44/AN40</f>
        <v>#DIV/0!</v>
      </c>
      <c r="AO45" s="160">
        <f t="shared" ref="AO45" si="549">AO44/AO40</f>
        <v>0.11536607523592339</v>
      </c>
      <c r="AP45" s="13">
        <f t="shared" ref="AP45" si="550">AP44/AP40</f>
        <v>0.24185226579751951</v>
      </c>
      <c r="AQ45" s="160">
        <f t="shared" ref="AQ45" si="551">AQ44/AQ40</f>
        <v>9.7201284144255329E-2</v>
      </c>
      <c r="AR45" s="13" t="e">
        <f t="shared" ref="AR45" si="552">AR44/AR40</f>
        <v>#DIV/0!</v>
      </c>
      <c r="AS45" s="13" t="e">
        <f t="shared" ref="AS45" si="553">AS44/AS40</f>
        <v>#DIV/0!</v>
      </c>
      <c r="AT45" s="13" t="e">
        <f t="shared" ref="AT45" si="554">AT44/AT40</f>
        <v>#DIV/0!</v>
      </c>
      <c r="AU45" s="13" t="e">
        <f t="shared" ref="AU45" si="555">AU44/AU40</f>
        <v>#DIV/0!</v>
      </c>
      <c r="AV45" s="13" t="e">
        <f t="shared" ref="AV45" si="556">AV44/AV40</f>
        <v>#DIV/0!</v>
      </c>
      <c r="AW45" s="13" t="e">
        <f t="shared" ref="AW45" si="557">AW44/AW40</f>
        <v>#DIV/0!</v>
      </c>
      <c r="AX45" s="13" t="e">
        <f t="shared" ref="AX45" si="558">AX44/AX40</f>
        <v>#DIV/0!</v>
      </c>
      <c r="AY45" s="13" t="e">
        <f t="shared" ref="AY45" si="559">AY44/AY40</f>
        <v>#DIV/0!</v>
      </c>
      <c r="AZ45" s="13" t="e">
        <f t="shared" ref="AZ45" si="560">AZ44/AZ40</f>
        <v>#DIV/0!</v>
      </c>
      <c r="BA45" s="13" t="e">
        <f t="shared" ref="BA45" si="561">BA44/BA40</f>
        <v>#DIV/0!</v>
      </c>
      <c r="BB45" s="160">
        <f t="shared" ref="BB45" si="562">BB44/BB40</f>
        <v>-0.10135698690451579</v>
      </c>
      <c r="BC45" s="13">
        <f t="shared" ref="BC45" si="563">BC44/BC40</f>
        <v>0.13873943120676402</v>
      </c>
      <c r="BD45" s="13">
        <f t="shared" ref="BD45" si="564">BD44/BD40</f>
        <v>0.13873943120676402</v>
      </c>
      <c r="BE45" s="13" t="e">
        <f t="shared" ref="BE45" si="565">BE44/BE40</f>
        <v>#DIV/0!</v>
      </c>
      <c r="BF45" s="13">
        <f t="shared" ref="BF45" si="566">BF44/BF40</f>
        <v>0.34967051070840199</v>
      </c>
      <c r="BG45" s="13">
        <f t="shared" ref="BG45:BH45" si="567">BG44/BG40</f>
        <v>-0.12815533980582525</v>
      </c>
      <c r="BH45" s="160">
        <f t="shared" si="567"/>
        <v>-1.2900480567520379E-2</v>
      </c>
      <c r="BI45" s="160">
        <f t="shared" ref="BI45" si="568">BI44/BI40</f>
        <v>-1.078489774825344E-2</v>
      </c>
      <c r="BJ45" s="13">
        <f t="shared" ref="BJ45:BK45" si="569">BJ44/BJ40</f>
        <v>0.13631180255762809</v>
      </c>
      <c r="BK45" s="50">
        <f t="shared" si="569"/>
        <v>-1.1310777008040023E-2</v>
      </c>
      <c r="BM45" s="14">
        <f t="shared" ref="BM45" si="570">BM44/BM40</f>
        <v>-1.4597688050852875E-2</v>
      </c>
    </row>
    <row r="46" spans="1:65">
      <c r="A46" s="128"/>
      <c r="B46" s="5" t="s">
        <v>340</v>
      </c>
      <c r="C46" s="126">
        <f>C41/C38</f>
        <v>0.91201060132913225</v>
      </c>
      <c r="D46" s="126">
        <f t="shared" ref="D46:BK46" si="571">D41/D38</f>
        <v>0.90778819695041557</v>
      </c>
      <c r="E46" s="126">
        <f t="shared" si="571"/>
        <v>0.96743209374788319</v>
      </c>
      <c r="F46" s="126">
        <f t="shared" si="571"/>
        <v>0.91704442025235133</v>
      </c>
      <c r="G46" s="126">
        <f t="shared" si="571"/>
        <v>0.92909242824560212</v>
      </c>
      <c r="H46" s="126" t="e">
        <f t="shared" si="571"/>
        <v>#DIV/0!</v>
      </c>
      <c r="I46" s="126" t="e">
        <f t="shared" si="571"/>
        <v>#DIV/0!</v>
      </c>
      <c r="J46" s="126" t="e">
        <f t="shared" si="571"/>
        <v>#DIV/0!</v>
      </c>
      <c r="K46" s="126">
        <f t="shared" si="571"/>
        <v>0.35625338386572819</v>
      </c>
      <c r="L46" s="126">
        <f t="shared" si="571"/>
        <v>0.8202265216414798</v>
      </c>
      <c r="M46" s="126">
        <f t="shared" si="571"/>
        <v>0.99435389988358558</v>
      </c>
      <c r="N46" s="126">
        <f t="shared" si="571"/>
        <v>0.72466960352422904</v>
      </c>
      <c r="O46" s="126">
        <f t="shared" si="571"/>
        <v>0.85167809455070376</v>
      </c>
      <c r="P46" s="126">
        <f t="shared" si="571"/>
        <v>1.0239484805795935</v>
      </c>
      <c r="Q46" s="126" t="e">
        <f t="shared" si="571"/>
        <v>#DIV/0!</v>
      </c>
      <c r="R46" s="126">
        <f t="shared" si="571"/>
        <v>1.0916235384320492</v>
      </c>
      <c r="S46" s="126" t="e">
        <f t="shared" si="571"/>
        <v>#DIV/0!</v>
      </c>
      <c r="T46" s="126" t="e">
        <f t="shared" si="571"/>
        <v>#DIV/0!</v>
      </c>
      <c r="U46" s="126" t="e">
        <f t="shared" si="571"/>
        <v>#DIV/0!</v>
      </c>
      <c r="V46" s="175">
        <f t="shared" si="571"/>
        <v>0.76137476737733223</v>
      </c>
      <c r="W46" s="126">
        <f t="shared" si="571"/>
        <v>0.31693989071038253</v>
      </c>
      <c r="X46" s="126" t="e">
        <f t="shared" si="571"/>
        <v>#DIV/0!</v>
      </c>
      <c r="Y46" s="126">
        <f t="shared" si="571"/>
        <v>0.77853492333901197</v>
      </c>
      <c r="Z46" s="126">
        <f t="shared" si="571"/>
        <v>0.69880624426078974</v>
      </c>
      <c r="AA46" s="126">
        <f t="shared" si="571"/>
        <v>1.1419753086419753</v>
      </c>
      <c r="AB46" s="126">
        <f t="shared" ref="AB46" si="572">AB41/AB38</f>
        <v>0</v>
      </c>
      <c r="AC46" s="175">
        <f t="shared" si="571"/>
        <v>0.74159406045393372</v>
      </c>
      <c r="AD46" s="218">
        <f t="shared" si="571"/>
        <v>0.8395458469371313</v>
      </c>
      <c r="AE46" s="126">
        <f t="shared" si="571"/>
        <v>1.075136612021858</v>
      </c>
      <c r="AF46" s="126">
        <f t="shared" si="571"/>
        <v>0.5535714285714286</v>
      </c>
      <c r="AG46" s="126">
        <f t="shared" si="571"/>
        <v>284</v>
      </c>
      <c r="AH46" s="126" t="e">
        <f t="shared" si="571"/>
        <v>#DIV/0!</v>
      </c>
      <c r="AI46" s="126" t="e">
        <f t="shared" si="571"/>
        <v>#DIV/0!</v>
      </c>
      <c r="AJ46" s="126" t="e">
        <f t="shared" si="571"/>
        <v>#DIV/0!</v>
      </c>
      <c r="AK46" s="126">
        <f t="shared" si="571"/>
        <v>1.0720308975023545</v>
      </c>
      <c r="AL46" s="126">
        <f t="shared" si="571"/>
        <v>1.3458039718129404</v>
      </c>
      <c r="AM46" s="126">
        <f t="shared" si="571"/>
        <v>0.82592592592592595</v>
      </c>
      <c r="AN46" s="126" t="e">
        <f t="shared" si="571"/>
        <v>#DIV/0!</v>
      </c>
      <c r="AO46" s="175">
        <f t="shared" si="571"/>
        <v>0.93554833291863648</v>
      </c>
      <c r="AP46" s="126">
        <f t="shared" si="571"/>
        <v>1.2147420367512634</v>
      </c>
      <c r="AQ46" s="175">
        <f t="shared" si="571"/>
        <v>0.81931231590305931</v>
      </c>
      <c r="AR46" s="126" t="e">
        <f t="shared" si="571"/>
        <v>#DIV/0!</v>
      </c>
      <c r="AS46" s="126" t="e">
        <f t="shared" si="571"/>
        <v>#DIV/0!</v>
      </c>
      <c r="AT46" s="126" t="e">
        <f t="shared" si="571"/>
        <v>#DIV/0!</v>
      </c>
      <c r="AU46" s="126" t="e">
        <f t="shared" si="571"/>
        <v>#DIV/0!</v>
      </c>
      <c r="AV46" s="126" t="e">
        <f t="shared" si="571"/>
        <v>#DIV/0!</v>
      </c>
      <c r="AW46" s="126" t="e">
        <f t="shared" si="571"/>
        <v>#DIV/0!</v>
      </c>
      <c r="AX46" s="126" t="e">
        <f t="shared" si="571"/>
        <v>#DIV/0!</v>
      </c>
      <c r="AY46" s="126" t="e">
        <f t="shared" si="571"/>
        <v>#DIV/0!</v>
      </c>
      <c r="AZ46" s="126" t="e">
        <f t="shared" si="571"/>
        <v>#DIV/0!</v>
      </c>
      <c r="BA46" s="126" t="e">
        <f t="shared" si="571"/>
        <v>#DIV/0!</v>
      </c>
      <c r="BB46" s="175">
        <f t="shared" si="571"/>
        <v>0.80802423165988968</v>
      </c>
      <c r="BC46" s="126">
        <f t="shared" si="571"/>
        <v>0.92507024664377147</v>
      </c>
      <c r="BD46" s="126">
        <f t="shared" si="571"/>
        <v>0.92507024664377147</v>
      </c>
      <c r="BE46" s="126" t="e">
        <f t="shared" si="571"/>
        <v>#DIV/0!</v>
      </c>
      <c r="BF46" s="126">
        <f t="shared" si="571"/>
        <v>0.75882829686233644</v>
      </c>
      <c r="BG46" s="126">
        <f t="shared" si="571"/>
        <v>1.623869801084991</v>
      </c>
      <c r="BH46" s="175">
        <f t="shared" si="571"/>
        <v>0.79504406874953659</v>
      </c>
      <c r="BI46" s="175">
        <f t="shared" si="571"/>
        <v>0.82495100521876996</v>
      </c>
      <c r="BJ46" s="126">
        <f t="shared" si="571"/>
        <v>0.19625648889326561</v>
      </c>
      <c r="BK46" s="126">
        <f t="shared" si="571"/>
        <v>0.83595420411178134</v>
      </c>
      <c r="BM46" s="126" t="e">
        <f t="shared" ref="BM46" si="573">BM41/BM38</f>
        <v>#DIV/0!</v>
      </c>
    </row>
    <row r="47" spans="1:65" s="178" customFormat="1">
      <c r="A47" s="128"/>
      <c r="B47" s="5" t="s">
        <v>341</v>
      </c>
      <c r="C47" s="11">
        <f>C38-C41</f>
        <v>150858</v>
      </c>
      <c r="D47" s="11">
        <f t="shared" ref="D47:BK47" si="574">D38-D41</f>
        <v>72316</v>
      </c>
      <c r="E47" s="11">
        <f t="shared" si="574"/>
        <v>2404</v>
      </c>
      <c r="F47" s="11">
        <f t="shared" si="574"/>
        <v>18593</v>
      </c>
      <c r="G47" s="11">
        <f t="shared" si="574"/>
        <v>9420</v>
      </c>
      <c r="H47" s="11">
        <f t="shared" si="574"/>
        <v>0</v>
      </c>
      <c r="I47" s="11">
        <f t="shared" si="574"/>
        <v>0</v>
      </c>
      <c r="J47" s="11">
        <f t="shared" si="574"/>
        <v>0</v>
      </c>
      <c r="K47" s="11">
        <f t="shared" si="574"/>
        <v>2378</v>
      </c>
      <c r="L47" s="11">
        <f t="shared" si="574"/>
        <v>11206</v>
      </c>
      <c r="M47" s="11">
        <f t="shared" si="574"/>
        <v>194</v>
      </c>
      <c r="N47" s="11">
        <f t="shared" si="574"/>
        <v>250</v>
      </c>
      <c r="O47" s="11">
        <f t="shared" si="574"/>
        <v>822</v>
      </c>
      <c r="P47" s="11">
        <f t="shared" si="574"/>
        <v>-1071</v>
      </c>
      <c r="Q47" s="11">
        <f t="shared" si="574"/>
        <v>0</v>
      </c>
      <c r="R47" s="11">
        <f t="shared" si="574"/>
        <v>-478</v>
      </c>
      <c r="S47" s="11">
        <f t="shared" si="574"/>
        <v>0</v>
      </c>
      <c r="T47" s="11">
        <f t="shared" si="574"/>
        <v>0</v>
      </c>
      <c r="U47" s="11">
        <f t="shared" si="574"/>
        <v>0</v>
      </c>
      <c r="V47" s="11">
        <f t="shared" si="574"/>
        <v>192210</v>
      </c>
      <c r="W47" s="11">
        <f t="shared" si="574"/>
        <v>500</v>
      </c>
      <c r="X47" s="11">
        <f t="shared" si="574"/>
        <v>0</v>
      </c>
      <c r="Y47" s="11">
        <f t="shared" si="574"/>
        <v>780</v>
      </c>
      <c r="Z47" s="11">
        <f t="shared" si="574"/>
        <v>328</v>
      </c>
      <c r="AA47" s="11">
        <f t="shared" si="574"/>
        <v>-92</v>
      </c>
      <c r="AB47" s="11">
        <f t="shared" si="574"/>
        <v>3398</v>
      </c>
      <c r="AC47" s="11">
        <f t="shared" si="574"/>
        <v>427229</v>
      </c>
      <c r="AD47" s="11">
        <f t="shared" si="574"/>
        <v>891245</v>
      </c>
      <c r="AE47" s="11">
        <f t="shared" si="574"/>
        <v>-55</v>
      </c>
      <c r="AF47" s="11">
        <f t="shared" si="574"/>
        <v>100</v>
      </c>
      <c r="AG47" s="11">
        <f t="shared" si="574"/>
        <v>-566</v>
      </c>
      <c r="AH47" s="11">
        <f t="shared" si="574"/>
        <v>0</v>
      </c>
      <c r="AI47" s="11">
        <f t="shared" si="574"/>
        <v>0</v>
      </c>
      <c r="AJ47" s="11">
        <f t="shared" si="574"/>
        <v>0</v>
      </c>
      <c r="AK47" s="11">
        <f t="shared" si="574"/>
        <v>-29598</v>
      </c>
      <c r="AL47" s="11">
        <f t="shared" si="574"/>
        <v>-18893</v>
      </c>
      <c r="AM47" s="11">
        <f t="shared" si="574"/>
        <v>94</v>
      </c>
      <c r="AN47" s="11">
        <f t="shared" si="574"/>
        <v>0</v>
      </c>
      <c r="AO47" s="11">
        <f t="shared" si="574"/>
        <v>8289</v>
      </c>
      <c r="AP47" s="11">
        <f t="shared" si="574"/>
        <v>105480</v>
      </c>
      <c r="AQ47" s="11">
        <f t="shared" si="574"/>
        <v>154890</v>
      </c>
      <c r="AR47" s="11">
        <f t="shared" si="574"/>
        <v>0</v>
      </c>
      <c r="AS47" s="11">
        <f t="shared" si="574"/>
        <v>0</v>
      </c>
      <c r="AT47" s="11">
        <f t="shared" si="574"/>
        <v>0</v>
      </c>
      <c r="AU47" s="11">
        <f t="shared" si="574"/>
        <v>0</v>
      </c>
      <c r="AV47" s="11">
        <f t="shared" si="574"/>
        <v>0</v>
      </c>
      <c r="AW47" s="11">
        <f t="shared" si="574"/>
        <v>-11</v>
      </c>
      <c r="AX47" s="11">
        <f t="shared" si="574"/>
        <v>0</v>
      </c>
      <c r="AY47" s="11">
        <f t="shared" si="574"/>
        <v>0</v>
      </c>
      <c r="AZ47" s="11">
        <f t="shared" si="574"/>
        <v>0</v>
      </c>
      <c r="BA47" s="11">
        <f t="shared" si="574"/>
        <v>0</v>
      </c>
      <c r="BB47" s="11">
        <f t="shared" si="574"/>
        <v>329450</v>
      </c>
      <c r="BC47" s="11">
        <f t="shared" si="574"/>
        <v>240</v>
      </c>
      <c r="BD47" s="11">
        <f t="shared" si="574"/>
        <v>240</v>
      </c>
      <c r="BE47" s="11">
        <f t="shared" si="574"/>
        <v>0</v>
      </c>
      <c r="BF47" s="11">
        <f t="shared" si="574"/>
        <v>6249</v>
      </c>
      <c r="BG47" s="11">
        <f t="shared" si="574"/>
        <v>-345</v>
      </c>
      <c r="BH47" s="11">
        <f t="shared" si="574"/>
        <v>555564</v>
      </c>
      <c r="BI47" s="11">
        <f t="shared" si="574"/>
        <v>1446809</v>
      </c>
      <c r="BJ47" s="11">
        <f t="shared" si="574"/>
        <v>114265</v>
      </c>
      <c r="BK47" s="11">
        <f t="shared" si="574"/>
        <v>1332544</v>
      </c>
      <c r="BL47" s="11">
        <f t="shared" ref="BL47:BM47" si="575">BL41-BL38</f>
        <v>6790454</v>
      </c>
      <c r="BM47" s="11">
        <f t="shared" si="575"/>
        <v>2127186</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9"/>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9"/>
      <c r="BJ48" s="5"/>
      <c r="BK48" s="48"/>
    </row>
    <row r="49" spans="1:65" s="266" customFormat="1">
      <c r="A49" s="15" t="s">
        <v>137</v>
      </c>
      <c r="B49" s="11" t="s">
        <v>336</v>
      </c>
      <c r="C49" s="267">
        <v>2602805</v>
      </c>
      <c r="D49" s="120">
        <v>1197070</v>
      </c>
      <c r="E49" s="120">
        <v>117394</v>
      </c>
      <c r="F49" s="120">
        <v>245800</v>
      </c>
      <c r="G49" s="120">
        <v>193268</v>
      </c>
      <c r="H49" s="120"/>
      <c r="I49" s="120"/>
      <c r="J49" s="120">
        <v>7100</v>
      </c>
      <c r="K49" s="120">
        <v>2158</v>
      </c>
      <c r="L49" s="120">
        <v>52147</v>
      </c>
      <c r="M49" s="120">
        <v>51246</v>
      </c>
      <c r="N49" s="120">
        <v>432</v>
      </c>
      <c r="O49" s="120">
        <v>9640</v>
      </c>
      <c r="P49" s="120">
        <v>249457</v>
      </c>
      <c r="Q49" s="120"/>
      <c r="R49" s="120">
        <v>8356</v>
      </c>
      <c r="S49" s="120"/>
      <c r="T49" s="120"/>
      <c r="U49" s="120"/>
      <c r="V49" s="268">
        <v>9736</v>
      </c>
      <c r="W49" s="120"/>
      <c r="X49" s="120"/>
      <c r="Y49" s="120">
        <v>14812</v>
      </c>
      <c r="Z49" s="120">
        <v>7725</v>
      </c>
      <c r="AA49" s="120">
        <v>4241</v>
      </c>
      <c r="AB49" s="120">
        <v>500</v>
      </c>
      <c r="AC49" s="268"/>
      <c r="AD49" s="121">
        <f t="shared" ref="AD49" si="576">SUM(C49:AC49)</f>
        <v>4773887</v>
      </c>
      <c r="AE49" s="120">
        <v>5362</v>
      </c>
      <c r="AF49" s="120">
        <v>11759</v>
      </c>
      <c r="AG49" s="120">
        <v>6726</v>
      </c>
      <c r="AH49" s="120"/>
      <c r="AI49" s="120"/>
      <c r="AJ49" s="120">
        <v>28</v>
      </c>
      <c r="AK49" s="120">
        <v>353071</v>
      </c>
      <c r="AL49" s="120">
        <v>290600</v>
      </c>
      <c r="AM49" s="120"/>
      <c r="AN49" s="120">
        <v>18485</v>
      </c>
      <c r="AO49" s="268">
        <v>758394</v>
      </c>
      <c r="AP49" s="120">
        <v>216230</v>
      </c>
      <c r="AQ49" s="268">
        <v>68</v>
      </c>
      <c r="AR49" s="120"/>
      <c r="AS49" s="120"/>
      <c r="AT49" s="120"/>
      <c r="AU49" s="120"/>
      <c r="AV49" s="120"/>
      <c r="AW49" s="120">
        <v>692</v>
      </c>
      <c r="AX49" s="120">
        <v>1436</v>
      </c>
      <c r="AY49" s="120"/>
      <c r="AZ49" s="120"/>
      <c r="BA49" s="120"/>
      <c r="BB49" s="268"/>
      <c r="BC49" s="120">
        <v>34541</v>
      </c>
      <c r="BD49" s="120">
        <v>33681</v>
      </c>
      <c r="BE49" s="120"/>
      <c r="BF49" s="120">
        <v>115527</v>
      </c>
      <c r="BG49" s="120">
        <v>1286953</v>
      </c>
      <c r="BH49" s="120">
        <f t="shared" ref="BH49" si="577">SUM(AE49:BG49)</f>
        <v>3133553</v>
      </c>
      <c r="BI49" s="125">
        <f t="shared" ref="BI49" si="578">AD49+BH49</f>
        <v>7907440</v>
      </c>
      <c r="BJ49" s="269">
        <v>107440</v>
      </c>
      <c r="BK49" s="124">
        <f t="shared" ref="BK49:BK50" si="579">BI49-BJ49</f>
        <v>7800000</v>
      </c>
    </row>
    <row r="50" spans="1:65" s="41" customFormat="1">
      <c r="A50" s="134" t="s">
        <v>137</v>
      </c>
      <c r="B50" s="210" t="s">
        <v>432</v>
      </c>
      <c r="C50" s="267">
        <v>2374663</v>
      </c>
      <c r="D50" s="120">
        <v>1071727</v>
      </c>
      <c r="E50" s="120">
        <v>117294</v>
      </c>
      <c r="F50" s="120">
        <v>224936</v>
      </c>
      <c r="G50" s="120">
        <v>177394</v>
      </c>
      <c r="H50" s="120"/>
      <c r="I50" s="120"/>
      <c r="J50" s="120">
        <v>6464</v>
      </c>
      <c r="K50" s="120">
        <v>1857</v>
      </c>
      <c r="L50" s="120">
        <v>44624</v>
      </c>
      <c r="M50" s="120">
        <v>46772</v>
      </c>
      <c r="N50" s="120">
        <v>402</v>
      </c>
      <c r="O50" s="120">
        <v>8138</v>
      </c>
      <c r="P50" s="120">
        <v>223068</v>
      </c>
      <c r="Q50" s="120"/>
      <c r="R50" s="120">
        <v>7652</v>
      </c>
      <c r="S50" s="120"/>
      <c r="T50" s="120"/>
      <c r="U50" s="120"/>
      <c r="V50" s="268">
        <v>8687</v>
      </c>
      <c r="W50" s="120"/>
      <c r="X50" s="120"/>
      <c r="Y50" s="120">
        <v>14373</v>
      </c>
      <c r="Z50" s="120">
        <v>7618</v>
      </c>
      <c r="AA50" s="120">
        <v>3373</v>
      </c>
      <c r="AB50" s="120">
        <v>500</v>
      </c>
      <c r="AC50" s="268"/>
      <c r="AD50" s="121">
        <f t="shared" ref="AD50" si="580">SUM(C50:AC50)</f>
        <v>4339542</v>
      </c>
      <c r="AE50" s="120">
        <v>4922</v>
      </c>
      <c r="AF50" s="120">
        <v>11759</v>
      </c>
      <c r="AG50" s="120">
        <v>5641</v>
      </c>
      <c r="AH50" s="120"/>
      <c r="AI50" s="120"/>
      <c r="AJ50" s="120">
        <v>21</v>
      </c>
      <c r="AK50" s="120">
        <v>309563</v>
      </c>
      <c r="AL50" s="120">
        <v>271266</v>
      </c>
      <c r="AM50" s="120"/>
      <c r="AN50" s="120">
        <v>16462</v>
      </c>
      <c r="AO50" s="268">
        <v>683362</v>
      </c>
      <c r="AP50" s="120">
        <v>197684</v>
      </c>
      <c r="AQ50" s="268">
        <v>68</v>
      </c>
      <c r="AR50" s="120"/>
      <c r="AS50" s="120"/>
      <c r="AT50" s="120"/>
      <c r="AU50" s="120"/>
      <c r="AV50" s="120"/>
      <c r="AW50" s="120">
        <v>519</v>
      </c>
      <c r="AX50" s="120">
        <v>1260</v>
      </c>
      <c r="AY50" s="120"/>
      <c r="AZ50" s="120"/>
      <c r="BA50" s="120"/>
      <c r="BB50" s="268"/>
      <c r="BC50" s="120">
        <v>31557</v>
      </c>
      <c r="BD50" s="120">
        <v>30910</v>
      </c>
      <c r="BE50" s="120">
        <v>0</v>
      </c>
      <c r="BF50" s="120">
        <v>98467</v>
      </c>
      <c r="BG50" s="120">
        <v>1031742</v>
      </c>
      <c r="BH50" s="10">
        <f>SUM(AE50:BG50)</f>
        <v>2695203</v>
      </c>
      <c r="BI50" s="249">
        <f>AD50+BH50</f>
        <v>7034745</v>
      </c>
      <c r="BJ50" s="269">
        <v>96424</v>
      </c>
      <c r="BK50" s="10">
        <f t="shared" si="579"/>
        <v>6938321</v>
      </c>
      <c r="BM50" s="211"/>
    </row>
    <row r="51" spans="1:65">
      <c r="A51" s="128"/>
      <c r="B51" s="12" t="s">
        <v>430</v>
      </c>
      <c r="C51" s="9">
        <f>IF('Upto Month COPPY'!$F$4="",0,'Upto Month COPPY'!$F$4)</f>
        <v>2353789</v>
      </c>
      <c r="D51" s="9">
        <f>IF('Upto Month COPPY'!$F$5="",0,'Upto Month COPPY'!$F$5)</f>
        <v>879721</v>
      </c>
      <c r="E51" s="9">
        <f>IF('Upto Month COPPY'!$F$6="",0,'Upto Month COPPY'!$F$6)</f>
        <v>116781</v>
      </c>
      <c r="F51" s="9">
        <f>IF('Upto Month COPPY'!$F$7="",0,'Upto Month COPPY'!$F$7)</f>
        <v>217877</v>
      </c>
      <c r="G51" s="9">
        <f>IF('Upto Month COPPY'!$F$8="",0,'Upto Month COPPY'!$F$8)</f>
        <v>161704</v>
      </c>
      <c r="H51" s="9">
        <f>IF('Upto Month COPPY'!$F$9="",0,'Upto Month COPPY'!$F$9)</f>
        <v>0</v>
      </c>
      <c r="I51" s="9">
        <f>IF('Upto Month COPPY'!$F$10="",0,'Upto Month COPPY'!$F$10)</f>
        <v>0</v>
      </c>
      <c r="J51" s="9">
        <f>IF('Upto Month COPPY'!$F$11="",0,'Upto Month COPPY'!$F$11)</f>
        <v>6035</v>
      </c>
      <c r="K51" s="9">
        <f>IF('Upto Month COPPY'!$F$12="",0,'Upto Month COPPY'!$F$12)</f>
        <v>1985</v>
      </c>
      <c r="L51" s="9">
        <f>IF('Upto Month COPPY'!$F$13="",0,'Upto Month COPPY'!$F$13)</f>
        <v>31924</v>
      </c>
      <c r="M51" s="9">
        <f>IF('Upto Month COPPY'!$F$14="",0,'Upto Month COPPY'!$F$14)</f>
        <v>46569</v>
      </c>
      <c r="N51" s="9">
        <f>IF('Upto Month COPPY'!$F$15="",0,'Upto Month COPPY'!$F$15)</f>
        <v>279</v>
      </c>
      <c r="O51" s="9">
        <f>IF('Upto Month COPPY'!$F$16="",0,'Upto Month COPPY'!$F$16)</f>
        <v>5627</v>
      </c>
      <c r="P51" s="9">
        <f>IF('Upto Month COPPY'!$F$17="",0,'Upto Month COPPY'!$F$17)</f>
        <v>216863</v>
      </c>
      <c r="Q51" s="9">
        <f>IF('Upto Month COPPY'!$F$18="",0,'Upto Month COPPY'!$F$18)</f>
        <v>0</v>
      </c>
      <c r="R51" s="9">
        <f>IF('Upto Month COPPY'!$F$21="",0,'Upto Month COPPY'!$F$21)</f>
        <v>6947</v>
      </c>
      <c r="S51" s="9">
        <f>IF('Upto Month COPPY'!$F$26="",0,'Upto Month COPPY'!$F$26)</f>
        <v>0</v>
      </c>
      <c r="T51" s="9">
        <f>IF('Upto Month COPPY'!$F$27="",0,'Upto Month COPPY'!$F$27)</f>
        <v>0</v>
      </c>
      <c r="U51" s="9">
        <f>IF('Upto Month COPPY'!$F$30="",0,'Upto Month COPPY'!$F$30)</f>
        <v>0</v>
      </c>
      <c r="V51" s="9">
        <f>IF('Upto Month COPPY'!$F$35="",0,'Upto Month COPPY'!$F$35)</f>
        <v>4829</v>
      </c>
      <c r="W51" s="9">
        <f>IF('Upto Month COPPY'!$F$39="",0,'Upto Month COPPY'!$F$39)</f>
        <v>0</v>
      </c>
      <c r="X51" s="9">
        <f>IF('Upto Month COPPY'!$F$40="",0,'Upto Month COPPY'!$F$40)</f>
        <v>0</v>
      </c>
      <c r="Y51" s="9">
        <f>IF('Upto Month COPPY'!$F$42="",0,'Upto Month COPPY'!$F$42)</f>
        <v>8166</v>
      </c>
      <c r="Z51" s="9">
        <f>IF('Upto Month COPPY'!$F$43="",0,'Upto Month COPPY'!$F$43)</f>
        <v>4002</v>
      </c>
      <c r="AA51" s="9">
        <f>IF('Upto Month COPPY'!$F$44="",0,'Upto Month COPPY'!$F$44)</f>
        <v>1648</v>
      </c>
      <c r="AB51" s="9">
        <f>IF('Upto Month COPPY'!$F$48="",0,'Upto Month COPPY'!$F$48)</f>
        <v>0</v>
      </c>
      <c r="AC51" s="9">
        <f>IF('Upto Month COPPY'!$F$51="",0,'Upto Month COPPY'!$F$51)</f>
        <v>0</v>
      </c>
      <c r="AD51" s="221">
        <f t="shared" ref="AD51:AD52" si="581">SUM(C51:AC51)</f>
        <v>4064746</v>
      </c>
      <c r="AE51" s="9">
        <f>IF('Upto Month COPPY'!$F$19="",0,'Upto Month COPPY'!$F$19)</f>
        <v>4778</v>
      </c>
      <c r="AF51" s="9">
        <f>IF('Upto Month COPPY'!$F$20="",0,'Upto Month COPPY'!$F$20)</f>
        <v>7595</v>
      </c>
      <c r="AG51" s="9">
        <f>IF('Upto Month COPPY'!$F$22="",0,'Upto Month COPPY'!$F$22)</f>
        <v>5528</v>
      </c>
      <c r="AH51" s="9">
        <f>IF('Upto Month COPPY'!$F$23="",0,'Upto Month COPPY'!$F$23)</f>
        <v>0</v>
      </c>
      <c r="AI51" s="9">
        <f>IF('Upto Month COPPY'!$F$24="",0,'Upto Month COPPY'!$F$24)</f>
        <v>0</v>
      </c>
      <c r="AJ51" s="9">
        <f>IF('Upto Month COPPY'!$F$25="",0,'Upto Month COPPY'!$F$25)</f>
        <v>195</v>
      </c>
      <c r="AK51" s="9">
        <f>IF('Upto Month COPPY'!$F$28="",0,'Upto Month COPPY'!$F$28)</f>
        <v>274564</v>
      </c>
      <c r="AL51" s="9">
        <f>IF('Upto Month COPPY'!$F$29="",0,'Upto Month COPPY'!$F$29)</f>
        <v>380100</v>
      </c>
      <c r="AM51" s="9">
        <f>IF('Upto Month COPPY'!$F$31="",0,'Upto Month COPPY'!$F$31)</f>
        <v>0</v>
      </c>
      <c r="AN51" s="9">
        <f>IF('Upto Month COPPY'!$F$32="",0,'Upto Month COPPY'!$F$32)</f>
        <v>14383</v>
      </c>
      <c r="AO51" s="9">
        <f>IF('Upto Month COPPY'!$F$33="",0,'Upto Month COPPY'!$F$33)</f>
        <v>645382</v>
      </c>
      <c r="AP51" s="9">
        <f>IF('Upto Month COPPY'!$F$34="",0,'Upto Month COPPY'!$F$34)</f>
        <v>369563</v>
      </c>
      <c r="AQ51" s="9">
        <f>IF('Upto Month COPPY'!$F$36="",0,'Upto Month COPPY'!$F$36)</f>
        <v>53</v>
      </c>
      <c r="AR51" s="9">
        <f>IF('Upto Month COPPY'!$F$37="",0,'Upto Month COPPY'!$F$37)</f>
        <v>0</v>
      </c>
      <c r="AS51" s="9">
        <v>0</v>
      </c>
      <c r="AT51" s="9">
        <f>IF('Upto Month COPPY'!$F$38="",0,'Upto Month COPPY'!$F$38)</f>
        <v>0</v>
      </c>
      <c r="AU51" s="9">
        <f>IF('Upto Month COPPY'!$F$41="",0,'Upto Month COPPY'!$F$41)</f>
        <v>0</v>
      </c>
      <c r="AV51" s="9">
        <v>0</v>
      </c>
      <c r="AW51" s="9">
        <f>IF('Upto Month COPPY'!$F$45="",0,'Upto Month COPPY'!$F$45)</f>
        <v>137</v>
      </c>
      <c r="AX51" s="9">
        <f>IF('Upto Month COPPY'!$F$46="",0,'Upto Month COPPY'!$F$46)</f>
        <v>0</v>
      </c>
      <c r="AY51" s="9">
        <f>IF('Upto Month COPPY'!$F$47="",0,'Upto Month COPPY'!$F$47)</f>
        <v>100</v>
      </c>
      <c r="AZ51" s="9">
        <f>IF('Upto Month COPPY'!$F$49="",0,'Upto Month COPPY'!$F$49)</f>
        <v>0</v>
      </c>
      <c r="BA51" s="9">
        <f>IF('Upto Month COPPY'!$F$50="",0,'Upto Month COPPY'!$F$50)</f>
        <v>0</v>
      </c>
      <c r="BB51" s="9">
        <f>IF('Upto Month COPPY'!$F$52="",0,'Upto Month COPPY'!$F$52)</f>
        <v>0</v>
      </c>
      <c r="BC51" s="9">
        <f>IF('Upto Month COPPY'!$F$53="",0,'Upto Month COPPY'!$F$53)</f>
        <v>27240</v>
      </c>
      <c r="BD51" s="9">
        <f>IF('Upto Month COPPY'!$F$54="",0,'Upto Month COPPY'!$F$54)</f>
        <v>26515</v>
      </c>
      <c r="BE51" s="9">
        <f>IF('Upto Month COPPY'!$F$55="",0,'Upto Month COPPY'!$F$55)</f>
        <v>0</v>
      </c>
      <c r="BF51" s="9">
        <f>IF('Upto Month COPPY'!$F$56="",0,'Upto Month COPPY'!$F$56)</f>
        <v>89475</v>
      </c>
      <c r="BG51" s="9">
        <f>IF('Upto Month COPPY'!$F$58="",0,'Upto Month COPPY'!$F$58)</f>
        <v>921810</v>
      </c>
      <c r="BH51" s="9">
        <f>SUM(AE51:BG51)</f>
        <v>2767418</v>
      </c>
      <c r="BI51" s="275">
        <f>AD51+BH51</f>
        <v>6832164</v>
      </c>
      <c r="BJ51" s="9">
        <f>IF('Upto Month COPPY'!$F$60="",0,'Upto Month COPPY'!$F$60)</f>
        <v>66613</v>
      </c>
      <c r="BK51" s="49">
        <f t="shared" ref="BK51:BK52" si="582">BI51-BJ51</f>
        <v>6765551</v>
      </c>
      <c r="BL51">
        <f>'Upto Month COPPY'!$F$61</f>
        <v>6765551</v>
      </c>
      <c r="BM51" s="30">
        <f t="shared" ref="BM51:BM55" si="583">BK51-AD51</f>
        <v>2700805</v>
      </c>
    </row>
    <row r="52" spans="1:65">
      <c r="A52" s="128"/>
      <c r="B52" s="180" t="s">
        <v>431</v>
      </c>
      <c r="C52" s="9">
        <f>IF('Upto Month Current'!$F$4="",0,'Upto Month Current'!$F$4)</f>
        <v>2402412</v>
      </c>
      <c r="D52" s="9">
        <f>IF('Upto Month Current'!$F$5="",0,'Upto Month Current'!$F$5)</f>
        <v>1099931</v>
      </c>
      <c r="E52" s="9">
        <f>IF('Upto Month Current'!$F$6="",0,'Upto Month Current'!$F$6)</f>
        <v>119741</v>
      </c>
      <c r="F52" s="9">
        <f>IF('Upto Month Current'!$F$7="",0,'Upto Month Current'!$F$7)</f>
        <v>225140</v>
      </c>
      <c r="G52" s="9">
        <f>IF('Upto Month Current'!$F$8="",0,'Upto Month Current'!$F$8)</f>
        <v>178770</v>
      </c>
      <c r="H52" s="9">
        <f>IF('Upto Month Current'!$F$9="",0,'Upto Month Current'!$F$9)</f>
        <v>0</v>
      </c>
      <c r="I52" s="9">
        <f>IF('Upto Month Current'!$F$10="",0,'Upto Month Current'!$F$10)</f>
        <v>0</v>
      </c>
      <c r="J52" s="9">
        <f>IF('Upto Month Current'!$F$11="",0,'Upto Month Current'!$F$11)</f>
        <v>7643</v>
      </c>
      <c r="K52" s="9">
        <f>IF('Upto Month Current'!$F$12="",0,'Upto Month Current'!$F$12)</f>
        <v>1325</v>
      </c>
      <c r="L52" s="9">
        <f>IF('Upto Month Current'!$F$13="",0,'Upto Month Current'!$F$13)</f>
        <v>42657</v>
      </c>
      <c r="M52" s="9">
        <f>IF('Upto Month Current'!$F$14="",0,'Upto Month Current'!$F$14)</f>
        <v>49700</v>
      </c>
      <c r="N52" s="9">
        <f>IF('Upto Month Current'!$F$15="",0,'Upto Month Current'!$F$15)</f>
        <v>174</v>
      </c>
      <c r="O52" s="9">
        <f>IF('Upto Month Current'!$F$16="",0,'Upto Month Current'!$F$16)</f>
        <v>8003</v>
      </c>
      <c r="P52" s="9">
        <f>IF('Upto Month Current'!$F$17="",0,'Upto Month Current'!$F$17)</f>
        <v>230299</v>
      </c>
      <c r="Q52" s="9">
        <f>IF('Upto Month Current'!$F$18="",0,'Upto Month Current'!$F$18)</f>
        <v>0</v>
      </c>
      <c r="R52" s="9">
        <f>IF('Upto Month Current'!$F$21="",0,'Upto Month Current'!$F$21)</f>
        <v>9254</v>
      </c>
      <c r="S52" s="9">
        <f>IF('Upto Month Current'!$F$26="",0,'Upto Month Current'!$F$26)</f>
        <v>0</v>
      </c>
      <c r="T52" s="9">
        <f>IF('Upto Month Current'!$F$27="",0,'Upto Month Current'!$F$27)</f>
        <v>0</v>
      </c>
      <c r="U52" s="9">
        <f>IF('Upto Month Current'!$F$30="",0,'Upto Month Current'!$F$30)</f>
        <v>0</v>
      </c>
      <c r="V52" s="9">
        <f>IF('Upto Month Current'!$F$35="",0,'Upto Month Current'!$F$35)</f>
        <v>7411</v>
      </c>
      <c r="W52" s="9">
        <f>IF('Upto Month Current'!$F$39="",0,'Upto Month Current'!$F$39)</f>
        <v>0</v>
      </c>
      <c r="X52" s="9">
        <f>IF('Upto Month Current'!$F$40="",0,'Upto Month Current'!$F$40)</f>
        <v>0</v>
      </c>
      <c r="Y52" s="9">
        <f>IF('Upto Month Current'!$F$42="",0,'Upto Month Current'!$F$42)</f>
        <v>7224</v>
      </c>
      <c r="Z52" s="9">
        <f>IF('Upto Month Current'!$F$43="",0,'Upto Month Current'!$F$43)</f>
        <v>1971</v>
      </c>
      <c r="AA52" s="9">
        <f>IF('Upto Month Current'!$F$44="",0,'Upto Month Current'!$F$44)</f>
        <v>1861</v>
      </c>
      <c r="AB52" s="9">
        <f>IF('Upto Month Current'!$F$48="",0,'Upto Month Current'!$F$48)</f>
        <v>0</v>
      </c>
      <c r="AC52" s="9">
        <f>IF('Upto Month Current'!$F$51="",0,'Upto Month Current'!$F$51)</f>
        <v>0</v>
      </c>
      <c r="AD52" s="221">
        <f t="shared" si="581"/>
        <v>4393516</v>
      </c>
      <c r="AE52" s="9">
        <f>IF('Upto Month Current'!$F$19="",0,'Upto Month Current'!$F$19)</f>
        <v>6490</v>
      </c>
      <c r="AF52" s="9">
        <f>IF('Upto Month Current'!$F$20="",0,'Upto Month Current'!$F$20)</f>
        <v>13672</v>
      </c>
      <c r="AG52" s="9">
        <f>IF('Upto Month Current'!$F$22="",0,'Upto Month Current'!$F$22)</f>
        <v>14066</v>
      </c>
      <c r="AH52" s="9">
        <f>IF('Upto Month Current'!$F$23="",0,'Upto Month Current'!$F$23)</f>
        <v>128</v>
      </c>
      <c r="AI52" s="9">
        <f>IF('Upto Month Current'!$F$24="",0,'Upto Month Current'!$F$24)</f>
        <v>0</v>
      </c>
      <c r="AJ52" s="9">
        <f>IF('Upto Month Current'!$F$25="",0,'Upto Month Current'!$F$25)</f>
        <v>31</v>
      </c>
      <c r="AK52" s="9">
        <f>IF('Upto Month Current'!$F$28="",0,'Upto Month Current'!$F$28)</f>
        <v>313295</v>
      </c>
      <c r="AL52" s="9">
        <f>IF('Upto Month Current'!$F$29="",0,'Upto Month Current'!$F$29)</f>
        <v>339896</v>
      </c>
      <c r="AM52" s="9">
        <f>IF('Upto Month Current'!$F$31="",0,'Upto Month Current'!$F$31)</f>
        <v>0</v>
      </c>
      <c r="AN52" s="9">
        <f>IF('Upto Month Current'!$F$32="",0,'Upto Month Current'!$F$32)</f>
        <v>24354</v>
      </c>
      <c r="AO52" s="9">
        <f>IF('Upto Month Current'!$F$33="",0,'Upto Month Current'!$F$33)</f>
        <v>734819</v>
      </c>
      <c r="AP52" s="9">
        <f>IF('Upto Month Current'!$F$34="",0,'Upto Month Current'!$F$34)</f>
        <v>383520</v>
      </c>
      <c r="AQ52" s="9">
        <f>IF('Upto Month Current'!$F$36="",0,'Upto Month Current'!$F$36)</f>
        <v>144</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47</v>
      </c>
      <c r="AX52" s="9">
        <f>IF('Upto Month Current'!$F$46="",0,'Upto Month Current'!$F$46)</f>
        <v>270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36068</v>
      </c>
      <c r="BD52" s="9">
        <f>IF('Upto Month Current'!$F$54="",0,'Upto Month Current'!$F$54)</f>
        <v>36068</v>
      </c>
      <c r="BE52" s="9">
        <f>IF('Upto Month Current'!$F$55="",0,'Upto Month Current'!$F$55)</f>
        <v>0</v>
      </c>
      <c r="BF52" s="9">
        <f>IF('Upto Month Current'!$F$56="",0,'Upto Month Current'!$F$56)</f>
        <v>79479</v>
      </c>
      <c r="BG52" s="9">
        <f>IF('Upto Month Current'!$F$58="",0,'Upto Month Current'!$F$58)</f>
        <v>657146</v>
      </c>
      <c r="BH52" s="9">
        <f>SUM(AE52:BG52)</f>
        <v>2639493</v>
      </c>
      <c r="BI52" s="275">
        <f>AD52+BH52</f>
        <v>7033009</v>
      </c>
      <c r="BJ52" s="9">
        <f>IF('Upto Month Current'!$F$60="",0,'Upto Month Current'!$F$60)</f>
        <v>59803</v>
      </c>
      <c r="BK52" s="49">
        <f t="shared" si="582"/>
        <v>6973206</v>
      </c>
      <c r="BL52">
        <f>'Upto Month Current'!$F$61</f>
        <v>6973206</v>
      </c>
      <c r="BM52" s="30">
        <f t="shared" si="583"/>
        <v>2579690</v>
      </c>
    </row>
    <row r="53" spans="1:65">
      <c r="A53" s="128"/>
      <c r="B53" s="5" t="s">
        <v>130</v>
      </c>
      <c r="C53" s="11">
        <f>C52-C50</f>
        <v>27749</v>
      </c>
      <c r="D53" s="11">
        <f t="shared" ref="D53" si="584">D52-D50</f>
        <v>28204</v>
      </c>
      <c r="E53" s="11">
        <f t="shared" ref="E53" si="585">E52-E50</f>
        <v>2447</v>
      </c>
      <c r="F53" s="11">
        <f t="shared" ref="F53" si="586">F52-F50</f>
        <v>204</v>
      </c>
      <c r="G53" s="11">
        <f t="shared" ref="G53" si="587">G52-G50</f>
        <v>1376</v>
      </c>
      <c r="H53" s="11">
        <f t="shared" ref="H53" si="588">H52-H50</f>
        <v>0</v>
      </c>
      <c r="I53" s="11">
        <f t="shared" ref="I53" si="589">I52-I50</f>
        <v>0</v>
      </c>
      <c r="J53" s="11">
        <f t="shared" ref="J53" si="590">J52-J50</f>
        <v>1179</v>
      </c>
      <c r="K53" s="11">
        <f t="shared" ref="K53" si="591">K52-K50</f>
        <v>-532</v>
      </c>
      <c r="L53" s="11">
        <f t="shared" ref="L53" si="592">L52-L50</f>
        <v>-1967</v>
      </c>
      <c r="M53" s="11">
        <f t="shared" ref="M53" si="593">M52-M50</f>
        <v>2928</v>
      </c>
      <c r="N53" s="11">
        <f t="shared" ref="N53" si="594">N52-N50</f>
        <v>-228</v>
      </c>
      <c r="O53" s="11">
        <f t="shared" ref="O53" si="595">O52-O50</f>
        <v>-135</v>
      </c>
      <c r="P53" s="11">
        <f t="shared" ref="P53" si="596">P52-P50</f>
        <v>7231</v>
      </c>
      <c r="Q53" s="11">
        <f t="shared" ref="Q53" si="597">Q52-Q50</f>
        <v>0</v>
      </c>
      <c r="R53" s="11">
        <f t="shared" ref="R53" si="598">R52-R50</f>
        <v>1602</v>
      </c>
      <c r="S53" s="11">
        <f t="shared" ref="S53" si="599">S52-S50</f>
        <v>0</v>
      </c>
      <c r="T53" s="11">
        <f t="shared" ref="T53:U53" si="600">T52-T50</f>
        <v>0</v>
      </c>
      <c r="U53" s="11">
        <f t="shared" si="600"/>
        <v>0</v>
      </c>
      <c r="V53" s="9">
        <f t="shared" ref="V53" si="601">V52-V50</f>
        <v>-1276</v>
      </c>
      <c r="W53" s="11">
        <f t="shared" ref="W53" si="602">W52-W50</f>
        <v>0</v>
      </c>
      <c r="X53" s="11">
        <f t="shared" ref="X53" si="603">X52-X50</f>
        <v>0</v>
      </c>
      <c r="Y53" s="11">
        <f t="shared" ref="Y53" si="604">Y52-Y50</f>
        <v>-7149</v>
      </c>
      <c r="Z53" s="11">
        <f t="shared" ref="Z53" si="605">Z52-Z50</f>
        <v>-5647</v>
      </c>
      <c r="AA53" s="11">
        <f t="shared" ref="AA53:AD53" si="606">AA52-AA50</f>
        <v>-1512</v>
      </c>
      <c r="AB53" s="11">
        <f t="shared" ref="AB53" si="607">AB52-AB50</f>
        <v>-500</v>
      </c>
      <c r="AC53" s="9">
        <f t="shared" si="606"/>
        <v>0</v>
      </c>
      <c r="AD53" s="216">
        <f t="shared" si="606"/>
        <v>53974</v>
      </c>
      <c r="AE53" s="11">
        <f t="shared" ref="AE53" si="608">AE52-AE50</f>
        <v>1568</v>
      </c>
      <c r="AF53" s="11">
        <f t="shared" ref="AF53" si="609">AF52-AF50</f>
        <v>1913</v>
      </c>
      <c r="AG53" s="11">
        <f t="shared" ref="AG53" si="610">AG52-AG50</f>
        <v>8425</v>
      </c>
      <c r="AH53" s="11">
        <f t="shared" ref="AH53" si="611">AH52-AH50</f>
        <v>128</v>
      </c>
      <c r="AI53" s="11">
        <f t="shared" ref="AI53" si="612">AI52-AI50</f>
        <v>0</v>
      </c>
      <c r="AJ53" s="11">
        <f t="shared" ref="AJ53" si="613">AJ52-AJ50</f>
        <v>10</v>
      </c>
      <c r="AK53" s="11">
        <f t="shared" ref="AK53" si="614">AK52-AK50</f>
        <v>3732</v>
      </c>
      <c r="AL53" s="11">
        <f t="shared" ref="AL53" si="615">AL52-AL50</f>
        <v>68630</v>
      </c>
      <c r="AM53" s="11">
        <f t="shared" ref="AM53" si="616">AM52-AM50</f>
        <v>0</v>
      </c>
      <c r="AN53" s="11">
        <f t="shared" ref="AN53" si="617">AN52-AN50</f>
        <v>7892</v>
      </c>
      <c r="AO53" s="9">
        <f t="shared" ref="AO53" si="618">AO52-AO50</f>
        <v>51457</v>
      </c>
      <c r="AP53" s="11">
        <f t="shared" ref="AP53" si="619">AP52-AP50</f>
        <v>185836</v>
      </c>
      <c r="AQ53" s="9">
        <f t="shared" ref="AQ53" si="620">AQ52-AQ50</f>
        <v>76</v>
      </c>
      <c r="AR53" s="11">
        <f t="shared" ref="AR53" si="621">AR52-AR50</f>
        <v>0</v>
      </c>
      <c r="AS53" s="11">
        <f t="shared" ref="AS53" si="622">AS52-AS50</f>
        <v>0</v>
      </c>
      <c r="AT53" s="11">
        <f t="shared" ref="AT53" si="623">AT52-AT50</f>
        <v>0</v>
      </c>
      <c r="AU53" s="11">
        <f t="shared" ref="AU53" si="624">AU52-AU50</f>
        <v>0</v>
      </c>
      <c r="AV53" s="11">
        <f t="shared" ref="AV53" si="625">AV52-AV50</f>
        <v>0</v>
      </c>
      <c r="AW53" s="11">
        <f t="shared" ref="AW53" si="626">AW52-AW50</f>
        <v>-472</v>
      </c>
      <c r="AX53" s="11">
        <f t="shared" ref="AX53" si="627">AX52-AX50</f>
        <v>-990</v>
      </c>
      <c r="AY53" s="11">
        <f t="shared" ref="AY53" si="628">AY52-AY50</f>
        <v>0</v>
      </c>
      <c r="AZ53" s="11">
        <f t="shared" ref="AZ53" si="629">AZ52-AZ50</f>
        <v>0</v>
      </c>
      <c r="BA53" s="11">
        <f t="shared" ref="BA53" si="630">BA52-BA50</f>
        <v>0</v>
      </c>
      <c r="BB53" s="9">
        <f t="shared" ref="BB53" si="631">BB52-BB50</f>
        <v>0</v>
      </c>
      <c r="BC53" s="11">
        <f t="shared" ref="BC53" si="632">BC52-BC50</f>
        <v>4511</v>
      </c>
      <c r="BD53" s="11">
        <f t="shared" ref="BD53" si="633">BD52-BD50</f>
        <v>5158</v>
      </c>
      <c r="BE53" s="11">
        <f t="shared" ref="BE53" si="634">BE52-BE50</f>
        <v>0</v>
      </c>
      <c r="BF53" s="11">
        <f t="shared" ref="BF53" si="635">BF52-BF50</f>
        <v>-18988</v>
      </c>
      <c r="BG53" s="11">
        <f t="shared" ref="BG53:BH53" si="636">BG52-BG50</f>
        <v>-374596</v>
      </c>
      <c r="BH53" s="9">
        <f t="shared" si="636"/>
        <v>-55710</v>
      </c>
      <c r="BI53" s="9">
        <f t="shared" ref="BI53" si="637">BI52-BI50</f>
        <v>-1736</v>
      </c>
      <c r="BJ53" s="11">
        <f t="shared" ref="BJ53:BK53" si="638">BJ52-BJ50</f>
        <v>-36621</v>
      </c>
      <c r="BK53" s="49">
        <f t="shared" si="638"/>
        <v>34885</v>
      </c>
      <c r="BM53" s="30">
        <f t="shared" si="583"/>
        <v>-19089</v>
      </c>
    </row>
    <row r="54" spans="1:65">
      <c r="A54" s="128"/>
      <c r="B54" s="5" t="s">
        <v>131</v>
      </c>
      <c r="C54" s="13">
        <f>C53/C50</f>
        <v>1.1685447577193059E-2</v>
      </c>
      <c r="D54" s="13">
        <f t="shared" ref="D54" si="639">D53/D50</f>
        <v>2.6316403337790315E-2</v>
      </c>
      <c r="E54" s="13">
        <f t="shared" ref="E54" si="640">E53/E50</f>
        <v>2.0862107183658159E-2</v>
      </c>
      <c r="F54" s="13">
        <f t="shared" ref="F54" si="641">F53/F50</f>
        <v>9.0692463634100369E-4</v>
      </c>
      <c r="G54" s="13">
        <f t="shared" ref="G54" si="642">G53/G50</f>
        <v>7.7567448729945771E-3</v>
      </c>
      <c r="H54" s="13" t="e">
        <f t="shared" ref="H54" si="643">H53/H50</f>
        <v>#DIV/0!</v>
      </c>
      <c r="I54" s="13" t="e">
        <f t="shared" ref="I54" si="644">I53/I50</f>
        <v>#DIV/0!</v>
      </c>
      <c r="J54" s="13">
        <f t="shared" ref="J54" si="645">J53/J50</f>
        <v>0.18239480198019803</v>
      </c>
      <c r="K54" s="13">
        <f t="shared" ref="K54" si="646">K53/K50</f>
        <v>-0.28648357565966615</v>
      </c>
      <c r="L54" s="13">
        <f t="shared" ref="L54" si="647">L53/L50</f>
        <v>-4.4079419146647543E-2</v>
      </c>
      <c r="M54" s="13">
        <f t="shared" ref="M54" si="648">M53/M50</f>
        <v>6.2601556486786961E-2</v>
      </c>
      <c r="N54" s="13">
        <f t="shared" ref="N54" si="649">N53/N50</f>
        <v>-0.56716417910447758</v>
      </c>
      <c r="O54" s="13">
        <f t="shared" ref="O54" si="650">O53/O50</f>
        <v>-1.6588842467436717E-2</v>
      </c>
      <c r="P54" s="13">
        <f t="shared" ref="P54" si="651">P53/P50</f>
        <v>3.2416124231176145E-2</v>
      </c>
      <c r="Q54" s="13" t="e">
        <f t="shared" ref="Q54" si="652">Q53/Q50</f>
        <v>#DIV/0!</v>
      </c>
      <c r="R54" s="13">
        <f t="shared" ref="R54" si="653">R53/R50</f>
        <v>0.20935703084161003</v>
      </c>
      <c r="S54" s="13" t="e">
        <f t="shared" ref="S54" si="654">S53/S50</f>
        <v>#DIV/0!</v>
      </c>
      <c r="T54" s="13" t="e">
        <f t="shared" ref="T54:U54" si="655">T53/T50</f>
        <v>#DIV/0!</v>
      </c>
      <c r="U54" s="13" t="e">
        <f t="shared" si="655"/>
        <v>#DIV/0!</v>
      </c>
      <c r="V54" s="160">
        <f t="shared" ref="V54" si="656">V53/V50</f>
        <v>-0.14688615172096237</v>
      </c>
      <c r="W54" s="13" t="e">
        <f t="shared" ref="W54" si="657">W53/W50</f>
        <v>#DIV/0!</v>
      </c>
      <c r="X54" s="13" t="e">
        <f t="shared" ref="X54" si="658">X53/X50</f>
        <v>#DIV/0!</v>
      </c>
      <c r="Y54" s="13">
        <f t="shared" ref="Y54" si="659">Y53/Y50</f>
        <v>-0.49739094134836154</v>
      </c>
      <c r="Z54" s="13">
        <f t="shared" ref="Z54" si="660">Z53/Z50</f>
        <v>-0.74127067471777375</v>
      </c>
      <c r="AA54" s="13">
        <f t="shared" ref="AA54:AD54" si="661">AA53/AA50</f>
        <v>-0.44826563889712423</v>
      </c>
      <c r="AB54" s="13">
        <f t="shared" ref="AB54" si="662">AB53/AB50</f>
        <v>-1</v>
      </c>
      <c r="AC54" s="160" t="e">
        <f t="shared" si="661"/>
        <v>#DIV/0!</v>
      </c>
      <c r="AD54" s="217">
        <f t="shared" si="661"/>
        <v>1.2437718081769919E-2</v>
      </c>
      <c r="AE54" s="13">
        <f t="shared" ref="AE54" si="663">AE53/AE50</f>
        <v>0.31856968711905731</v>
      </c>
      <c r="AF54" s="13">
        <f t="shared" ref="AF54" si="664">AF53/AF50</f>
        <v>0.16268390169232078</v>
      </c>
      <c r="AG54" s="13">
        <f t="shared" ref="AG54" si="665">AG53/AG50</f>
        <v>1.4935295160432547</v>
      </c>
      <c r="AH54" s="13" t="e">
        <f t="shared" ref="AH54" si="666">AH53/AH50</f>
        <v>#DIV/0!</v>
      </c>
      <c r="AI54" s="13" t="e">
        <f t="shared" ref="AI54" si="667">AI53/AI50</f>
        <v>#DIV/0!</v>
      </c>
      <c r="AJ54" s="13">
        <f t="shared" ref="AJ54" si="668">AJ53/AJ50</f>
        <v>0.47619047619047616</v>
      </c>
      <c r="AK54" s="13">
        <f t="shared" ref="AK54" si="669">AK53/AK50</f>
        <v>1.2055704331590016E-2</v>
      </c>
      <c r="AL54" s="13">
        <f t="shared" ref="AL54" si="670">AL53/AL50</f>
        <v>0.25299890144728793</v>
      </c>
      <c r="AM54" s="13" t="e">
        <f t="shared" ref="AM54" si="671">AM53/AM50</f>
        <v>#DIV/0!</v>
      </c>
      <c r="AN54" s="13">
        <f t="shared" ref="AN54" si="672">AN53/AN50</f>
        <v>0.47940711942655811</v>
      </c>
      <c r="AO54" s="160">
        <f t="shared" ref="AO54" si="673">AO53/AO50</f>
        <v>7.5299767912175394E-2</v>
      </c>
      <c r="AP54" s="13">
        <f t="shared" ref="AP54" si="674">AP53/AP50</f>
        <v>0.94006596386151631</v>
      </c>
      <c r="AQ54" s="160">
        <f t="shared" ref="AQ54" si="675">AQ53/AQ50</f>
        <v>1.1176470588235294</v>
      </c>
      <c r="AR54" s="13" t="e">
        <f t="shared" ref="AR54" si="676">AR53/AR50</f>
        <v>#DIV/0!</v>
      </c>
      <c r="AS54" s="13" t="e">
        <f t="shared" ref="AS54" si="677">AS53/AS50</f>
        <v>#DIV/0!</v>
      </c>
      <c r="AT54" s="13" t="e">
        <f t="shared" ref="AT54" si="678">AT53/AT50</f>
        <v>#DIV/0!</v>
      </c>
      <c r="AU54" s="13" t="e">
        <f t="shared" ref="AU54" si="679">AU53/AU50</f>
        <v>#DIV/0!</v>
      </c>
      <c r="AV54" s="13" t="e">
        <f t="shared" ref="AV54" si="680">AV53/AV50</f>
        <v>#DIV/0!</v>
      </c>
      <c r="AW54" s="13">
        <f t="shared" ref="AW54" si="681">AW53/AW50</f>
        <v>-0.90944123314065506</v>
      </c>
      <c r="AX54" s="13">
        <f t="shared" ref="AX54" si="682">AX53/AX50</f>
        <v>-0.7857142857142857</v>
      </c>
      <c r="AY54" s="13" t="e">
        <f t="shared" ref="AY54" si="683">AY53/AY50</f>
        <v>#DIV/0!</v>
      </c>
      <c r="AZ54" s="13" t="e">
        <f t="shared" ref="AZ54" si="684">AZ53/AZ50</f>
        <v>#DIV/0!</v>
      </c>
      <c r="BA54" s="13" t="e">
        <f t="shared" ref="BA54" si="685">BA53/BA50</f>
        <v>#DIV/0!</v>
      </c>
      <c r="BB54" s="160" t="e">
        <f t="shared" ref="BB54" si="686">BB53/BB50</f>
        <v>#DIV/0!</v>
      </c>
      <c r="BC54" s="13">
        <f t="shared" ref="BC54" si="687">BC53/BC50</f>
        <v>0.14294768197230409</v>
      </c>
      <c r="BD54" s="13">
        <f t="shared" ref="BD54" si="688">BD53/BD50</f>
        <v>0.16687156260109998</v>
      </c>
      <c r="BE54" s="13" t="e">
        <f t="shared" ref="BE54" si="689">BE53/BE50</f>
        <v>#DIV/0!</v>
      </c>
      <c r="BF54" s="13">
        <f t="shared" ref="BF54" si="690">BF53/BF50</f>
        <v>-0.19283617861821728</v>
      </c>
      <c r="BG54" s="13">
        <f t="shared" ref="BG54:BH54" si="691">BG53/BG50</f>
        <v>-0.36307138800203925</v>
      </c>
      <c r="BH54" s="160">
        <f t="shared" si="691"/>
        <v>-2.0670057134842903E-2</v>
      </c>
      <c r="BI54" s="160">
        <f t="shared" ref="BI54" si="692">BI53/BI50</f>
        <v>-2.4677511409439861E-4</v>
      </c>
      <c r="BJ54" s="13">
        <f t="shared" ref="BJ54:BK54" si="693">BJ53/BJ50</f>
        <v>-0.37979133825603584</v>
      </c>
      <c r="BK54" s="50">
        <f t="shared" si="693"/>
        <v>5.0278734581464309E-3</v>
      </c>
      <c r="BM54" s="160" t="e">
        <f t="shared" ref="BM54" si="694">BM53/BM50</f>
        <v>#DIV/0!</v>
      </c>
    </row>
    <row r="55" spans="1:65">
      <c r="A55" s="128"/>
      <c r="B55" s="5" t="s">
        <v>132</v>
      </c>
      <c r="C55" s="11">
        <f>C52-C51</f>
        <v>48623</v>
      </c>
      <c r="D55" s="11">
        <f t="shared" ref="D55:BK55" si="695">D52-D51</f>
        <v>220210</v>
      </c>
      <c r="E55" s="11">
        <f t="shared" si="695"/>
        <v>2960</v>
      </c>
      <c r="F55" s="11">
        <f t="shared" si="695"/>
        <v>7263</v>
      </c>
      <c r="G55" s="11">
        <f t="shared" si="695"/>
        <v>17066</v>
      </c>
      <c r="H55" s="11">
        <f t="shared" si="695"/>
        <v>0</v>
      </c>
      <c r="I55" s="11">
        <f t="shared" si="695"/>
        <v>0</v>
      </c>
      <c r="J55" s="11">
        <f t="shared" si="695"/>
        <v>1608</v>
      </c>
      <c r="K55" s="11">
        <f t="shared" si="695"/>
        <v>-660</v>
      </c>
      <c r="L55" s="11">
        <f t="shared" si="695"/>
        <v>10733</v>
      </c>
      <c r="M55" s="11">
        <f t="shared" si="695"/>
        <v>3131</v>
      </c>
      <c r="N55" s="11">
        <f t="shared" si="695"/>
        <v>-105</v>
      </c>
      <c r="O55" s="11">
        <f t="shared" si="695"/>
        <v>2376</v>
      </c>
      <c r="P55" s="11">
        <f t="shared" si="695"/>
        <v>13436</v>
      </c>
      <c r="Q55" s="11">
        <f t="shared" si="695"/>
        <v>0</v>
      </c>
      <c r="R55" s="11">
        <f t="shared" si="695"/>
        <v>2307</v>
      </c>
      <c r="S55" s="11">
        <f t="shared" si="695"/>
        <v>0</v>
      </c>
      <c r="T55" s="11">
        <f t="shared" si="695"/>
        <v>0</v>
      </c>
      <c r="U55" s="11">
        <f t="shared" ref="U55" si="696">U52-U51</f>
        <v>0</v>
      </c>
      <c r="V55" s="9">
        <f t="shared" si="695"/>
        <v>2582</v>
      </c>
      <c r="W55" s="11">
        <f t="shared" si="695"/>
        <v>0</v>
      </c>
      <c r="X55" s="11">
        <f t="shared" si="695"/>
        <v>0</v>
      </c>
      <c r="Y55" s="11">
        <f t="shared" si="695"/>
        <v>-942</v>
      </c>
      <c r="Z55" s="11">
        <f t="shared" si="695"/>
        <v>-2031</v>
      </c>
      <c r="AA55" s="11">
        <f t="shared" si="695"/>
        <v>213</v>
      </c>
      <c r="AB55" s="11">
        <f t="shared" ref="AB55" si="697">AB52-AB51</f>
        <v>0</v>
      </c>
      <c r="AC55" s="9">
        <f t="shared" ref="AC55:AD55" si="698">AC52-AC51</f>
        <v>0</v>
      </c>
      <c r="AD55" s="216">
        <f t="shared" si="698"/>
        <v>328770</v>
      </c>
      <c r="AE55" s="11">
        <f t="shared" si="695"/>
        <v>1712</v>
      </c>
      <c r="AF55" s="11">
        <f t="shared" si="695"/>
        <v>6077</v>
      </c>
      <c r="AG55" s="11">
        <f t="shared" si="695"/>
        <v>8538</v>
      </c>
      <c r="AH55" s="11">
        <f t="shared" si="695"/>
        <v>128</v>
      </c>
      <c r="AI55" s="11">
        <f t="shared" si="695"/>
        <v>0</v>
      </c>
      <c r="AJ55" s="11">
        <f t="shared" si="695"/>
        <v>-164</v>
      </c>
      <c r="AK55" s="11">
        <f t="shared" si="695"/>
        <v>38731</v>
      </c>
      <c r="AL55" s="11">
        <f t="shared" si="695"/>
        <v>-40204</v>
      </c>
      <c r="AM55" s="11">
        <f t="shared" si="695"/>
        <v>0</v>
      </c>
      <c r="AN55" s="11">
        <f t="shared" si="695"/>
        <v>9971</v>
      </c>
      <c r="AO55" s="9">
        <f t="shared" si="695"/>
        <v>89437</v>
      </c>
      <c r="AP55" s="11">
        <f t="shared" si="695"/>
        <v>13957</v>
      </c>
      <c r="AQ55" s="9">
        <f t="shared" si="695"/>
        <v>91</v>
      </c>
      <c r="AR55" s="11">
        <f t="shared" si="695"/>
        <v>0</v>
      </c>
      <c r="AS55" s="11">
        <f t="shared" si="695"/>
        <v>0</v>
      </c>
      <c r="AT55" s="11">
        <f t="shared" si="695"/>
        <v>0</v>
      </c>
      <c r="AU55" s="11">
        <f t="shared" si="695"/>
        <v>0</v>
      </c>
      <c r="AV55" s="11">
        <f t="shared" si="695"/>
        <v>0</v>
      </c>
      <c r="AW55" s="11">
        <f t="shared" si="695"/>
        <v>-90</v>
      </c>
      <c r="AX55" s="11">
        <f t="shared" si="695"/>
        <v>270</v>
      </c>
      <c r="AY55" s="11">
        <f t="shared" si="695"/>
        <v>-100</v>
      </c>
      <c r="AZ55" s="11">
        <f t="shared" si="695"/>
        <v>0</v>
      </c>
      <c r="BA55" s="11">
        <f t="shared" si="695"/>
        <v>0</v>
      </c>
      <c r="BB55" s="9">
        <f t="shared" si="695"/>
        <v>0</v>
      </c>
      <c r="BC55" s="11">
        <f t="shared" si="695"/>
        <v>8828</v>
      </c>
      <c r="BD55" s="11">
        <f t="shared" si="695"/>
        <v>9553</v>
      </c>
      <c r="BE55" s="11">
        <f t="shared" si="695"/>
        <v>0</v>
      </c>
      <c r="BF55" s="11">
        <f t="shared" si="695"/>
        <v>-9996</v>
      </c>
      <c r="BG55" s="11">
        <f t="shared" si="695"/>
        <v>-264664</v>
      </c>
      <c r="BH55" s="9">
        <f t="shared" si="695"/>
        <v>-127925</v>
      </c>
      <c r="BI55" s="9">
        <f t="shared" si="695"/>
        <v>200845</v>
      </c>
      <c r="BJ55" s="11">
        <f t="shared" si="695"/>
        <v>-6810</v>
      </c>
      <c r="BK55" s="49">
        <f t="shared" si="695"/>
        <v>207655</v>
      </c>
      <c r="BM55" s="30">
        <f t="shared" si="583"/>
        <v>-121115</v>
      </c>
    </row>
    <row r="56" spans="1:65">
      <c r="A56" s="128"/>
      <c r="B56" s="5" t="s">
        <v>133</v>
      </c>
      <c r="C56" s="13">
        <f>C55/C51</f>
        <v>2.0657331646974305E-2</v>
      </c>
      <c r="D56" s="13">
        <f>D55/D51</f>
        <v>0.25031799854726672</v>
      </c>
      <c r="E56" s="13">
        <f t="shared" ref="E56" si="699">E55/E51</f>
        <v>2.5346588914292565E-2</v>
      </c>
      <c r="F56" s="13">
        <f t="shared" ref="F56" si="700">F55/F51</f>
        <v>3.3335322223089173E-2</v>
      </c>
      <c r="G56" s="13">
        <f t="shared" ref="G56" si="701">G55/G51</f>
        <v>0.10553851481719685</v>
      </c>
      <c r="H56" s="13" t="e">
        <f t="shared" ref="H56" si="702">H55/H51</f>
        <v>#DIV/0!</v>
      </c>
      <c r="I56" s="13" t="e">
        <f t="shared" ref="I56" si="703">I55/I51</f>
        <v>#DIV/0!</v>
      </c>
      <c r="J56" s="13">
        <f t="shared" ref="J56" si="704">J55/J51</f>
        <v>0.26644573322286663</v>
      </c>
      <c r="K56" s="13">
        <f t="shared" ref="K56" si="705">K55/K51</f>
        <v>-0.33249370277078083</v>
      </c>
      <c r="L56" s="13">
        <f t="shared" ref="L56" si="706">L55/L51</f>
        <v>0.33620473624859037</v>
      </c>
      <c r="M56" s="13">
        <f t="shared" ref="M56" si="707">M55/M51</f>
        <v>6.7233567394618735E-2</v>
      </c>
      <c r="N56" s="13">
        <f t="shared" ref="N56" si="708">N55/N51</f>
        <v>-0.37634408602150538</v>
      </c>
      <c r="O56" s="13">
        <f t="shared" ref="O56" si="709">O55/O51</f>
        <v>0.42224986671405723</v>
      </c>
      <c r="P56" s="13">
        <f t="shared" ref="P56" si="710">P55/P51</f>
        <v>6.1956165874307745E-2</v>
      </c>
      <c r="Q56" s="13" t="e">
        <f t="shared" ref="Q56" si="711">Q55/Q51</f>
        <v>#DIV/0!</v>
      </c>
      <c r="R56" s="13">
        <f t="shared" ref="R56" si="712">R55/R51</f>
        <v>0.33208579242838637</v>
      </c>
      <c r="S56" s="13" t="e">
        <f t="shared" ref="S56" si="713">S55/S51</f>
        <v>#DIV/0!</v>
      </c>
      <c r="T56" s="13" t="e">
        <f t="shared" ref="T56:U56" si="714">T55/T51</f>
        <v>#DIV/0!</v>
      </c>
      <c r="U56" s="13" t="e">
        <f t="shared" si="714"/>
        <v>#DIV/0!</v>
      </c>
      <c r="V56" s="160">
        <f t="shared" ref="V56" si="715">V55/V51</f>
        <v>0.53468627044936845</v>
      </c>
      <c r="W56" s="13" t="e">
        <f t="shared" ref="W56" si="716">W55/W51</f>
        <v>#DIV/0!</v>
      </c>
      <c r="X56" s="13" t="e">
        <f t="shared" ref="X56" si="717">X55/X51</f>
        <v>#DIV/0!</v>
      </c>
      <c r="Y56" s="13">
        <f t="shared" ref="Y56" si="718">Y55/Y51</f>
        <v>-0.115356355620867</v>
      </c>
      <c r="Z56" s="13">
        <f t="shared" ref="Z56" si="719">Z55/Z51</f>
        <v>-0.507496251874063</v>
      </c>
      <c r="AA56" s="13">
        <f t="shared" ref="AA56:AD56" si="720">AA55/AA51</f>
        <v>0.12924757281553398</v>
      </c>
      <c r="AB56" s="13" t="e">
        <f t="shared" ref="AB56" si="721">AB55/AB51</f>
        <v>#DIV/0!</v>
      </c>
      <c r="AC56" s="160" t="e">
        <f t="shared" si="720"/>
        <v>#DIV/0!</v>
      </c>
      <c r="AD56" s="217">
        <f t="shared" si="720"/>
        <v>8.08832827438664E-2</v>
      </c>
      <c r="AE56" s="13">
        <f t="shared" ref="AE56" si="722">AE55/AE51</f>
        <v>0.35830891586437841</v>
      </c>
      <c r="AF56" s="13">
        <f t="shared" ref="AF56" si="723">AF55/AF51</f>
        <v>0.80013166556945359</v>
      </c>
      <c r="AG56" s="13">
        <f t="shared" ref="AG56" si="724">AG55/AG51</f>
        <v>1.5445007235890014</v>
      </c>
      <c r="AH56" s="13" t="e">
        <f t="shared" ref="AH56" si="725">AH55/AH51</f>
        <v>#DIV/0!</v>
      </c>
      <c r="AI56" s="13" t="e">
        <f t="shared" ref="AI56" si="726">AI55/AI51</f>
        <v>#DIV/0!</v>
      </c>
      <c r="AJ56" s="13">
        <f t="shared" ref="AJ56" si="727">AJ55/AJ51</f>
        <v>-0.84102564102564104</v>
      </c>
      <c r="AK56" s="13">
        <f t="shared" ref="AK56" si="728">AK55/AK51</f>
        <v>0.14106365000509899</v>
      </c>
      <c r="AL56" s="13">
        <f t="shared" ref="AL56" si="729">AL55/AL51</f>
        <v>-0.10577216521967903</v>
      </c>
      <c r="AM56" s="13" t="e">
        <f t="shared" ref="AM56" si="730">AM55/AM51</f>
        <v>#DIV/0!</v>
      </c>
      <c r="AN56" s="13">
        <f t="shared" ref="AN56" si="731">AN55/AN51</f>
        <v>0.69324897448376555</v>
      </c>
      <c r="AO56" s="160">
        <f t="shared" ref="AO56" si="732">AO55/AO51</f>
        <v>0.13857994180190958</v>
      </c>
      <c r="AP56" s="13">
        <f t="shared" ref="AP56" si="733">AP55/AP51</f>
        <v>3.7766226597359585E-2</v>
      </c>
      <c r="AQ56" s="160">
        <f t="shared" ref="AQ56" si="734">AQ55/AQ51</f>
        <v>1.7169811320754718</v>
      </c>
      <c r="AR56" s="13" t="e">
        <f t="shared" ref="AR56" si="735">AR55/AR51</f>
        <v>#DIV/0!</v>
      </c>
      <c r="AS56" s="13" t="e">
        <f t="shared" ref="AS56" si="736">AS55/AS51</f>
        <v>#DIV/0!</v>
      </c>
      <c r="AT56" s="13" t="e">
        <f t="shared" ref="AT56" si="737">AT55/AT51</f>
        <v>#DIV/0!</v>
      </c>
      <c r="AU56" s="13" t="e">
        <f t="shared" ref="AU56" si="738">AU55/AU51</f>
        <v>#DIV/0!</v>
      </c>
      <c r="AV56" s="13" t="e">
        <f t="shared" ref="AV56" si="739">AV55/AV51</f>
        <v>#DIV/0!</v>
      </c>
      <c r="AW56" s="13">
        <f t="shared" ref="AW56" si="740">AW55/AW51</f>
        <v>-0.65693430656934304</v>
      </c>
      <c r="AX56" s="13" t="e">
        <f t="shared" ref="AX56" si="741">AX55/AX51</f>
        <v>#DIV/0!</v>
      </c>
      <c r="AY56" s="13">
        <f t="shared" ref="AY56" si="742">AY55/AY51</f>
        <v>-1</v>
      </c>
      <c r="AZ56" s="13" t="e">
        <f t="shared" ref="AZ56" si="743">AZ55/AZ51</f>
        <v>#DIV/0!</v>
      </c>
      <c r="BA56" s="13" t="e">
        <f t="shared" ref="BA56" si="744">BA55/BA51</f>
        <v>#DIV/0!</v>
      </c>
      <c r="BB56" s="160" t="e">
        <f t="shared" ref="BB56" si="745">BB55/BB51</f>
        <v>#DIV/0!</v>
      </c>
      <c r="BC56" s="13">
        <f t="shared" ref="BC56" si="746">BC55/BC51</f>
        <v>0.32408223201174741</v>
      </c>
      <c r="BD56" s="13">
        <f t="shared" ref="BD56" si="747">BD55/BD51</f>
        <v>0.36028663020931551</v>
      </c>
      <c r="BE56" s="13" t="e">
        <f t="shared" ref="BE56" si="748">BE55/BE51</f>
        <v>#DIV/0!</v>
      </c>
      <c r="BF56" s="13">
        <f t="shared" ref="BF56" si="749">BF55/BF51</f>
        <v>-0.11171835708298407</v>
      </c>
      <c r="BG56" s="13">
        <f t="shared" ref="BG56:BH56" si="750">BG55/BG51</f>
        <v>-0.2871133964699884</v>
      </c>
      <c r="BH56" s="160">
        <f t="shared" si="750"/>
        <v>-4.6225398548394206E-2</v>
      </c>
      <c r="BI56" s="160">
        <f t="shared" ref="BI56" si="751">BI55/BI51</f>
        <v>2.9396981688378676E-2</v>
      </c>
      <c r="BJ56" s="13">
        <f t="shared" ref="BJ56:BK56" si="752">BJ55/BJ51</f>
        <v>-0.10223229699908426</v>
      </c>
      <c r="BK56" s="50">
        <f t="shared" si="752"/>
        <v>3.0692991598171383E-2</v>
      </c>
      <c r="BM56" s="14">
        <f t="shared" ref="BM56" si="753">BM55/BM51</f>
        <v>-4.4844037240748591E-2</v>
      </c>
    </row>
    <row r="57" spans="1:65">
      <c r="A57" s="128"/>
      <c r="B57" s="5" t="s">
        <v>340</v>
      </c>
      <c r="C57" s="126">
        <f>C52/C49</f>
        <v>0.92300883085747876</v>
      </c>
      <c r="D57" s="126">
        <f>D52/D49</f>
        <v>0.91885269867259223</v>
      </c>
      <c r="E57" s="126">
        <f t="shared" ref="E57:BK57" si="754">E52/E49</f>
        <v>1.0199925038758368</v>
      </c>
      <c r="F57" s="126">
        <f t="shared" si="754"/>
        <v>0.91594792514239221</v>
      </c>
      <c r="G57" s="126">
        <f t="shared" si="754"/>
        <v>0.92498499492932096</v>
      </c>
      <c r="H57" s="126" t="e">
        <f t="shared" si="754"/>
        <v>#DIV/0!</v>
      </c>
      <c r="I57" s="126" t="e">
        <f t="shared" si="754"/>
        <v>#DIV/0!</v>
      </c>
      <c r="J57" s="126">
        <f t="shared" si="754"/>
        <v>1.0764788732394366</v>
      </c>
      <c r="K57" s="126">
        <f t="shared" si="754"/>
        <v>0.61399443929564412</v>
      </c>
      <c r="L57" s="126">
        <f t="shared" si="754"/>
        <v>0.81801445912516535</v>
      </c>
      <c r="M57" s="126">
        <f t="shared" si="754"/>
        <v>0.96983179174959999</v>
      </c>
      <c r="N57" s="126">
        <f t="shared" si="754"/>
        <v>0.40277777777777779</v>
      </c>
      <c r="O57" s="126">
        <f t="shared" si="754"/>
        <v>0.83018672199170129</v>
      </c>
      <c r="P57" s="126">
        <f t="shared" si="754"/>
        <v>0.92320119299117687</v>
      </c>
      <c r="Q57" s="126" t="e">
        <f t="shared" si="754"/>
        <v>#DIV/0!</v>
      </c>
      <c r="R57" s="126">
        <f t="shared" si="754"/>
        <v>1.107467687888942</v>
      </c>
      <c r="S57" s="126" t="e">
        <f t="shared" si="754"/>
        <v>#DIV/0!</v>
      </c>
      <c r="T57" s="126" t="e">
        <f t="shared" si="754"/>
        <v>#DIV/0!</v>
      </c>
      <c r="U57" s="126" t="e">
        <f t="shared" si="754"/>
        <v>#DIV/0!</v>
      </c>
      <c r="V57" s="175">
        <f t="shared" si="754"/>
        <v>0.76119556285949053</v>
      </c>
      <c r="W57" s="126" t="e">
        <f t="shared" si="754"/>
        <v>#DIV/0!</v>
      </c>
      <c r="X57" s="126" t="e">
        <f t="shared" si="754"/>
        <v>#DIV/0!</v>
      </c>
      <c r="Y57" s="126">
        <f t="shared" si="754"/>
        <v>0.48771266540642721</v>
      </c>
      <c r="Z57" s="126">
        <f t="shared" si="754"/>
        <v>0.25514563106796118</v>
      </c>
      <c r="AA57" s="126">
        <f t="shared" si="754"/>
        <v>0.43881160103749117</v>
      </c>
      <c r="AB57" s="126">
        <f t="shared" ref="AB57" si="755">AB52/AB49</f>
        <v>0</v>
      </c>
      <c r="AC57" s="175" t="e">
        <f t="shared" si="754"/>
        <v>#DIV/0!</v>
      </c>
      <c r="AD57" s="218">
        <f t="shared" si="754"/>
        <v>0.92032257990187027</v>
      </c>
      <c r="AE57" s="126">
        <f t="shared" si="754"/>
        <v>1.2103692651995523</v>
      </c>
      <c r="AF57" s="126">
        <f t="shared" si="754"/>
        <v>1.1626839016923207</v>
      </c>
      <c r="AG57" s="126">
        <f t="shared" si="754"/>
        <v>2.0912875408861136</v>
      </c>
      <c r="AH57" s="126" t="e">
        <f t="shared" si="754"/>
        <v>#DIV/0!</v>
      </c>
      <c r="AI57" s="126" t="e">
        <f t="shared" si="754"/>
        <v>#DIV/0!</v>
      </c>
      <c r="AJ57" s="126">
        <f t="shared" si="754"/>
        <v>1.1071428571428572</v>
      </c>
      <c r="AK57" s="126">
        <f t="shared" si="754"/>
        <v>0.88734277241687931</v>
      </c>
      <c r="AL57" s="126">
        <f t="shared" si="754"/>
        <v>1.1696352374397798</v>
      </c>
      <c r="AM57" s="126" t="e">
        <f t="shared" si="754"/>
        <v>#DIV/0!</v>
      </c>
      <c r="AN57" s="126">
        <f t="shared" si="754"/>
        <v>1.3175006762239654</v>
      </c>
      <c r="AO57" s="175">
        <f t="shared" si="754"/>
        <v>0.9689145747461082</v>
      </c>
      <c r="AP57" s="126">
        <f t="shared" si="754"/>
        <v>1.7736669287332933</v>
      </c>
      <c r="AQ57" s="175">
        <f t="shared" si="754"/>
        <v>2.1176470588235294</v>
      </c>
      <c r="AR57" s="126" t="e">
        <f t="shared" si="754"/>
        <v>#DIV/0!</v>
      </c>
      <c r="AS57" s="126" t="e">
        <f t="shared" si="754"/>
        <v>#DIV/0!</v>
      </c>
      <c r="AT57" s="126" t="e">
        <f t="shared" si="754"/>
        <v>#DIV/0!</v>
      </c>
      <c r="AU57" s="126" t="e">
        <f t="shared" si="754"/>
        <v>#DIV/0!</v>
      </c>
      <c r="AV57" s="126" t="e">
        <f t="shared" si="754"/>
        <v>#DIV/0!</v>
      </c>
      <c r="AW57" s="126">
        <f t="shared" si="754"/>
        <v>6.7919075144508664E-2</v>
      </c>
      <c r="AX57" s="126">
        <f t="shared" si="754"/>
        <v>0.18802228412256267</v>
      </c>
      <c r="AY57" s="126" t="e">
        <f t="shared" si="754"/>
        <v>#DIV/0!</v>
      </c>
      <c r="AZ57" s="126" t="e">
        <f t="shared" si="754"/>
        <v>#DIV/0!</v>
      </c>
      <c r="BA57" s="126" t="e">
        <f t="shared" si="754"/>
        <v>#DIV/0!</v>
      </c>
      <c r="BB57" s="175" t="e">
        <f t="shared" si="754"/>
        <v>#DIV/0!</v>
      </c>
      <c r="BC57" s="126">
        <f t="shared" si="754"/>
        <v>1.0442083321270375</v>
      </c>
      <c r="BD57" s="126">
        <f t="shared" si="754"/>
        <v>1.070870817374781</v>
      </c>
      <c r="BE57" s="126" t="e">
        <f t="shared" si="754"/>
        <v>#DIV/0!</v>
      </c>
      <c r="BF57" s="126">
        <f t="shared" si="754"/>
        <v>0.68796904619699295</v>
      </c>
      <c r="BG57" s="126">
        <f t="shared" si="754"/>
        <v>0.51062160001181089</v>
      </c>
      <c r="BH57" s="175">
        <f t="shared" si="754"/>
        <v>0.84233233010579367</v>
      </c>
      <c r="BI57" s="175">
        <f t="shared" si="754"/>
        <v>0.88941667594063312</v>
      </c>
      <c r="BJ57" s="126">
        <f t="shared" si="754"/>
        <v>0.55661764705882355</v>
      </c>
      <c r="BK57" s="126">
        <f t="shared" si="754"/>
        <v>0.89400076923076921</v>
      </c>
      <c r="BM57" s="126" t="e">
        <f t="shared" ref="BM57" si="756">BM52/BM49</f>
        <v>#DIV/0!</v>
      </c>
    </row>
    <row r="58" spans="1:65" s="178" customFormat="1">
      <c r="A58" s="128"/>
      <c r="B58" s="5" t="s">
        <v>341</v>
      </c>
      <c r="C58" s="11">
        <f>C49-C52</f>
        <v>200393</v>
      </c>
      <c r="D58" s="11">
        <f t="shared" ref="D58:BK58" si="757">D49-D52</f>
        <v>97139</v>
      </c>
      <c r="E58" s="11">
        <f t="shared" si="757"/>
        <v>-2347</v>
      </c>
      <c r="F58" s="11">
        <f t="shared" si="757"/>
        <v>20660</v>
      </c>
      <c r="G58" s="11">
        <f t="shared" si="757"/>
        <v>14498</v>
      </c>
      <c r="H58" s="11">
        <f t="shared" si="757"/>
        <v>0</v>
      </c>
      <c r="I58" s="11">
        <f t="shared" si="757"/>
        <v>0</v>
      </c>
      <c r="J58" s="11">
        <f t="shared" si="757"/>
        <v>-543</v>
      </c>
      <c r="K58" s="11">
        <f t="shared" si="757"/>
        <v>833</v>
      </c>
      <c r="L58" s="11">
        <f t="shared" si="757"/>
        <v>9490</v>
      </c>
      <c r="M58" s="11">
        <f t="shared" si="757"/>
        <v>1546</v>
      </c>
      <c r="N58" s="11">
        <f t="shared" si="757"/>
        <v>258</v>
      </c>
      <c r="O58" s="11">
        <f t="shared" si="757"/>
        <v>1637</v>
      </c>
      <c r="P58" s="11">
        <f t="shared" si="757"/>
        <v>19158</v>
      </c>
      <c r="Q58" s="11">
        <f t="shared" si="757"/>
        <v>0</v>
      </c>
      <c r="R58" s="11">
        <f t="shared" si="757"/>
        <v>-898</v>
      </c>
      <c r="S58" s="11">
        <f t="shared" si="757"/>
        <v>0</v>
      </c>
      <c r="T58" s="11">
        <f t="shared" si="757"/>
        <v>0</v>
      </c>
      <c r="U58" s="11">
        <f t="shared" si="757"/>
        <v>0</v>
      </c>
      <c r="V58" s="11">
        <f t="shared" si="757"/>
        <v>2325</v>
      </c>
      <c r="W58" s="11">
        <f t="shared" si="757"/>
        <v>0</v>
      </c>
      <c r="X58" s="11">
        <f t="shared" si="757"/>
        <v>0</v>
      </c>
      <c r="Y58" s="11">
        <f t="shared" si="757"/>
        <v>7588</v>
      </c>
      <c r="Z58" s="11">
        <f t="shared" si="757"/>
        <v>5754</v>
      </c>
      <c r="AA58" s="11">
        <f t="shared" si="757"/>
        <v>2380</v>
      </c>
      <c r="AB58" s="11">
        <f t="shared" si="757"/>
        <v>500</v>
      </c>
      <c r="AC58" s="11">
        <f t="shared" si="757"/>
        <v>0</v>
      </c>
      <c r="AD58" s="11">
        <f t="shared" si="757"/>
        <v>380371</v>
      </c>
      <c r="AE58" s="11">
        <f t="shared" si="757"/>
        <v>-1128</v>
      </c>
      <c r="AF58" s="11">
        <f t="shared" si="757"/>
        <v>-1913</v>
      </c>
      <c r="AG58" s="11">
        <f t="shared" si="757"/>
        <v>-7340</v>
      </c>
      <c r="AH58" s="11">
        <f t="shared" si="757"/>
        <v>-128</v>
      </c>
      <c r="AI58" s="11">
        <f t="shared" si="757"/>
        <v>0</v>
      </c>
      <c r="AJ58" s="11">
        <f t="shared" si="757"/>
        <v>-3</v>
      </c>
      <c r="AK58" s="11">
        <f t="shared" si="757"/>
        <v>39776</v>
      </c>
      <c r="AL58" s="11">
        <f t="shared" si="757"/>
        <v>-49296</v>
      </c>
      <c r="AM58" s="11">
        <f t="shared" si="757"/>
        <v>0</v>
      </c>
      <c r="AN58" s="11">
        <f t="shared" si="757"/>
        <v>-5869</v>
      </c>
      <c r="AO58" s="11">
        <f t="shared" si="757"/>
        <v>23575</v>
      </c>
      <c r="AP58" s="11">
        <f t="shared" si="757"/>
        <v>-167290</v>
      </c>
      <c r="AQ58" s="11">
        <f t="shared" si="757"/>
        <v>-76</v>
      </c>
      <c r="AR58" s="11">
        <f t="shared" si="757"/>
        <v>0</v>
      </c>
      <c r="AS58" s="11">
        <f t="shared" si="757"/>
        <v>0</v>
      </c>
      <c r="AT58" s="11">
        <f t="shared" si="757"/>
        <v>0</v>
      </c>
      <c r="AU58" s="11">
        <f t="shared" si="757"/>
        <v>0</v>
      </c>
      <c r="AV58" s="11">
        <f t="shared" si="757"/>
        <v>0</v>
      </c>
      <c r="AW58" s="11">
        <f t="shared" si="757"/>
        <v>645</v>
      </c>
      <c r="AX58" s="11">
        <f t="shared" si="757"/>
        <v>1166</v>
      </c>
      <c r="AY58" s="11">
        <f t="shared" si="757"/>
        <v>0</v>
      </c>
      <c r="AZ58" s="11">
        <f t="shared" si="757"/>
        <v>0</v>
      </c>
      <c r="BA58" s="11">
        <f t="shared" si="757"/>
        <v>0</v>
      </c>
      <c r="BB58" s="11">
        <f t="shared" si="757"/>
        <v>0</v>
      </c>
      <c r="BC58" s="11">
        <f t="shared" si="757"/>
        <v>-1527</v>
      </c>
      <c r="BD58" s="11">
        <f t="shared" si="757"/>
        <v>-2387</v>
      </c>
      <c r="BE58" s="11">
        <f t="shared" si="757"/>
        <v>0</v>
      </c>
      <c r="BF58" s="11">
        <f t="shared" si="757"/>
        <v>36048</v>
      </c>
      <c r="BG58" s="11">
        <f t="shared" si="757"/>
        <v>629807</v>
      </c>
      <c r="BH58" s="11">
        <f t="shared" si="757"/>
        <v>494060</v>
      </c>
      <c r="BI58" s="11">
        <f t="shared" si="757"/>
        <v>874431</v>
      </c>
      <c r="BJ58" s="11">
        <f t="shared" si="757"/>
        <v>47637</v>
      </c>
      <c r="BK58" s="11">
        <f t="shared" si="757"/>
        <v>826794</v>
      </c>
      <c r="BL58" s="11">
        <f t="shared" ref="BL58:BM58" si="758">BL52-BL49</f>
        <v>6973206</v>
      </c>
      <c r="BM58" s="11">
        <f t="shared" si="758"/>
        <v>2579690</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9"/>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9"/>
      <c r="BJ59" s="5"/>
      <c r="BK59" s="48"/>
    </row>
    <row r="60" spans="1:65" s="266" customFormat="1">
      <c r="A60" s="15" t="s">
        <v>138</v>
      </c>
      <c r="B60" s="11" t="s">
        <v>336</v>
      </c>
      <c r="C60" s="267">
        <v>5237398</v>
      </c>
      <c r="D60" s="120">
        <v>3013545</v>
      </c>
      <c r="E60" s="120">
        <v>164708</v>
      </c>
      <c r="F60" s="120">
        <v>1008595</v>
      </c>
      <c r="G60" s="120">
        <v>362402</v>
      </c>
      <c r="H60" s="120"/>
      <c r="I60" s="120"/>
      <c r="J60" s="120">
        <v>2263413</v>
      </c>
      <c r="K60" s="120">
        <v>46321</v>
      </c>
      <c r="L60" s="120">
        <v>276103</v>
      </c>
      <c r="M60" s="120">
        <v>336530</v>
      </c>
      <c r="N60" s="120">
        <v>1422</v>
      </c>
      <c r="O60" s="120">
        <v>11125</v>
      </c>
      <c r="P60" s="120">
        <v>15683</v>
      </c>
      <c r="Q60" s="120"/>
      <c r="R60" s="120">
        <v>21678</v>
      </c>
      <c r="S60" s="120"/>
      <c r="T60" s="120"/>
      <c r="U60" s="120"/>
      <c r="V60" s="268"/>
      <c r="W60" s="120"/>
      <c r="X60" s="120"/>
      <c r="Y60" s="120">
        <v>2931</v>
      </c>
      <c r="Z60" s="120">
        <v>1834</v>
      </c>
      <c r="AA60" s="120">
        <v>1116</v>
      </c>
      <c r="AB60" s="120">
        <v>1148</v>
      </c>
      <c r="AC60" s="268"/>
      <c r="AD60" s="121">
        <f t="shared" ref="AD60" si="759">SUM(C60:AC60)</f>
        <v>12765952</v>
      </c>
      <c r="AE60" s="120">
        <v>3591</v>
      </c>
      <c r="AF60" s="120">
        <v>1286</v>
      </c>
      <c r="AG60" s="120">
        <v>1750</v>
      </c>
      <c r="AH60" s="120"/>
      <c r="AI60" s="120"/>
      <c r="AJ60" s="120">
        <v>266</v>
      </c>
      <c r="AK60" s="120">
        <v>122161</v>
      </c>
      <c r="AL60" s="120">
        <v>39574</v>
      </c>
      <c r="AM60" s="120">
        <v>987025</v>
      </c>
      <c r="AN60" s="120">
        <v>211732</v>
      </c>
      <c r="AO60" s="268">
        <v>919444</v>
      </c>
      <c r="AP60" s="120">
        <v>10875</v>
      </c>
      <c r="AQ60" s="268"/>
      <c r="AR60" s="120"/>
      <c r="AS60" s="120"/>
      <c r="AT60" s="120"/>
      <c r="AU60" s="120"/>
      <c r="AV60" s="120"/>
      <c r="AW60" s="120">
        <v>1727</v>
      </c>
      <c r="AX60" s="120">
        <v>811</v>
      </c>
      <c r="AY60" s="120"/>
      <c r="AZ60" s="120"/>
      <c r="BA60" s="120"/>
      <c r="BB60" s="268"/>
      <c r="BC60" s="120">
        <v>30912</v>
      </c>
      <c r="BD60" s="120">
        <v>30912</v>
      </c>
      <c r="BE60" s="120"/>
      <c r="BF60" s="120">
        <v>62164</v>
      </c>
      <c r="BG60" s="120">
        <v>240</v>
      </c>
      <c r="BH60" s="120">
        <f t="shared" ref="BH60" si="760">SUM(AE60:BG60)</f>
        <v>2424470</v>
      </c>
      <c r="BI60" s="125">
        <f t="shared" ref="BI60" si="761">AD60+BH60</f>
        <v>15190422</v>
      </c>
      <c r="BJ60" s="269">
        <v>47422</v>
      </c>
      <c r="BK60" s="124">
        <f t="shared" ref="BK60" si="762">BI60-BJ60</f>
        <v>15143000</v>
      </c>
    </row>
    <row r="61" spans="1:65" s="41" customFormat="1">
      <c r="A61" s="134" t="s">
        <v>138</v>
      </c>
      <c r="B61" s="210" t="s">
        <v>429</v>
      </c>
      <c r="C61" s="267">
        <v>4800517</v>
      </c>
      <c r="D61" s="120">
        <v>2709892</v>
      </c>
      <c r="E61" s="120">
        <v>159658</v>
      </c>
      <c r="F61" s="120">
        <v>920123</v>
      </c>
      <c r="G61" s="120">
        <v>332243</v>
      </c>
      <c r="H61" s="120"/>
      <c r="I61" s="120"/>
      <c r="J61" s="120">
        <v>2001531</v>
      </c>
      <c r="K61" s="120">
        <v>38306</v>
      </c>
      <c r="L61" s="120">
        <v>228905</v>
      </c>
      <c r="M61" s="120">
        <v>305242</v>
      </c>
      <c r="N61" s="120">
        <v>1218</v>
      </c>
      <c r="O61" s="120">
        <v>9535</v>
      </c>
      <c r="P61" s="120">
        <v>14413</v>
      </c>
      <c r="Q61" s="120"/>
      <c r="R61" s="120">
        <v>19038</v>
      </c>
      <c r="S61" s="120"/>
      <c r="T61" s="120"/>
      <c r="U61" s="120"/>
      <c r="V61" s="268"/>
      <c r="W61" s="120"/>
      <c r="X61" s="120"/>
      <c r="Y61" s="120">
        <v>2931</v>
      </c>
      <c r="Z61" s="120">
        <v>1834</v>
      </c>
      <c r="AA61" s="120">
        <v>986</v>
      </c>
      <c r="AB61" s="120">
        <v>1148</v>
      </c>
      <c r="AC61" s="268"/>
      <c r="AD61" s="121">
        <f t="shared" ref="AD61" si="763">SUM(C61:AC61)</f>
        <v>11547520</v>
      </c>
      <c r="AE61" s="120">
        <v>3208</v>
      </c>
      <c r="AF61" s="120">
        <v>1045</v>
      </c>
      <c r="AG61" s="120">
        <v>1750</v>
      </c>
      <c r="AH61" s="120"/>
      <c r="AI61" s="120"/>
      <c r="AJ61" s="120">
        <v>255</v>
      </c>
      <c r="AK61" s="120">
        <v>122161</v>
      </c>
      <c r="AL61" s="120">
        <v>35481</v>
      </c>
      <c r="AM61" s="120">
        <v>913725</v>
      </c>
      <c r="AN61" s="120">
        <v>175676</v>
      </c>
      <c r="AO61" s="268">
        <v>825840</v>
      </c>
      <c r="AP61" s="120">
        <v>10138</v>
      </c>
      <c r="AQ61" s="268"/>
      <c r="AR61" s="120"/>
      <c r="AS61" s="120"/>
      <c r="AT61" s="120"/>
      <c r="AU61" s="120"/>
      <c r="AV61" s="120"/>
      <c r="AW61" s="120">
        <v>1296</v>
      </c>
      <c r="AX61" s="120">
        <v>673</v>
      </c>
      <c r="AY61" s="120"/>
      <c r="AZ61" s="120"/>
      <c r="BA61" s="120"/>
      <c r="BB61" s="268"/>
      <c r="BC61" s="120">
        <v>27260</v>
      </c>
      <c r="BD61" s="120">
        <v>27258</v>
      </c>
      <c r="BE61" s="120"/>
      <c r="BF61" s="120">
        <v>54545</v>
      </c>
      <c r="BG61" s="120">
        <v>215</v>
      </c>
      <c r="BH61" s="10">
        <f>SUM(AE61:BG61)</f>
        <v>2200526</v>
      </c>
      <c r="BI61" s="249">
        <f>AD61+BH61</f>
        <v>13748046</v>
      </c>
      <c r="BJ61" s="269">
        <v>40882</v>
      </c>
      <c r="BK61" s="10">
        <f t="shared" ref="BK61" si="764">BI61-BJ61</f>
        <v>13707164</v>
      </c>
      <c r="BM61" s="211"/>
    </row>
    <row r="62" spans="1:65">
      <c r="A62" s="128"/>
      <c r="B62" s="12" t="s">
        <v>430</v>
      </c>
      <c r="C62" s="9">
        <f>IF('Upto Month COPPY'!$G$4="",0,'Upto Month COPPY'!$G$4)</f>
        <v>4708571</v>
      </c>
      <c r="D62" s="9">
        <f>IF('Upto Month COPPY'!$G$5="",0,'Upto Month COPPY'!$G$5)</f>
        <v>2190378</v>
      </c>
      <c r="E62" s="9">
        <f>IF('Upto Month COPPY'!$G$6="",0,'Upto Month COPPY'!$G$6)</f>
        <v>190921</v>
      </c>
      <c r="F62" s="9">
        <f>IF('Upto Month COPPY'!$G$7="",0,'Upto Month COPPY'!$G$7)</f>
        <v>889590</v>
      </c>
      <c r="G62" s="9">
        <f>IF('Upto Month COPPY'!$G$8="",0,'Upto Month COPPY'!$G$8)</f>
        <v>305612</v>
      </c>
      <c r="H62" s="9">
        <f>IF('Upto Month COPPY'!$G$9="",0,'Upto Month COPPY'!$G$9)</f>
        <v>0</v>
      </c>
      <c r="I62" s="9">
        <f>IF('Upto Month COPPY'!$G$10="",0,'Upto Month COPPY'!$G$10)</f>
        <v>0</v>
      </c>
      <c r="J62" s="9">
        <f>IF('Upto Month COPPY'!$G$11="",0,'Upto Month COPPY'!$G$11)</f>
        <v>1893545</v>
      </c>
      <c r="K62" s="9">
        <f>IF('Upto Month COPPY'!$G$12="",0,'Upto Month COPPY'!$G$12)</f>
        <v>15762</v>
      </c>
      <c r="L62" s="9">
        <f>IF('Upto Month COPPY'!$G$13="",0,'Upto Month COPPY'!$G$13)</f>
        <v>168366</v>
      </c>
      <c r="M62" s="9">
        <f>IF('Upto Month COPPY'!$G$14="",0,'Upto Month COPPY'!$G$14)</f>
        <v>299783</v>
      </c>
      <c r="N62" s="9">
        <f>IF('Upto Month COPPY'!$G$15="",0,'Upto Month COPPY'!$G$15)</f>
        <v>439</v>
      </c>
      <c r="O62" s="9">
        <f>IF('Upto Month COPPY'!$G$16="",0,'Upto Month COPPY'!$G$16)</f>
        <v>6504</v>
      </c>
      <c r="P62" s="9">
        <f>IF('Upto Month COPPY'!$G$17="",0,'Upto Month COPPY'!$G$17)</f>
        <v>13715</v>
      </c>
      <c r="Q62" s="9">
        <f>IF('Upto Month COPPY'!$G$18="",0,'Upto Month COPPY'!$G$18)</f>
        <v>0</v>
      </c>
      <c r="R62" s="9">
        <f>IF('Upto Month COPPY'!$G$21="",0,'Upto Month COPPY'!$G$21)</f>
        <v>18066</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2293</v>
      </c>
      <c r="Z62" s="9">
        <f>IF('Upto Month COPPY'!$G$43="",0,'Upto Month COPPY'!$G$43)</f>
        <v>1143</v>
      </c>
      <c r="AA62" s="9">
        <f>IF('Upto Month COPPY'!$G$44="",0,'Upto Month COPPY'!$G$44)</f>
        <v>1075</v>
      </c>
      <c r="AB62" s="9">
        <f>IF('Upto Month COPPY'!$G$48="",0,'Upto Month COPPY'!$G$48)</f>
        <v>212</v>
      </c>
      <c r="AC62" s="9">
        <f>IF('Upto Month COPPY'!$G$51="",0,'Upto Month COPPY'!$G$51)</f>
        <v>0</v>
      </c>
      <c r="AD62" s="221">
        <f t="shared" ref="AD62:AD63" si="765">SUM(C62:AC62)</f>
        <v>10705975</v>
      </c>
      <c r="AE62" s="9">
        <f>IF('Upto Month COPPY'!$G$19="",0,'Upto Month COPPY'!$G$19)</f>
        <v>4120</v>
      </c>
      <c r="AF62" s="9">
        <f>IF('Upto Month COPPY'!$G$20="",0,'Upto Month COPPY'!$G$20)</f>
        <v>1710</v>
      </c>
      <c r="AG62" s="9">
        <f>IF('Upto Month COPPY'!$G$22="",0,'Upto Month COPPY'!$G$22)</f>
        <v>1562</v>
      </c>
      <c r="AH62" s="9">
        <f>IF('Upto Month COPPY'!$G$23="",0,'Upto Month COPPY'!$G$23)</f>
        <v>0</v>
      </c>
      <c r="AI62" s="9">
        <f>IF('Upto Month COPPY'!$G$24="",0,'Upto Month COPPY'!$G$24)</f>
        <v>0</v>
      </c>
      <c r="AJ62" s="9">
        <f>IF('Upto Month COPPY'!$G$25="",0,'Upto Month COPPY'!$G$25)</f>
        <v>751</v>
      </c>
      <c r="AK62" s="9">
        <f>IF('Upto Month COPPY'!$G$28="",0,'Upto Month COPPY'!$G$28)</f>
        <v>108437</v>
      </c>
      <c r="AL62" s="9">
        <f>IF('Upto Month COPPY'!$G$29="",0,'Upto Month COPPY'!$G$29)</f>
        <v>36630</v>
      </c>
      <c r="AM62" s="9">
        <f>IF('Upto Month COPPY'!$G$31="",0,'Upto Month COPPY'!$G$31)</f>
        <v>881455</v>
      </c>
      <c r="AN62" s="9">
        <f>IF('Upto Month COPPY'!$G$32="",0,'Upto Month COPPY'!$G$32)</f>
        <v>93964</v>
      </c>
      <c r="AO62" s="9">
        <f>IF('Upto Month COPPY'!$G$33="",0,'Upto Month COPPY'!$G$33)</f>
        <v>736813</v>
      </c>
      <c r="AP62" s="9">
        <f>IF('Upto Month COPPY'!$G$34="",0,'Upto Month COPPY'!$G$34)</f>
        <v>6218</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204</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25368</v>
      </c>
      <c r="BD62" s="9">
        <f>IF('Upto Month COPPY'!$G$54="",0,'Upto Month COPPY'!$G$54)</f>
        <v>25368</v>
      </c>
      <c r="BE62" s="9">
        <f>IF('Upto Month COPPY'!$G$55="",0,'Upto Month COPPY'!$G$55)</f>
        <v>0</v>
      </c>
      <c r="BF62" s="9">
        <f>IF('Upto Month COPPY'!$G$56="",0,'Upto Month COPPY'!$G$56)</f>
        <v>67147</v>
      </c>
      <c r="BG62" s="9">
        <f>IF('Upto Month COPPY'!$G$58="",0,'Upto Month COPPY'!$G$58)</f>
        <v>1299</v>
      </c>
      <c r="BH62" s="9">
        <f>SUM(AE62:BG62)</f>
        <v>1991046</v>
      </c>
      <c r="BI62" s="275">
        <f>AD62+BH62</f>
        <v>12697021</v>
      </c>
      <c r="BJ62" s="9">
        <f>IF('Upto Month COPPY'!$G$60="",0,'Upto Month COPPY'!$G$60)</f>
        <v>30909</v>
      </c>
      <c r="BK62" s="49">
        <f t="shared" ref="BK62:BK63" si="766">BI62-BJ62</f>
        <v>12666112</v>
      </c>
      <c r="BL62">
        <f>'Upto Month COPPY'!$G$61</f>
        <v>12666110</v>
      </c>
      <c r="BM62" s="30">
        <f t="shared" ref="BM62:BM66" si="767">BK62-AD62</f>
        <v>1960137</v>
      </c>
    </row>
    <row r="63" spans="1:65">
      <c r="A63" s="128"/>
      <c r="B63" s="180" t="s">
        <v>431</v>
      </c>
      <c r="C63" s="9">
        <f>IF('Upto Month Current'!$G$4="",0,'Upto Month Current'!$G$4)</f>
        <v>4787566</v>
      </c>
      <c r="D63" s="9">
        <f>IF('Upto Month Current'!$G$5="",0,'Upto Month Current'!$G$5)</f>
        <v>2727342</v>
      </c>
      <c r="E63" s="9">
        <f>IF('Upto Month Current'!$G$6="",0,'Upto Month Current'!$G$6)</f>
        <v>200445</v>
      </c>
      <c r="F63" s="9">
        <f>IF('Upto Month Current'!$G$7="",0,'Upto Month Current'!$G$7)</f>
        <v>917012</v>
      </c>
      <c r="G63" s="9">
        <f>IF('Upto Month Current'!$G$8="",0,'Upto Month Current'!$G$8)</f>
        <v>341598</v>
      </c>
      <c r="H63" s="9">
        <f>IF('Upto Month Current'!$G$9="",0,'Upto Month Current'!$G$9)</f>
        <v>0</v>
      </c>
      <c r="I63" s="9">
        <f>IF('Upto Month Current'!$G$10="",0,'Upto Month Current'!$G$10)</f>
        <v>0</v>
      </c>
      <c r="J63" s="9">
        <f>IF('Upto Month Current'!$G$11="",0,'Upto Month Current'!$G$11)</f>
        <v>2017628</v>
      </c>
      <c r="K63" s="9">
        <f>IF('Upto Month Current'!$G$12="",0,'Upto Month Current'!$G$12)</f>
        <v>80435</v>
      </c>
      <c r="L63" s="9">
        <f>IF('Upto Month Current'!$G$13="",0,'Upto Month Current'!$G$13)</f>
        <v>245618</v>
      </c>
      <c r="M63" s="9">
        <f>IF('Upto Month Current'!$G$14="",0,'Upto Month Current'!$G$14)</f>
        <v>320831</v>
      </c>
      <c r="N63" s="9">
        <f>IF('Upto Month Current'!$G$15="",0,'Upto Month Current'!$G$15)</f>
        <v>764</v>
      </c>
      <c r="O63" s="9">
        <f>IF('Upto Month Current'!$G$16="",0,'Upto Month Current'!$G$16)</f>
        <v>13591</v>
      </c>
      <c r="P63" s="9">
        <f>IF('Upto Month Current'!$G$17="",0,'Upto Month Current'!$G$17)</f>
        <v>17435</v>
      </c>
      <c r="Q63" s="9">
        <f>IF('Upto Month Current'!$G$18="",0,'Upto Month Current'!$G$18)</f>
        <v>0</v>
      </c>
      <c r="R63" s="9">
        <f>IF('Upto Month Current'!$G$21="",0,'Upto Month Current'!$G$21)</f>
        <v>16983</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1575</v>
      </c>
      <c r="Z63" s="9">
        <f>IF('Upto Month Current'!$G$43="",0,'Upto Month Current'!$G$43)</f>
        <v>458</v>
      </c>
      <c r="AA63" s="9">
        <f>IF('Upto Month Current'!$G$44="",0,'Upto Month Current'!$G$44)</f>
        <v>479</v>
      </c>
      <c r="AB63" s="9">
        <f>IF('Upto Month Current'!$G$48="",0,'Upto Month Current'!$G$48)</f>
        <v>0</v>
      </c>
      <c r="AC63" s="9">
        <f>IF('Upto Month Current'!$G$51="",0,'Upto Month Current'!$G$51)</f>
        <v>0</v>
      </c>
      <c r="AD63" s="221">
        <f t="shared" si="765"/>
        <v>11689760</v>
      </c>
      <c r="AE63" s="9">
        <f>IF('Upto Month Current'!$G$19="",0,'Upto Month Current'!$G$19)</f>
        <v>4467</v>
      </c>
      <c r="AF63" s="9">
        <f>IF('Upto Month Current'!$G$20="",0,'Upto Month Current'!$G$20)</f>
        <v>1430</v>
      </c>
      <c r="AG63" s="9">
        <f>IF('Upto Month Current'!$G$22="",0,'Upto Month Current'!$G$22)</f>
        <v>3775</v>
      </c>
      <c r="AH63" s="9">
        <f>IF('Upto Month Current'!$G$23="",0,'Upto Month Current'!$G$23)</f>
        <v>0</v>
      </c>
      <c r="AI63" s="9">
        <f>IF('Upto Month Current'!$G$24="",0,'Upto Month Current'!$G$24)</f>
        <v>0</v>
      </c>
      <c r="AJ63" s="9">
        <f>IF('Upto Month Current'!$G$25="",0,'Upto Month Current'!$G$25)</f>
        <v>113</v>
      </c>
      <c r="AK63" s="9">
        <f>IF('Upto Month Current'!$G$28="",0,'Upto Month Current'!$G$28)</f>
        <v>79989</v>
      </c>
      <c r="AL63" s="9">
        <f>IF('Upto Month Current'!$G$29="",0,'Upto Month Current'!$G$29)</f>
        <v>54287</v>
      </c>
      <c r="AM63" s="9">
        <f>IF('Upto Month Current'!$G$31="",0,'Upto Month Current'!$G$31)</f>
        <v>675550</v>
      </c>
      <c r="AN63" s="9">
        <f>IF('Upto Month Current'!$G$32="",0,'Upto Month Current'!$G$32)</f>
        <v>206829</v>
      </c>
      <c r="AO63" s="9">
        <f>IF('Upto Month Current'!$G$33="",0,'Upto Month Current'!$G$33)</f>
        <v>875085</v>
      </c>
      <c r="AP63" s="9">
        <f>IF('Upto Month Current'!$G$34="",0,'Upto Month Current'!$G$34)</f>
        <v>30990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638</v>
      </c>
      <c r="AX63" s="9">
        <f>IF('Upto Month Current'!$G$46="",0,'Upto Month Current'!$G$46)</f>
        <v>42</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23347</v>
      </c>
      <c r="BD63" s="9">
        <f>IF('Upto Month Current'!$G$54="",0,'Upto Month Current'!$G$54)</f>
        <v>23347</v>
      </c>
      <c r="BE63" s="9">
        <f>IF('Upto Month Current'!$G$55="",0,'Upto Month Current'!$G$55)</f>
        <v>0</v>
      </c>
      <c r="BF63" s="9">
        <f>IF('Upto Month Current'!$G$56="",0,'Upto Month Current'!$G$56)</f>
        <v>37927</v>
      </c>
      <c r="BG63" s="9">
        <f>IF('Upto Month Current'!$G$58="",0,'Upto Month Current'!$G$58)</f>
        <v>79</v>
      </c>
      <c r="BH63" s="9">
        <f>SUM(AE63:BG63)</f>
        <v>2017895</v>
      </c>
      <c r="BI63" s="275">
        <f>AD63+BH63</f>
        <v>13707655</v>
      </c>
      <c r="BJ63" s="9">
        <f>IF('Upto Month Current'!$G$60="",0,'Upto Month Current'!$G$60)</f>
        <v>32138</v>
      </c>
      <c r="BK63" s="49">
        <f t="shared" si="766"/>
        <v>13675517</v>
      </c>
      <c r="BL63">
        <f>'Upto Month Current'!$G$61</f>
        <v>13675519</v>
      </c>
      <c r="BM63" s="30">
        <f t="shared" si="767"/>
        <v>1985757</v>
      </c>
    </row>
    <row r="64" spans="1:65">
      <c r="A64" s="128"/>
      <c r="B64" s="5" t="s">
        <v>130</v>
      </c>
      <c r="C64" s="11">
        <f>C63-C61</f>
        <v>-12951</v>
      </c>
      <c r="D64" s="11">
        <f t="shared" ref="D64" si="768">D63-D61</f>
        <v>17450</v>
      </c>
      <c r="E64" s="11">
        <f t="shared" ref="E64" si="769">E63-E61</f>
        <v>40787</v>
      </c>
      <c r="F64" s="11">
        <f t="shared" ref="F64" si="770">F63-F61</f>
        <v>-3111</v>
      </c>
      <c r="G64" s="11">
        <f t="shared" ref="G64" si="771">G63-G61</f>
        <v>9355</v>
      </c>
      <c r="H64" s="11">
        <f t="shared" ref="H64" si="772">H63-H61</f>
        <v>0</v>
      </c>
      <c r="I64" s="11">
        <f t="shared" ref="I64" si="773">I63-I61</f>
        <v>0</v>
      </c>
      <c r="J64" s="11">
        <f t="shared" ref="J64" si="774">J63-J61</f>
        <v>16097</v>
      </c>
      <c r="K64" s="11">
        <f t="shared" ref="K64" si="775">K63-K61</f>
        <v>42129</v>
      </c>
      <c r="L64" s="11">
        <f t="shared" ref="L64" si="776">L63-L61</f>
        <v>16713</v>
      </c>
      <c r="M64" s="11">
        <f t="shared" ref="M64" si="777">M63-M61</f>
        <v>15589</v>
      </c>
      <c r="N64" s="11">
        <f t="shared" ref="N64" si="778">N63-N61</f>
        <v>-454</v>
      </c>
      <c r="O64" s="11">
        <f t="shared" ref="O64" si="779">O63-O61</f>
        <v>4056</v>
      </c>
      <c r="P64" s="11">
        <f t="shared" ref="P64" si="780">P63-P61</f>
        <v>3022</v>
      </c>
      <c r="Q64" s="11">
        <f t="shared" ref="Q64" si="781">Q63-Q61</f>
        <v>0</v>
      </c>
      <c r="R64" s="11">
        <f t="shared" ref="R64" si="782">R63-R61</f>
        <v>-2055</v>
      </c>
      <c r="S64" s="11">
        <f t="shared" ref="S64" si="783">S63-S61</f>
        <v>0</v>
      </c>
      <c r="T64" s="11">
        <f t="shared" ref="T64:U64" si="784">T63-T61</f>
        <v>0</v>
      </c>
      <c r="U64" s="11">
        <f t="shared" si="784"/>
        <v>0</v>
      </c>
      <c r="V64" s="9">
        <f t="shared" ref="V64" si="785">V63-V61</f>
        <v>0</v>
      </c>
      <c r="W64" s="11">
        <f t="shared" ref="W64" si="786">W63-W61</f>
        <v>0</v>
      </c>
      <c r="X64" s="11">
        <f t="shared" ref="X64" si="787">X63-X61</f>
        <v>0</v>
      </c>
      <c r="Y64" s="11">
        <f t="shared" ref="Y64" si="788">Y63-Y61</f>
        <v>-1356</v>
      </c>
      <c r="Z64" s="11">
        <f t="shared" ref="Z64" si="789">Z63-Z61</f>
        <v>-1376</v>
      </c>
      <c r="AA64" s="11">
        <f t="shared" ref="AA64:AD64" si="790">AA63-AA61</f>
        <v>-507</v>
      </c>
      <c r="AB64" s="11">
        <f t="shared" ref="AB64" si="791">AB63-AB61</f>
        <v>-1148</v>
      </c>
      <c r="AC64" s="9">
        <f t="shared" si="790"/>
        <v>0</v>
      </c>
      <c r="AD64" s="216">
        <f t="shared" si="790"/>
        <v>142240</v>
      </c>
      <c r="AE64" s="11">
        <f t="shared" ref="AE64" si="792">AE63-AE61</f>
        <v>1259</v>
      </c>
      <c r="AF64" s="11">
        <f t="shared" ref="AF64" si="793">AF63-AF61</f>
        <v>385</v>
      </c>
      <c r="AG64" s="11">
        <f t="shared" ref="AG64" si="794">AG63-AG61</f>
        <v>2025</v>
      </c>
      <c r="AH64" s="11">
        <f t="shared" ref="AH64" si="795">AH63-AH61</f>
        <v>0</v>
      </c>
      <c r="AI64" s="11">
        <f t="shared" ref="AI64" si="796">AI63-AI61</f>
        <v>0</v>
      </c>
      <c r="AJ64" s="11">
        <f t="shared" ref="AJ64" si="797">AJ63-AJ61</f>
        <v>-142</v>
      </c>
      <c r="AK64" s="11">
        <f t="shared" ref="AK64" si="798">AK63-AK61</f>
        <v>-42172</v>
      </c>
      <c r="AL64" s="11">
        <f t="shared" ref="AL64" si="799">AL63-AL61</f>
        <v>18806</v>
      </c>
      <c r="AM64" s="11">
        <f t="shared" ref="AM64" si="800">AM63-AM61</f>
        <v>-238175</v>
      </c>
      <c r="AN64" s="11">
        <f t="shared" ref="AN64" si="801">AN63-AN61</f>
        <v>31153</v>
      </c>
      <c r="AO64" s="9">
        <f t="shared" ref="AO64" si="802">AO63-AO61</f>
        <v>49245</v>
      </c>
      <c r="AP64" s="11">
        <f t="shared" ref="AP64" si="803">AP63-AP61</f>
        <v>20852</v>
      </c>
      <c r="AQ64" s="9">
        <f t="shared" ref="AQ64" si="804">AQ63-AQ61</f>
        <v>0</v>
      </c>
      <c r="AR64" s="11">
        <f t="shared" ref="AR64" si="805">AR63-AR61</f>
        <v>0</v>
      </c>
      <c r="AS64" s="11">
        <f t="shared" ref="AS64" si="806">AS63-AS61</f>
        <v>0</v>
      </c>
      <c r="AT64" s="11">
        <f t="shared" ref="AT64" si="807">AT63-AT61</f>
        <v>0</v>
      </c>
      <c r="AU64" s="11">
        <f t="shared" ref="AU64" si="808">AU63-AU61</f>
        <v>0</v>
      </c>
      <c r="AV64" s="11">
        <f t="shared" ref="AV64" si="809">AV63-AV61</f>
        <v>0</v>
      </c>
      <c r="AW64" s="11">
        <f t="shared" ref="AW64" si="810">AW63-AW61</f>
        <v>-658</v>
      </c>
      <c r="AX64" s="11">
        <f t="shared" ref="AX64" si="811">AX63-AX61</f>
        <v>-631</v>
      </c>
      <c r="AY64" s="11">
        <f t="shared" ref="AY64" si="812">AY63-AY61</f>
        <v>0</v>
      </c>
      <c r="AZ64" s="11">
        <f t="shared" ref="AZ64" si="813">AZ63-AZ61</f>
        <v>0</v>
      </c>
      <c r="BA64" s="11">
        <f t="shared" ref="BA64" si="814">BA63-BA61</f>
        <v>0</v>
      </c>
      <c r="BB64" s="9">
        <f t="shared" ref="BB64" si="815">BB63-BB61</f>
        <v>0</v>
      </c>
      <c r="BC64" s="11">
        <f t="shared" ref="BC64" si="816">BC63-BC61</f>
        <v>-3913</v>
      </c>
      <c r="BD64" s="11">
        <f t="shared" ref="BD64" si="817">BD63-BD61</f>
        <v>-3911</v>
      </c>
      <c r="BE64" s="11">
        <f t="shared" ref="BE64" si="818">BE63-BE61</f>
        <v>0</v>
      </c>
      <c r="BF64" s="11">
        <f t="shared" ref="BF64" si="819">BF63-BF61</f>
        <v>-16618</v>
      </c>
      <c r="BG64" s="11">
        <f t="shared" ref="BG64:BH64" si="820">BG63-BG61</f>
        <v>-136</v>
      </c>
      <c r="BH64" s="9">
        <f t="shared" si="820"/>
        <v>-182631</v>
      </c>
      <c r="BI64" s="9">
        <f t="shared" ref="BI64" si="821">BI63-BI61</f>
        <v>-40391</v>
      </c>
      <c r="BJ64" s="11">
        <f t="shared" ref="BJ64:BK64" si="822">BJ63-BJ61</f>
        <v>-8744</v>
      </c>
      <c r="BK64" s="49">
        <f t="shared" si="822"/>
        <v>-31647</v>
      </c>
      <c r="BM64" s="30">
        <f t="shared" si="767"/>
        <v>-173887</v>
      </c>
    </row>
    <row r="65" spans="1:65">
      <c r="A65" s="129"/>
      <c r="B65" s="5" t="s">
        <v>131</v>
      </c>
      <c r="C65" s="13">
        <f>C64/C61</f>
        <v>-2.6978344207509316E-3</v>
      </c>
      <c r="D65" s="13">
        <f t="shared" ref="D65" si="823">D64/D61</f>
        <v>6.4393710155238662E-3</v>
      </c>
      <c r="E65" s="13">
        <f t="shared" ref="E65" si="824">E64/E61</f>
        <v>0.25546480602287391</v>
      </c>
      <c r="F65" s="13">
        <f t="shared" ref="F65" si="825">F64/F61</f>
        <v>-3.3810697048112046E-3</v>
      </c>
      <c r="G65" s="13">
        <f t="shared" ref="G65" si="826">G64/G61</f>
        <v>2.81571018802503E-2</v>
      </c>
      <c r="H65" s="13" t="e">
        <f t="shared" ref="H65" si="827">H64/H61</f>
        <v>#DIV/0!</v>
      </c>
      <c r="I65" s="13" t="e">
        <f t="shared" ref="I65" si="828">I64/I61</f>
        <v>#DIV/0!</v>
      </c>
      <c r="J65" s="13">
        <f t="shared" ref="J65" si="829">J64/J61</f>
        <v>8.0423435859849294E-3</v>
      </c>
      <c r="K65" s="13">
        <f t="shared" ref="K65" si="830">K64/K61</f>
        <v>1.0998015976609408</v>
      </c>
      <c r="L65" s="13">
        <f t="shared" ref="L65" si="831">L64/L61</f>
        <v>7.3012821913020692E-2</v>
      </c>
      <c r="M65" s="13">
        <f t="shared" ref="M65" si="832">M64/M61</f>
        <v>5.1070953538503876E-2</v>
      </c>
      <c r="N65" s="13">
        <f t="shared" ref="N65" si="833">N64/N61</f>
        <v>-0.37274220032840721</v>
      </c>
      <c r="O65" s="13">
        <f t="shared" ref="O65" si="834">O64/O61</f>
        <v>0.42538017829050867</v>
      </c>
      <c r="P65" s="13">
        <f t="shared" ref="P65" si="835">P64/P61</f>
        <v>0.20967182404773468</v>
      </c>
      <c r="Q65" s="13" t="e">
        <f t="shared" ref="Q65" si="836">Q64/Q61</f>
        <v>#DIV/0!</v>
      </c>
      <c r="R65" s="13">
        <f t="shared" ref="R65" si="837">R64/R61</f>
        <v>-0.10794201071541128</v>
      </c>
      <c r="S65" s="13" t="e">
        <f t="shared" ref="S65" si="838">S64/S61</f>
        <v>#DIV/0!</v>
      </c>
      <c r="T65" s="13" t="e">
        <f t="shared" ref="T65:U65" si="839">T64/T61</f>
        <v>#DIV/0!</v>
      </c>
      <c r="U65" s="13" t="e">
        <f t="shared" si="839"/>
        <v>#DIV/0!</v>
      </c>
      <c r="V65" s="160" t="e">
        <f t="shared" ref="V65" si="840">V64/V61</f>
        <v>#DIV/0!</v>
      </c>
      <c r="W65" s="13" t="e">
        <f t="shared" ref="W65" si="841">W64/W61</f>
        <v>#DIV/0!</v>
      </c>
      <c r="X65" s="13" t="e">
        <f t="shared" ref="X65" si="842">X64/X61</f>
        <v>#DIV/0!</v>
      </c>
      <c r="Y65" s="13">
        <f t="shared" ref="Y65" si="843">Y64/Y61</f>
        <v>-0.46264073694984648</v>
      </c>
      <c r="Z65" s="13">
        <f t="shared" ref="Z65" si="844">Z64/Z61</f>
        <v>-0.75027262813522355</v>
      </c>
      <c r="AA65" s="13">
        <f t="shared" ref="AA65:AD65" si="845">AA64/AA61</f>
        <v>-0.51419878296146049</v>
      </c>
      <c r="AB65" s="13">
        <f t="shared" ref="AB65" si="846">AB64/AB61</f>
        <v>-1</v>
      </c>
      <c r="AC65" s="160" t="e">
        <f t="shared" si="845"/>
        <v>#DIV/0!</v>
      </c>
      <c r="AD65" s="217">
        <f t="shared" si="845"/>
        <v>1.2317796375325612E-2</v>
      </c>
      <c r="AE65" s="13">
        <f t="shared" ref="AE65" si="847">AE64/AE61</f>
        <v>0.39245635910224441</v>
      </c>
      <c r="AF65" s="13">
        <f t="shared" ref="AF65" si="848">AF64/AF61</f>
        <v>0.36842105263157893</v>
      </c>
      <c r="AG65" s="13">
        <f t="shared" ref="AG65" si="849">AG64/AG61</f>
        <v>1.1571428571428573</v>
      </c>
      <c r="AH65" s="13" t="e">
        <f t="shared" ref="AH65" si="850">AH64/AH61</f>
        <v>#DIV/0!</v>
      </c>
      <c r="AI65" s="13" t="e">
        <f t="shared" ref="AI65" si="851">AI64/AI61</f>
        <v>#DIV/0!</v>
      </c>
      <c r="AJ65" s="13">
        <f t="shared" ref="AJ65" si="852">AJ64/AJ61</f>
        <v>-0.55686274509803924</v>
      </c>
      <c r="AK65" s="13">
        <f t="shared" ref="AK65" si="853">AK64/AK61</f>
        <v>-0.34521655847610938</v>
      </c>
      <c r="AL65" s="13">
        <f t="shared" ref="AL65" si="854">AL64/AL61</f>
        <v>0.53003015698542877</v>
      </c>
      <c r="AM65" s="13">
        <f t="shared" ref="AM65" si="855">AM64/AM61</f>
        <v>-0.26066376645051847</v>
      </c>
      <c r="AN65" s="13">
        <f t="shared" ref="AN65" si="856">AN64/AN61</f>
        <v>0.17733213415606003</v>
      </c>
      <c r="AO65" s="160">
        <f t="shared" ref="AO65" si="857">AO64/AO61</f>
        <v>5.9630194710839871E-2</v>
      </c>
      <c r="AP65" s="13">
        <f t="shared" ref="AP65" si="858">AP64/AP61</f>
        <v>2.0568159400276187</v>
      </c>
      <c r="AQ65" s="160" t="e">
        <f t="shared" ref="AQ65" si="859">AQ64/AQ61</f>
        <v>#DIV/0!</v>
      </c>
      <c r="AR65" s="13" t="e">
        <f t="shared" ref="AR65" si="860">AR64/AR61</f>
        <v>#DIV/0!</v>
      </c>
      <c r="AS65" s="13" t="e">
        <f t="shared" ref="AS65" si="861">AS64/AS61</f>
        <v>#DIV/0!</v>
      </c>
      <c r="AT65" s="13" t="e">
        <f t="shared" ref="AT65" si="862">AT64/AT61</f>
        <v>#DIV/0!</v>
      </c>
      <c r="AU65" s="13" t="e">
        <f t="shared" ref="AU65" si="863">AU64/AU61</f>
        <v>#DIV/0!</v>
      </c>
      <c r="AV65" s="13" t="e">
        <f t="shared" ref="AV65" si="864">AV64/AV61</f>
        <v>#DIV/0!</v>
      </c>
      <c r="AW65" s="13">
        <f t="shared" ref="AW65" si="865">AW64/AW61</f>
        <v>-0.50771604938271608</v>
      </c>
      <c r="AX65" s="13">
        <f t="shared" ref="AX65" si="866">AX64/AX61</f>
        <v>-0.93759286775631501</v>
      </c>
      <c r="AY65" s="13" t="e">
        <f t="shared" ref="AY65" si="867">AY64/AY61</f>
        <v>#DIV/0!</v>
      </c>
      <c r="AZ65" s="13" t="e">
        <f t="shared" ref="AZ65" si="868">AZ64/AZ61</f>
        <v>#DIV/0!</v>
      </c>
      <c r="BA65" s="13" t="e">
        <f t="shared" ref="BA65" si="869">BA64/BA61</f>
        <v>#DIV/0!</v>
      </c>
      <c r="BB65" s="160" t="e">
        <f t="shared" ref="BB65" si="870">BB64/BB61</f>
        <v>#DIV/0!</v>
      </c>
      <c r="BC65" s="13">
        <f t="shared" ref="BC65" si="871">BC64/BC61</f>
        <v>-0.14354365370506236</v>
      </c>
      <c r="BD65" s="13">
        <f t="shared" ref="BD65" si="872">BD64/BD61</f>
        <v>-0.14348081297233839</v>
      </c>
      <c r="BE65" s="13" t="e">
        <f t="shared" ref="BE65" si="873">BE64/BE61</f>
        <v>#DIV/0!</v>
      </c>
      <c r="BF65" s="13">
        <f t="shared" ref="BF65" si="874">BF64/BF61</f>
        <v>-0.30466587221560182</v>
      </c>
      <c r="BG65" s="13">
        <f t="shared" ref="BG65:BH65" si="875">BG64/BG61</f>
        <v>-0.63255813953488371</v>
      </c>
      <c r="BH65" s="160">
        <f t="shared" si="875"/>
        <v>-8.2994247738949686E-2</v>
      </c>
      <c r="BI65" s="160">
        <f t="shared" ref="BI65" si="876">BI64/BI61</f>
        <v>-2.9379447813892971E-3</v>
      </c>
      <c r="BJ65" s="13">
        <f t="shared" ref="BJ65:BK65" si="877">BJ64/BJ61</f>
        <v>-0.2138838608678636</v>
      </c>
      <c r="BK65" s="50">
        <f t="shared" si="877"/>
        <v>-2.3087926868023173E-3</v>
      </c>
      <c r="BM65" s="160" t="e">
        <f t="shared" ref="BM65" si="878">BM64/BM61</f>
        <v>#DIV/0!</v>
      </c>
    </row>
    <row r="66" spans="1:65">
      <c r="A66" s="128"/>
      <c r="B66" s="5" t="s">
        <v>132</v>
      </c>
      <c r="C66" s="11">
        <f>C63-C62</f>
        <v>78995</v>
      </c>
      <c r="D66" s="11">
        <f t="shared" ref="D66:BK66" si="879">D63-D62</f>
        <v>536964</v>
      </c>
      <c r="E66" s="11">
        <f t="shared" si="879"/>
        <v>9524</v>
      </c>
      <c r="F66" s="11">
        <f t="shared" si="879"/>
        <v>27422</v>
      </c>
      <c r="G66" s="11">
        <f t="shared" si="879"/>
        <v>35986</v>
      </c>
      <c r="H66" s="11">
        <f t="shared" si="879"/>
        <v>0</v>
      </c>
      <c r="I66" s="11">
        <f t="shared" si="879"/>
        <v>0</v>
      </c>
      <c r="J66" s="11">
        <f t="shared" si="879"/>
        <v>124083</v>
      </c>
      <c r="K66" s="11">
        <f t="shared" si="879"/>
        <v>64673</v>
      </c>
      <c r="L66" s="11">
        <f t="shared" si="879"/>
        <v>77252</v>
      </c>
      <c r="M66" s="11">
        <f t="shared" si="879"/>
        <v>21048</v>
      </c>
      <c r="N66" s="11">
        <f t="shared" si="879"/>
        <v>325</v>
      </c>
      <c r="O66" s="11">
        <f t="shared" si="879"/>
        <v>7087</v>
      </c>
      <c r="P66" s="11">
        <f t="shared" si="879"/>
        <v>3720</v>
      </c>
      <c r="Q66" s="11">
        <f t="shared" si="879"/>
        <v>0</v>
      </c>
      <c r="R66" s="11">
        <f t="shared" si="879"/>
        <v>-1083</v>
      </c>
      <c r="S66" s="11">
        <f t="shared" si="879"/>
        <v>0</v>
      </c>
      <c r="T66" s="11">
        <f t="shared" si="879"/>
        <v>0</v>
      </c>
      <c r="U66" s="11">
        <f t="shared" ref="U66" si="880">U63-U62</f>
        <v>0</v>
      </c>
      <c r="V66" s="9">
        <f t="shared" si="879"/>
        <v>0</v>
      </c>
      <c r="W66" s="11">
        <f t="shared" si="879"/>
        <v>0</v>
      </c>
      <c r="X66" s="11">
        <f t="shared" si="879"/>
        <v>0</v>
      </c>
      <c r="Y66" s="11">
        <f t="shared" si="879"/>
        <v>-718</v>
      </c>
      <c r="Z66" s="11">
        <f t="shared" si="879"/>
        <v>-685</v>
      </c>
      <c r="AA66" s="11">
        <f t="shared" si="879"/>
        <v>-596</v>
      </c>
      <c r="AB66" s="11">
        <f t="shared" ref="AB66" si="881">AB63-AB62</f>
        <v>-212</v>
      </c>
      <c r="AC66" s="9">
        <f t="shared" ref="AC66:AD66" si="882">AC63-AC62</f>
        <v>0</v>
      </c>
      <c r="AD66" s="216">
        <f t="shared" si="882"/>
        <v>983785</v>
      </c>
      <c r="AE66" s="11">
        <f t="shared" si="879"/>
        <v>347</v>
      </c>
      <c r="AF66" s="11">
        <f t="shared" si="879"/>
        <v>-280</v>
      </c>
      <c r="AG66" s="11">
        <f t="shared" si="879"/>
        <v>2213</v>
      </c>
      <c r="AH66" s="11">
        <f t="shared" si="879"/>
        <v>0</v>
      </c>
      <c r="AI66" s="11">
        <f t="shared" si="879"/>
        <v>0</v>
      </c>
      <c r="AJ66" s="11">
        <f t="shared" si="879"/>
        <v>-638</v>
      </c>
      <c r="AK66" s="11">
        <f t="shared" si="879"/>
        <v>-28448</v>
      </c>
      <c r="AL66" s="11">
        <f t="shared" si="879"/>
        <v>17657</v>
      </c>
      <c r="AM66" s="11">
        <f t="shared" si="879"/>
        <v>-205905</v>
      </c>
      <c r="AN66" s="11">
        <f t="shared" si="879"/>
        <v>112865</v>
      </c>
      <c r="AO66" s="9">
        <f t="shared" si="879"/>
        <v>138272</v>
      </c>
      <c r="AP66" s="11">
        <f t="shared" si="879"/>
        <v>24772</v>
      </c>
      <c r="AQ66" s="9">
        <f t="shared" si="879"/>
        <v>0</v>
      </c>
      <c r="AR66" s="11">
        <f t="shared" si="879"/>
        <v>0</v>
      </c>
      <c r="AS66" s="11">
        <f t="shared" si="879"/>
        <v>0</v>
      </c>
      <c r="AT66" s="11">
        <f t="shared" si="879"/>
        <v>0</v>
      </c>
      <c r="AU66" s="11">
        <f t="shared" si="879"/>
        <v>0</v>
      </c>
      <c r="AV66" s="11">
        <f t="shared" si="879"/>
        <v>0</v>
      </c>
      <c r="AW66" s="11">
        <f t="shared" si="879"/>
        <v>434</v>
      </c>
      <c r="AX66" s="11">
        <f t="shared" si="879"/>
        <v>42</v>
      </c>
      <c r="AY66" s="11">
        <f t="shared" si="879"/>
        <v>0</v>
      </c>
      <c r="AZ66" s="11">
        <f t="shared" si="879"/>
        <v>0</v>
      </c>
      <c r="BA66" s="11">
        <f t="shared" si="879"/>
        <v>0</v>
      </c>
      <c r="BB66" s="9">
        <f t="shared" si="879"/>
        <v>0</v>
      </c>
      <c r="BC66" s="11">
        <f t="shared" si="879"/>
        <v>-2021</v>
      </c>
      <c r="BD66" s="11">
        <f t="shared" si="879"/>
        <v>-2021</v>
      </c>
      <c r="BE66" s="11">
        <f t="shared" si="879"/>
        <v>0</v>
      </c>
      <c r="BF66" s="11">
        <f t="shared" si="879"/>
        <v>-29220</v>
      </c>
      <c r="BG66" s="11">
        <f t="shared" si="879"/>
        <v>-1220</v>
      </c>
      <c r="BH66" s="9">
        <f t="shared" si="879"/>
        <v>26849</v>
      </c>
      <c r="BI66" s="9">
        <f t="shared" si="879"/>
        <v>1010634</v>
      </c>
      <c r="BJ66" s="11">
        <f t="shared" si="879"/>
        <v>1229</v>
      </c>
      <c r="BK66" s="49">
        <f t="shared" si="879"/>
        <v>1009405</v>
      </c>
      <c r="BM66" s="30">
        <f t="shared" si="767"/>
        <v>25620</v>
      </c>
    </row>
    <row r="67" spans="1:65">
      <c r="A67" s="128"/>
      <c r="B67" s="5" t="s">
        <v>133</v>
      </c>
      <c r="C67" s="13">
        <f>C66/C62</f>
        <v>1.6776852255174658E-2</v>
      </c>
      <c r="D67" s="13">
        <f t="shared" ref="D67" si="883">D66/D62</f>
        <v>0.24514672809898566</v>
      </c>
      <c r="E67" s="13">
        <f t="shared" ref="E67" si="884">E66/E62</f>
        <v>4.9884507204550572E-2</v>
      </c>
      <c r="F67" s="13">
        <f t="shared" ref="F67" si="885">F66/F62</f>
        <v>3.0825436437010308E-2</v>
      </c>
      <c r="G67" s="13">
        <f t="shared" ref="G67" si="886">G66/G62</f>
        <v>0.1177506118869678</v>
      </c>
      <c r="H67" s="13" t="e">
        <f t="shared" ref="H67" si="887">H66/H62</f>
        <v>#DIV/0!</v>
      </c>
      <c r="I67" s="13" t="e">
        <f t="shared" ref="I67" si="888">I66/I62</f>
        <v>#DIV/0!</v>
      </c>
      <c r="J67" s="13">
        <f t="shared" ref="J67" si="889">J66/J62</f>
        <v>6.5529469856802983E-2</v>
      </c>
      <c r="K67" s="13">
        <f t="shared" ref="K67" si="890">K66/K62</f>
        <v>4.1030960538002788</v>
      </c>
      <c r="L67" s="13">
        <f t="shared" ref="L67" si="891">L66/L62</f>
        <v>0.45883373127591082</v>
      </c>
      <c r="M67" s="13">
        <f t="shared" ref="M67" si="892">M66/M62</f>
        <v>7.0210785801729916E-2</v>
      </c>
      <c r="N67" s="13">
        <f t="shared" ref="N67" si="893">N66/N62</f>
        <v>0.74031890660592259</v>
      </c>
      <c r="O67" s="13">
        <f t="shared" ref="O67" si="894">O66/O62</f>
        <v>1.0896371463714638</v>
      </c>
      <c r="P67" s="13">
        <f t="shared" ref="P67" si="895">P66/P62</f>
        <v>0.27123587313160774</v>
      </c>
      <c r="Q67" s="13" t="e">
        <f t="shared" ref="Q67" si="896">Q66/Q62</f>
        <v>#DIV/0!</v>
      </c>
      <c r="R67" s="13">
        <f t="shared" ref="R67" si="897">R66/R62</f>
        <v>-5.9946861507804719E-2</v>
      </c>
      <c r="S67" s="13" t="e">
        <f t="shared" ref="S67" si="898">S66/S62</f>
        <v>#DIV/0!</v>
      </c>
      <c r="T67" s="13" t="e">
        <f t="shared" ref="T67:U67" si="899">T66/T62</f>
        <v>#DIV/0!</v>
      </c>
      <c r="U67" s="13" t="e">
        <f t="shared" si="899"/>
        <v>#DIV/0!</v>
      </c>
      <c r="V67" s="160" t="e">
        <f t="shared" ref="V67" si="900">V66/V62</f>
        <v>#DIV/0!</v>
      </c>
      <c r="W67" s="13" t="e">
        <f t="shared" ref="W67" si="901">W66/W62</f>
        <v>#DIV/0!</v>
      </c>
      <c r="X67" s="13" t="e">
        <f t="shared" ref="X67" si="902">X66/X62</f>
        <v>#DIV/0!</v>
      </c>
      <c r="Y67" s="13">
        <f t="shared" ref="Y67" si="903">Y66/Y62</f>
        <v>-0.31312690798081116</v>
      </c>
      <c r="Z67" s="13">
        <f t="shared" ref="Z67" si="904">Z66/Z62</f>
        <v>-0.59930008748906383</v>
      </c>
      <c r="AA67" s="13">
        <f t="shared" ref="AA67:AD67" si="905">AA66/AA62</f>
        <v>-0.55441860465116277</v>
      </c>
      <c r="AB67" s="13">
        <f t="shared" ref="AB67" si="906">AB66/AB62</f>
        <v>-1</v>
      </c>
      <c r="AC67" s="160" t="e">
        <f t="shared" si="905"/>
        <v>#DIV/0!</v>
      </c>
      <c r="AD67" s="217">
        <f t="shared" si="905"/>
        <v>9.1891210282108823E-2</v>
      </c>
      <c r="AE67" s="13">
        <f t="shared" ref="AE67" si="907">AE66/AE62</f>
        <v>8.4223300970873785E-2</v>
      </c>
      <c r="AF67" s="13">
        <f t="shared" ref="AF67" si="908">AF66/AF62</f>
        <v>-0.16374269005847952</v>
      </c>
      <c r="AG67" s="13">
        <f t="shared" ref="AG67" si="909">AG66/AG62</f>
        <v>1.4167733674775929</v>
      </c>
      <c r="AH67" s="13" t="e">
        <f t="shared" ref="AH67" si="910">AH66/AH62</f>
        <v>#DIV/0!</v>
      </c>
      <c r="AI67" s="13" t="e">
        <f t="shared" ref="AI67" si="911">AI66/AI62</f>
        <v>#DIV/0!</v>
      </c>
      <c r="AJ67" s="13">
        <f t="shared" ref="AJ67" si="912">AJ66/AJ62</f>
        <v>-0.84953395472703064</v>
      </c>
      <c r="AK67" s="13">
        <f t="shared" ref="AK67" si="913">AK66/AK62</f>
        <v>-0.26234587825188821</v>
      </c>
      <c r="AL67" s="13">
        <f t="shared" ref="AL67" si="914">AL66/AL62</f>
        <v>0.48203658203658206</v>
      </c>
      <c r="AM67" s="13">
        <f t="shared" ref="AM67" si="915">AM66/AM62</f>
        <v>-0.23359672359904929</v>
      </c>
      <c r="AN67" s="13">
        <f t="shared" ref="AN67" si="916">AN66/AN62</f>
        <v>1.2011515048316377</v>
      </c>
      <c r="AO67" s="160">
        <f t="shared" ref="AO67" si="917">AO66/AO62</f>
        <v>0.18766226980251435</v>
      </c>
      <c r="AP67" s="13">
        <f t="shared" ref="AP67" si="918">AP66/AP62</f>
        <v>3.9839176584110647</v>
      </c>
      <c r="AQ67" s="160" t="e">
        <f t="shared" ref="AQ67" si="919">AQ66/AQ62</f>
        <v>#DIV/0!</v>
      </c>
      <c r="AR67" s="13" t="e">
        <f t="shared" ref="AR67" si="920">AR66/AR62</f>
        <v>#DIV/0!</v>
      </c>
      <c r="AS67" s="13" t="e">
        <f t="shared" ref="AS67" si="921">AS66/AS62</f>
        <v>#DIV/0!</v>
      </c>
      <c r="AT67" s="13" t="e">
        <f t="shared" ref="AT67" si="922">AT66/AT62</f>
        <v>#DIV/0!</v>
      </c>
      <c r="AU67" s="13" t="e">
        <f t="shared" ref="AU67" si="923">AU66/AU62</f>
        <v>#DIV/0!</v>
      </c>
      <c r="AV67" s="13" t="e">
        <f t="shared" ref="AV67" si="924">AV66/AV62</f>
        <v>#DIV/0!</v>
      </c>
      <c r="AW67" s="13">
        <f t="shared" ref="AW67" si="925">AW66/AW62</f>
        <v>2.1274509803921569</v>
      </c>
      <c r="AX67" s="13" t="e">
        <f t="shared" ref="AX67" si="926">AX66/AX62</f>
        <v>#DIV/0!</v>
      </c>
      <c r="AY67" s="13" t="e">
        <f t="shared" ref="AY67" si="927">AY66/AY62</f>
        <v>#DIV/0!</v>
      </c>
      <c r="AZ67" s="13" t="e">
        <f t="shared" ref="AZ67" si="928">AZ66/AZ62</f>
        <v>#DIV/0!</v>
      </c>
      <c r="BA67" s="13" t="e">
        <f t="shared" ref="BA67" si="929">BA66/BA62</f>
        <v>#DIV/0!</v>
      </c>
      <c r="BB67" s="160" t="e">
        <f t="shared" ref="BB67" si="930">BB66/BB62</f>
        <v>#DIV/0!</v>
      </c>
      <c r="BC67" s="13">
        <f t="shared" ref="BC67" si="931">BC66/BC62</f>
        <v>-7.9667297382529173E-2</v>
      </c>
      <c r="BD67" s="13">
        <f t="shared" ref="BD67" si="932">BD66/BD62</f>
        <v>-7.9667297382529173E-2</v>
      </c>
      <c r="BE67" s="13" t="e">
        <f t="shared" ref="BE67" si="933">BE66/BE62</f>
        <v>#DIV/0!</v>
      </c>
      <c r="BF67" s="13">
        <f t="shared" ref="BF67" si="934">BF66/BF62</f>
        <v>-0.43516463877760736</v>
      </c>
      <c r="BG67" s="13">
        <f t="shared" ref="BG67:BH67" si="935">BG66/BG62</f>
        <v>-0.93918398768283295</v>
      </c>
      <c r="BH67" s="160">
        <f t="shared" si="935"/>
        <v>1.3484871770918401E-2</v>
      </c>
      <c r="BI67" s="160">
        <f t="shared" ref="BI67" si="936">BI66/BI62</f>
        <v>7.9596150939657426E-2</v>
      </c>
      <c r="BJ67" s="13">
        <f t="shared" ref="BJ67:BK67" si="937">BJ66/BJ62</f>
        <v>3.9761881652593097E-2</v>
      </c>
      <c r="BK67" s="50">
        <f t="shared" si="937"/>
        <v>7.9693358151262203E-2</v>
      </c>
      <c r="BM67" s="14">
        <f t="shared" ref="BM67" si="938">BM66/BM62</f>
        <v>1.3070514969106752E-2</v>
      </c>
    </row>
    <row r="68" spans="1:65">
      <c r="A68" s="128"/>
      <c r="B68" s="5" t="s">
        <v>340</v>
      </c>
      <c r="C68" s="126">
        <f>C63/C60</f>
        <v>0.91411154928458749</v>
      </c>
      <c r="D68" s="126">
        <f t="shared" ref="D68:BK68" si="939">D63/D60</f>
        <v>0.90502779948532375</v>
      </c>
      <c r="E68" s="126">
        <f t="shared" si="939"/>
        <v>1.2169718532190301</v>
      </c>
      <c r="F68" s="126">
        <f t="shared" si="939"/>
        <v>0.90919744793499868</v>
      </c>
      <c r="G68" s="126">
        <f t="shared" si="939"/>
        <v>0.94259413579395257</v>
      </c>
      <c r="H68" s="126" t="e">
        <f t="shared" si="939"/>
        <v>#DIV/0!</v>
      </c>
      <c r="I68" s="126" t="e">
        <f t="shared" si="939"/>
        <v>#DIV/0!</v>
      </c>
      <c r="J68" s="126">
        <f t="shared" si="939"/>
        <v>0.89140956599613064</v>
      </c>
      <c r="K68" s="126">
        <f t="shared" si="939"/>
        <v>1.7364694199175319</v>
      </c>
      <c r="L68" s="126">
        <f t="shared" si="939"/>
        <v>0.8895883058134102</v>
      </c>
      <c r="M68" s="126">
        <f t="shared" si="939"/>
        <v>0.95335036995215883</v>
      </c>
      <c r="N68" s="126">
        <f t="shared" si="939"/>
        <v>0.53727144866385368</v>
      </c>
      <c r="O68" s="126">
        <f t="shared" si="939"/>
        <v>1.2216629213483146</v>
      </c>
      <c r="P68" s="126">
        <f t="shared" si="939"/>
        <v>1.1117133201555824</v>
      </c>
      <c r="Q68" s="126" t="e">
        <f t="shared" si="939"/>
        <v>#DIV/0!</v>
      </c>
      <c r="R68" s="126">
        <f t="shared" si="939"/>
        <v>0.7834209797951841</v>
      </c>
      <c r="S68" s="126" t="e">
        <f t="shared" si="939"/>
        <v>#DIV/0!</v>
      </c>
      <c r="T68" s="126" t="e">
        <f t="shared" si="939"/>
        <v>#DIV/0!</v>
      </c>
      <c r="U68" s="126" t="e">
        <f t="shared" si="939"/>
        <v>#DIV/0!</v>
      </c>
      <c r="V68" s="175" t="e">
        <f t="shared" si="939"/>
        <v>#DIV/0!</v>
      </c>
      <c r="W68" s="126" t="e">
        <f t="shared" si="939"/>
        <v>#DIV/0!</v>
      </c>
      <c r="X68" s="126" t="e">
        <f t="shared" si="939"/>
        <v>#DIV/0!</v>
      </c>
      <c r="Y68" s="126">
        <f t="shared" si="939"/>
        <v>0.53735926305015358</v>
      </c>
      <c r="Z68" s="126">
        <f t="shared" si="939"/>
        <v>0.24972737186477645</v>
      </c>
      <c r="AA68" s="126">
        <f t="shared" si="939"/>
        <v>0.42921146953405021</v>
      </c>
      <c r="AB68" s="126">
        <f t="shared" ref="AB68" si="940">AB63/AB60</f>
        <v>0</v>
      </c>
      <c r="AC68" s="175" t="e">
        <f t="shared" si="939"/>
        <v>#DIV/0!</v>
      </c>
      <c r="AD68" s="218">
        <f t="shared" si="939"/>
        <v>0.91569825736458976</v>
      </c>
      <c r="AE68" s="126">
        <f t="shared" si="939"/>
        <v>1.2439431913116124</v>
      </c>
      <c r="AF68" s="126">
        <f t="shared" si="939"/>
        <v>1.1119751166407466</v>
      </c>
      <c r="AG68" s="126">
        <f t="shared" si="939"/>
        <v>2.157142857142857</v>
      </c>
      <c r="AH68" s="126" t="e">
        <f t="shared" si="939"/>
        <v>#DIV/0!</v>
      </c>
      <c r="AI68" s="126" t="e">
        <f t="shared" si="939"/>
        <v>#DIV/0!</v>
      </c>
      <c r="AJ68" s="126">
        <f t="shared" si="939"/>
        <v>0.42481203007518797</v>
      </c>
      <c r="AK68" s="126">
        <f t="shared" si="939"/>
        <v>0.65478344152389056</v>
      </c>
      <c r="AL68" s="126">
        <f t="shared" si="939"/>
        <v>1.371784504978016</v>
      </c>
      <c r="AM68" s="126">
        <f t="shared" si="939"/>
        <v>0.6844304855500114</v>
      </c>
      <c r="AN68" s="126">
        <f t="shared" si="939"/>
        <v>0.9768433680312848</v>
      </c>
      <c r="AO68" s="175">
        <f t="shared" si="939"/>
        <v>0.95175453861246584</v>
      </c>
      <c r="AP68" s="126">
        <f t="shared" si="939"/>
        <v>2.8496551724137933</v>
      </c>
      <c r="AQ68" s="175" t="e">
        <f t="shared" si="939"/>
        <v>#DIV/0!</v>
      </c>
      <c r="AR68" s="126" t="e">
        <f t="shared" si="939"/>
        <v>#DIV/0!</v>
      </c>
      <c r="AS68" s="126" t="e">
        <f t="shared" si="939"/>
        <v>#DIV/0!</v>
      </c>
      <c r="AT68" s="126" t="e">
        <f t="shared" si="939"/>
        <v>#DIV/0!</v>
      </c>
      <c r="AU68" s="126" t="e">
        <f t="shared" si="939"/>
        <v>#DIV/0!</v>
      </c>
      <c r="AV68" s="126" t="e">
        <f t="shared" si="939"/>
        <v>#DIV/0!</v>
      </c>
      <c r="AW68" s="126">
        <f t="shared" si="939"/>
        <v>0.36942675159235666</v>
      </c>
      <c r="AX68" s="126">
        <f t="shared" si="939"/>
        <v>5.1787916152897656E-2</v>
      </c>
      <c r="AY68" s="126" t="e">
        <f t="shared" si="939"/>
        <v>#DIV/0!</v>
      </c>
      <c r="AZ68" s="126" t="e">
        <f t="shared" si="939"/>
        <v>#DIV/0!</v>
      </c>
      <c r="BA68" s="126" t="e">
        <f t="shared" si="939"/>
        <v>#DIV/0!</v>
      </c>
      <c r="BB68" s="175" t="e">
        <f t="shared" si="939"/>
        <v>#DIV/0!</v>
      </c>
      <c r="BC68" s="126">
        <f t="shared" si="939"/>
        <v>0.75527303312629401</v>
      </c>
      <c r="BD68" s="126">
        <f t="shared" si="939"/>
        <v>0.75527303312629401</v>
      </c>
      <c r="BE68" s="126" t="e">
        <f t="shared" si="939"/>
        <v>#DIV/0!</v>
      </c>
      <c r="BF68" s="126">
        <f t="shared" si="939"/>
        <v>0.61011196190721317</v>
      </c>
      <c r="BG68" s="126">
        <f t="shared" si="939"/>
        <v>0.32916666666666666</v>
      </c>
      <c r="BH68" s="126">
        <f t="shared" si="939"/>
        <v>0.83230355500377406</v>
      </c>
      <c r="BI68" s="175">
        <f t="shared" si="939"/>
        <v>0.90238803108959054</v>
      </c>
      <c r="BJ68" s="126">
        <f t="shared" si="939"/>
        <v>0.67770233225085408</v>
      </c>
      <c r="BK68" s="126">
        <f t="shared" si="939"/>
        <v>0.90309165951264614</v>
      </c>
      <c r="BM68" s="126" t="e">
        <f t="shared" ref="BM68" si="941">BM63/BM60</f>
        <v>#DIV/0!</v>
      </c>
    </row>
    <row r="69" spans="1:65" s="178" customFormat="1">
      <c r="A69" s="128"/>
      <c r="B69" s="5" t="s">
        <v>341</v>
      </c>
      <c r="C69" s="11">
        <f>C60-C63</f>
        <v>449832</v>
      </c>
      <c r="D69" s="11">
        <f t="shared" ref="D69:BK69" si="942">D60-D63</f>
        <v>286203</v>
      </c>
      <c r="E69" s="11">
        <f t="shared" si="942"/>
        <v>-35737</v>
      </c>
      <c r="F69" s="11">
        <f t="shared" si="942"/>
        <v>91583</v>
      </c>
      <c r="G69" s="11">
        <f t="shared" si="942"/>
        <v>20804</v>
      </c>
      <c r="H69" s="11">
        <f t="shared" si="942"/>
        <v>0</v>
      </c>
      <c r="I69" s="11">
        <f t="shared" si="942"/>
        <v>0</v>
      </c>
      <c r="J69" s="11">
        <f t="shared" si="942"/>
        <v>245785</v>
      </c>
      <c r="K69" s="11">
        <f t="shared" si="942"/>
        <v>-34114</v>
      </c>
      <c r="L69" s="11">
        <f t="shared" si="942"/>
        <v>30485</v>
      </c>
      <c r="M69" s="11">
        <f t="shared" si="942"/>
        <v>15699</v>
      </c>
      <c r="N69" s="11">
        <f t="shared" si="942"/>
        <v>658</v>
      </c>
      <c r="O69" s="11">
        <f t="shared" si="942"/>
        <v>-2466</v>
      </c>
      <c r="P69" s="11">
        <f t="shared" si="942"/>
        <v>-1752</v>
      </c>
      <c r="Q69" s="11">
        <f t="shared" si="942"/>
        <v>0</v>
      </c>
      <c r="R69" s="11">
        <f t="shared" si="942"/>
        <v>4695</v>
      </c>
      <c r="S69" s="11">
        <f t="shared" si="942"/>
        <v>0</v>
      </c>
      <c r="T69" s="11">
        <f t="shared" si="942"/>
        <v>0</v>
      </c>
      <c r="U69" s="11">
        <f t="shared" si="942"/>
        <v>0</v>
      </c>
      <c r="V69" s="11">
        <f t="shared" si="942"/>
        <v>0</v>
      </c>
      <c r="W69" s="11">
        <f t="shared" si="942"/>
        <v>0</v>
      </c>
      <c r="X69" s="11">
        <f t="shared" si="942"/>
        <v>0</v>
      </c>
      <c r="Y69" s="11">
        <f t="shared" si="942"/>
        <v>1356</v>
      </c>
      <c r="Z69" s="11">
        <f t="shared" si="942"/>
        <v>1376</v>
      </c>
      <c r="AA69" s="11">
        <f t="shared" si="942"/>
        <v>637</v>
      </c>
      <c r="AB69" s="11">
        <f t="shared" si="942"/>
        <v>1148</v>
      </c>
      <c r="AC69" s="11">
        <f t="shared" si="942"/>
        <v>0</v>
      </c>
      <c r="AD69" s="11">
        <f t="shared" si="942"/>
        <v>1076192</v>
      </c>
      <c r="AE69" s="11">
        <f t="shared" si="942"/>
        <v>-876</v>
      </c>
      <c r="AF69" s="11">
        <f t="shared" si="942"/>
        <v>-144</v>
      </c>
      <c r="AG69" s="11">
        <f t="shared" si="942"/>
        <v>-2025</v>
      </c>
      <c r="AH69" s="11">
        <f t="shared" si="942"/>
        <v>0</v>
      </c>
      <c r="AI69" s="11">
        <f t="shared" si="942"/>
        <v>0</v>
      </c>
      <c r="AJ69" s="11">
        <f t="shared" si="942"/>
        <v>153</v>
      </c>
      <c r="AK69" s="11">
        <f t="shared" si="942"/>
        <v>42172</v>
      </c>
      <c r="AL69" s="11">
        <f t="shared" si="942"/>
        <v>-14713</v>
      </c>
      <c r="AM69" s="11">
        <f t="shared" si="942"/>
        <v>311475</v>
      </c>
      <c r="AN69" s="11">
        <f t="shared" si="942"/>
        <v>4903</v>
      </c>
      <c r="AO69" s="11">
        <f t="shared" si="942"/>
        <v>44359</v>
      </c>
      <c r="AP69" s="11">
        <f t="shared" si="942"/>
        <v>-20115</v>
      </c>
      <c r="AQ69" s="11">
        <f t="shared" si="942"/>
        <v>0</v>
      </c>
      <c r="AR69" s="11">
        <f t="shared" si="942"/>
        <v>0</v>
      </c>
      <c r="AS69" s="11">
        <f t="shared" si="942"/>
        <v>0</v>
      </c>
      <c r="AT69" s="11">
        <f t="shared" si="942"/>
        <v>0</v>
      </c>
      <c r="AU69" s="11">
        <f t="shared" si="942"/>
        <v>0</v>
      </c>
      <c r="AV69" s="11">
        <f t="shared" si="942"/>
        <v>0</v>
      </c>
      <c r="AW69" s="11">
        <f t="shared" si="942"/>
        <v>1089</v>
      </c>
      <c r="AX69" s="11">
        <f t="shared" si="942"/>
        <v>769</v>
      </c>
      <c r="AY69" s="11">
        <f t="shared" si="942"/>
        <v>0</v>
      </c>
      <c r="AZ69" s="11">
        <f t="shared" si="942"/>
        <v>0</v>
      </c>
      <c r="BA69" s="11">
        <f t="shared" si="942"/>
        <v>0</v>
      </c>
      <c r="BB69" s="11">
        <f t="shared" si="942"/>
        <v>0</v>
      </c>
      <c r="BC69" s="11">
        <f t="shared" si="942"/>
        <v>7565</v>
      </c>
      <c r="BD69" s="11">
        <f t="shared" si="942"/>
        <v>7565</v>
      </c>
      <c r="BE69" s="11">
        <f t="shared" si="942"/>
        <v>0</v>
      </c>
      <c r="BF69" s="11">
        <f t="shared" si="942"/>
        <v>24237</v>
      </c>
      <c r="BG69" s="11">
        <f t="shared" si="942"/>
        <v>161</v>
      </c>
      <c r="BH69" s="11">
        <f t="shared" si="942"/>
        <v>406575</v>
      </c>
      <c r="BI69" s="11">
        <f t="shared" si="942"/>
        <v>1482767</v>
      </c>
      <c r="BJ69" s="11">
        <f t="shared" si="942"/>
        <v>15284</v>
      </c>
      <c r="BK69" s="11">
        <f t="shared" si="942"/>
        <v>1467483</v>
      </c>
      <c r="BL69" s="11">
        <f t="shared" ref="BL69:BM69" si="943">BL63-BL60</f>
        <v>13675519</v>
      </c>
      <c r="BM69" s="11">
        <f t="shared" si="943"/>
        <v>1985757</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22"/>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9"/>
      <c r="BJ70" s="5"/>
      <c r="BK70" s="48"/>
    </row>
    <row r="71" spans="1:65" s="266" customFormat="1">
      <c r="A71" s="15" t="s">
        <v>139</v>
      </c>
      <c r="B71" s="11" t="s">
        <v>336</v>
      </c>
      <c r="C71" s="267">
        <v>5935137</v>
      </c>
      <c r="D71" s="120">
        <v>2882429</v>
      </c>
      <c r="E71" s="120">
        <v>221616</v>
      </c>
      <c r="F71" s="120">
        <v>763448</v>
      </c>
      <c r="G71" s="120">
        <v>398196</v>
      </c>
      <c r="H71" s="120"/>
      <c r="I71" s="120"/>
      <c r="J71" s="120">
        <v>809127</v>
      </c>
      <c r="K71" s="120">
        <v>144057</v>
      </c>
      <c r="L71" s="120">
        <v>327310</v>
      </c>
      <c r="M71" s="120">
        <v>213259</v>
      </c>
      <c r="N71" s="120">
        <v>1451</v>
      </c>
      <c r="O71" s="120">
        <v>19240</v>
      </c>
      <c r="P71" s="120">
        <v>286296</v>
      </c>
      <c r="Q71" s="120"/>
      <c r="R71" s="120">
        <v>18894</v>
      </c>
      <c r="S71" s="120"/>
      <c r="T71" s="120"/>
      <c r="U71" s="120"/>
      <c r="V71" s="268"/>
      <c r="W71" s="120"/>
      <c r="X71" s="120"/>
      <c r="Y71" s="120">
        <v>17725</v>
      </c>
      <c r="Z71" s="120">
        <v>4770</v>
      </c>
      <c r="AA71" s="120">
        <v>5834</v>
      </c>
      <c r="AB71" s="120">
        <v>6423</v>
      </c>
      <c r="AC71" s="268"/>
      <c r="AD71" s="121">
        <f t="shared" ref="AD71" si="944">SUM(C71:AC71)</f>
        <v>12055212</v>
      </c>
      <c r="AE71" s="120">
        <v>15259</v>
      </c>
      <c r="AF71" s="120">
        <v>1361</v>
      </c>
      <c r="AG71" s="120">
        <v>49394</v>
      </c>
      <c r="AH71" s="120"/>
      <c r="AI71" s="120"/>
      <c r="AJ71" s="120">
        <v>36516</v>
      </c>
      <c r="AK71" s="120">
        <v>43732</v>
      </c>
      <c r="AL71" s="120">
        <v>36105</v>
      </c>
      <c r="AM71" s="120"/>
      <c r="AN71" s="120">
        <v>0</v>
      </c>
      <c r="AO71" s="268">
        <v>430033</v>
      </c>
      <c r="AP71" s="120">
        <v>16374589</v>
      </c>
      <c r="AQ71" s="268"/>
      <c r="AR71" s="120"/>
      <c r="AS71" s="120"/>
      <c r="AT71" s="120"/>
      <c r="AU71" s="120"/>
      <c r="AV71" s="120"/>
      <c r="AW71" s="120">
        <v>997</v>
      </c>
      <c r="AX71" s="120">
        <v>2679</v>
      </c>
      <c r="AY71" s="120"/>
      <c r="AZ71" s="120"/>
      <c r="BA71" s="120"/>
      <c r="BB71" s="268"/>
      <c r="BC71" s="120">
        <v>30320</v>
      </c>
      <c r="BD71" s="120">
        <v>30320</v>
      </c>
      <c r="BE71" s="120"/>
      <c r="BF71" s="120">
        <v>20369</v>
      </c>
      <c r="BG71" s="120">
        <v>45114</v>
      </c>
      <c r="BH71" s="120">
        <f t="shared" ref="BH71" si="945">SUM(AE71:BG71)</f>
        <v>17116788</v>
      </c>
      <c r="BI71" s="125">
        <f t="shared" ref="BI71:BI72" si="946">AD71+BH71</f>
        <v>29172000</v>
      </c>
      <c r="BJ71" s="269">
        <v>0</v>
      </c>
      <c r="BK71" s="277">
        <f>BI71-BJ71</f>
        <v>29172000</v>
      </c>
    </row>
    <row r="72" spans="1:65" s="41" customFormat="1">
      <c r="A72" s="134" t="s">
        <v>139</v>
      </c>
      <c r="B72" s="210" t="s">
        <v>429</v>
      </c>
      <c r="C72" s="267">
        <v>5444001</v>
      </c>
      <c r="D72" s="120">
        <v>2590629</v>
      </c>
      <c r="E72" s="120">
        <v>221616</v>
      </c>
      <c r="F72" s="120">
        <v>701879</v>
      </c>
      <c r="G72" s="120">
        <v>373022</v>
      </c>
      <c r="H72" s="120"/>
      <c r="I72" s="120">
        <v>0</v>
      </c>
      <c r="J72" s="120">
        <v>726895</v>
      </c>
      <c r="K72" s="120">
        <v>127483</v>
      </c>
      <c r="L72" s="120">
        <v>278329</v>
      </c>
      <c r="M72" s="120">
        <v>197863</v>
      </c>
      <c r="N72" s="120">
        <v>1281</v>
      </c>
      <c r="O72" s="120">
        <v>16863</v>
      </c>
      <c r="P72" s="120">
        <v>250763</v>
      </c>
      <c r="Q72" s="120"/>
      <c r="R72" s="120">
        <v>17381</v>
      </c>
      <c r="S72" s="120"/>
      <c r="T72" s="120"/>
      <c r="U72" s="120"/>
      <c r="V72" s="268"/>
      <c r="W72" s="120"/>
      <c r="X72" s="120"/>
      <c r="Y72" s="120">
        <v>17725</v>
      </c>
      <c r="Z72" s="120">
        <v>4770</v>
      </c>
      <c r="AA72" s="120">
        <v>4937</v>
      </c>
      <c r="AB72" s="120">
        <v>5908</v>
      </c>
      <c r="AC72" s="268"/>
      <c r="AD72" s="121">
        <f t="shared" ref="AD72" si="947">SUM(C72:AC72)</f>
        <v>10981345</v>
      </c>
      <c r="AE72" s="120">
        <v>13704</v>
      </c>
      <c r="AF72" s="120">
        <v>1251</v>
      </c>
      <c r="AG72" s="120">
        <v>39807</v>
      </c>
      <c r="AH72" s="120"/>
      <c r="AI72" s="120"/>
      <c r="AJ72" s="120">
        <v>30931</v>
      </c>
      <c r="AK72" s="120">
        <v>38023</v>
      </c>
      <c r="AL72" s="120">
        <v>32256</v>
      </c>
      <c r="AM72" s="120"/>
      <c r="AN72" s="120">
        <v>0</v>
      </c>
      <c r="AO72" s="268">
        <v>400199</v>
      </c>
      <c r="AP72" s="120">
        <v>15801603</v>
      </c>
      <c r="AQ72" s="268"/>
      <c r="AR72" s="120"/>
      <c r="AS72" s="120"/>
      <c r="AT72" s="120"/>
      <c r="AU72" s="120"/>
      <c r="AV72" s="120"/>
      <c r="AW72" s="120">
        <v>747</v>
      </c>
      <c r="AX72" s="120">
        <v>2501</v>
      </c>
      <c r="AY72" s="120"/>
      <c r="AZ72" s="120"/>
      <c r="BA72" s="120"/>
      <c r="BB72" s="268"/>
      <c r="BC72" s="120">
        <v>27221</v>
      </c>
      <c r="BD72" s="120">
        <v>27221</v>
      </c>
      <c r="BE72" s="120"/>
      <c r="BF72" s="120">
        <v>17154</v>
      </c>
      <c r="BG72" s="120">
        <v>34158</v>
      </c>
      <c r="BH72" s="10">
        <f>SUM(AE72:BG72)</f>
        <v>16466776</v>
      </c>
      <c r="BI72" s="249">
        <f t="shared" si="946"/>
        <v>27448121</v>
      </c>
      <c r="BJ72" s="269">
        <v>0</v>
      </c>
      <c r="BK72" s="10">
        <f t="shared" ref="BK72" si="948">BI72-BJ72</f>
        <v>27448121</v>
      </c>
      <c r="BM72" s="211"/>
    </row>
    <row r="73" spans="1:65">
      <c r="A73" s="128"/>
      <c r="B73" s="12" t="s">
        <v>430</v>
      </c>
      <c r="C73" s="9">
        <f>IF('Upto Month COPPY'!$H$4="",0,'Upto Month COPPY'!$H$4)</f>
        <v>5169128</v>
      </c>
      <c r="D73" s="9">
        <f>IF('Upto Month COPPY'!$H$5="",0,'Upto Month COPPY'!$H$5)</f>
        <v>2051996</v>
      </c>
      <c r="E73" s="9">
        <f>IF('Upto Month COPPY'!$H$6="",0,'Upto Month COPPY'!$H$6)</f>
        <v>216953</v>
      </c>
      <c r="F73" s="9">
        <f>IF('Upto Month COPPY'!$H$7="",0,'Upto Month COPPY'!$H$7)</f>
        <v>654113</v>
      </c>
      <c r="G73" s="9">
        <f>IF('Upto Month COPPY'!$H$8="",0,'Upto Month COPPY'!$H$8)</f>
        <v>325421</v>
      </c>
      <c r="H73" s="9">
        <f>IF('Upto Month COPPY'!$H$9="",0,'Upto Month COPPY'!$H$9)</f>
        <v>0</v>
      </c>
      <c r="I73" s="9">
        <f>IF('Upto Month COPPY'!$H$10="",0,'Upto Month COPPY'!$H$10)</f>
        <v>0</v>
      </c>
      <c r="J73" s="9">
        <f>IF('Upto Month COPPY'!$H$11="",0,'Upto Month COPPY'!$H$11)</f>
        <v>670275</v>
      </c>
      <c r="K73" s="9">
        <f>IF('Upto Month COPPY'!$H$12="",0,'Upto Month COPPY'!$H$12)</f>
        <v>101973</v>
      </c>
      <c r="L73" s="9">
        <f>IF('Upto Month COPPY'!$H$13="",0,'Upto Month COPPY'!$H$13)</f>
        <v>198887</v>
      </c>
      <c r="M73" s="9">
        <f>IF('Upto Month COPPY'!$H$14="",0,'Upto Month COPPY'!$H$14)</f>
        <v>191185</v>
      </c>
      <c r="N73" s="9">
        <f>IF('Upto Month COPPY'!$H$15="",0,'Upto Month COPPY'!$H$15)</f>
        <v>928</v>
      </c>
      <c r="O73" s="9">
        <f>IF('Upto Month COPPY'!$H$16="",0,'Upto Month COPPY'!$H$16)</f>
        <v>16670</v>
      </c>
      <c r="P73" s="9">
        <f>IF('Upto Month COPPY'!$H$17="",0,'Upto Month COPPY'!$H$17)</f>
        <v>248941</v>
      </c>
      <c r="Q73" s="9">
        <f>IF('Upto Month COPPY'!$H$18="",0,'Upto Month COPPY'!$H$18)</f>
        <v>0</v>
      </c>
      <c r="R73" s="9">
        <f>IF('Upto Month COPPY'!$H$21="",0,'Upto Month COPPY'!$H$21)</f>
        <v>15723</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19114</v>
      </c>
      <c r="Z73" s="9">
        <f>IF('Upto Month COPPY'!$H$43="",0,'Upto Month COPPY'!$H$43)</f>
        <v>4519</v>
      </c>
      <c r="AA73" s="9">
        <f>IF('Upto Month COPPY'!$H$44="",0,'Upto Month COPPY'!$H$44)</f>
        <v>4984</v>
      </c>
      <c r="AB73" s="9">
        <f>IF('Upto Month COPPY'!$H$48="",0,'Upto Month COPPY'!$H$48)</f>
        <v>96</v>
      </c>
      <c r="AC73" s="9">
        <f>IF('Upto Month COPPY'!$H$51="",0,'Upto Month COPPY'!$H$51)</f>
        <v>0</v>
      </c>
      <c r="AD73" s="221">
        <f t="shared" ref="AD73:AD74" si="949">SUM(C73:AC73)</f>
        <v>9890906</v>
      </c>
      <c r="AE73" s="9">
        <f>IF('Upto Month COPPY'!$H$19="",0,'Upto Month COPPY'!$H$19)</f>
        <v>13572</v>
      </c>
      <c r="AF73" s="9">
        <f>IF('Upto Month COPPY'!$H$20="",0,'Upto Month COPPY'!$H$20)</f>
        <v>1183</v>
      </c>
      <c r="AG73" s="9">
        <f>IF('Upto Month COPPY'!$H$22="",0,'Upto Month COPPY'!$H$22)</f>
        <v>41448</v>
      </c>
      <c r="AH73" s="9">
        <f>IF('Upto Month COPPY'!$H$23="",0,'Upto Month COPPY'!$H$23)</f>
        <v>0</v>
      </c>
      <c r="AI73" s="9">
        <f>IF('Upto Month COPPY'!$H$24="",0,'Upto Month COPPY'!$H$24)</f>
        <v>0</v>
      </c>
      <c r="AJ73" s="9">
        <f>IF('Upto Month COPPY'!$H$25="",0,'Upto Month COPPY'!$H$25)</f>
        <v>23724</v>
      </c>
      <c r="AK73" s="9">
        <f>IF('Upto Month COPPY'!$H$28="",0,'Upto Month COPPY'!$H$28)</f>
        <v>33657</v>
      </c>
      <c r="AL73" s="9">
        <f>IF('Upto Month COPPY'!$H$29="",0,'Upto Month COPPY'!$H$29)</f>
        <v>35671</v>
      </c>
      <c r="AM73" s="9">
        <f>IF('Upto Month COPPY'!$H$31="",0,'Upto Month COPPY'!$H$31)</f>
        <v>0</v>
      </c>
      <c r="AN73" s="9">
        <f>IF('Upto Month COPPY'!$H$32="",0,'Upto Month COPPY'!$H$32)</f>
        <v>0</v>
      </c>
      <c r="AO73" s="9">
        <f>IF('Upto Month COPPY'!$H$33="",0,'Upto Month COPPY'!$H$33)</f>
        <v>439054</v>
      </c>
      <c r="AP73" s="9">
        <f>IF('Upto Month COPPY'!$H$34="",0,'Upto Month COPPY'!$H$34)</f>
        <v>16849564</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1361</v>
      </c>
      <c r="AX73" s="9">
        <f>IF('Upto Month COPPY'!$H$46="",0,'Upto Month COPPY'!$H$46)</f>
        <v>1503</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26949</v>
      </c>
      <c r="BD73" s="9">
        <f>IF('Upto Month COPPY'!$H$54="",0,'Upto Month COPPY'!$H$54)</f>
        <v>26949</v>
      </c>
      <c r="BE73" s="9">
        <f>IF('Upto Month COPPY'!$H$55="",0,'Upto Month COPPY'!$H$55)</f>
        <v>0</v>
      </c>
      <c r="BF73" s="9">
        <f>IF('Upto Month COPPY'!$H$56="",0,'Upto Month COPPY'!$H$56)</f>
        <v>14994</v>
      </c>
      <c r="BG73" s="9">
        <f>IF('Upto Month COPPY'!$H$58="",0,'Upto Month COPPY'!$H$58)</f>
        <v>35052</v>
      </c>
      <c r="BH73" s="9">
        <f>SUM(AE73:BG73)</f>
        <v>17544681</v>
      </c>
      <c r="BI73" s="275">
        <f>AD73+BH73</f>
        <v>27435587</v>
      </c>
      <c r="BJ73" s="9">
        <f>IF('Upto Month COPPY'!$H$60="",0,'Upto Month COPPY'!$H$60)</f>
        <v>72</v>
      </c>
      <c r="BK73" s="49">
        <f t="shared" ref="BK73:BK74" si="950">BI73-BJ73</f>
        <v>27435515</v>
      </c>
      <c r="BL73">
        <f>'Upto Month COPPY'!$H$61</f>
        <v>27435515</v>
      </c>
      <c r="BM73" s="30">
        <f t="shared" ref="BM73:BM77" si="951">BK73-AD73</f>
        <v>17544609</v>
      </c>
    </row>
    <row r="74" spans="1:65">
      <c r="A74" s="128"/>
      <c r="B74" s="180" t="s">
        <v>431</v>
      </c>
      <c r="C74" s="9">
        <f>IF('Upto Month Current'!$H$4="",0,'Upto Month Current'!$H$4)</f>
        <v>5492484</v>
      </c>
      <c r="D74" s="9">
        <f>IF('Upto Month Current'!$H$5="",0,'Upto Month Current'!$H$5)</f>
        <v>2696365</v>
      </c>
      <c r="E74" s="9">
        <f>IF('Upto Month Current'!$H$6="",0,'Upto Month Current'!$H$6)</f>
        <v>208113</v>
      </c>
      <c r="F74" s="9">
        <f>IF('Upto Month Current'!$H$7="",0,'Upto Month Current'!$H$7)</f>
        <v>700213</v>
      </c>
      <c r="G74" s="9">
        <f>IF('Upto Month Current'!$H$8="",0,'Upto Month Current'!$H$8)</f>
        <v>356175</v>
      </c>
      <c r="H74" s="9">
        <f>IF('Upto Month Current'!$H$9="",0,'Upto Month Current'!$H$9)</f>
        <v>0</v>
      </c>
      <c r="I74" s="9">
        <f>IF('Upto Month Current'!$H$10="",0,'Upto Month Current'!$H$10)</f>
        <v>0</v>
      </c>
      <c r="J74" s="9">
        <f>IF('Upto Month Current'!$H$11="",0,'Upto Month Current'!$H$11)</f>
        <v>780112</v>
      </c>
      <c r="K74" s="9">
        <f>IF('Upto Month Current'!$H$12="",0,'Upto Month Current'!$H$12)</f>
        <v>119220</v>
      </c>
      <c r="L74" s="9">
        <f>IF('Upto Month Current'!$H$13="",0,'Upto Month Current'!$H$13)</f>
        <v>302587</v>
      </c>
      <c r="M74" s="9">
        <f>IF('Upto Month Current'!$H$14="",0,'Upto Month Current'!$H$14)</f>
        <v>209388</v>
      </c>
      <c r="N74" s="9">
        <f>IF('Upto Month Current'!$H$15="",0,'Upto Month Current'!$H$15)</f>
        <v>1062</v>
      </c>
      <c r="O74" s="9">
        <f>IF('Upto Month Current'!$H$16="",0,'Upto Month Current'!$H$16)</f>
        <v>23956</v>
      </c>
      <c r="P74" s="9">
        <f>IF('Upto Month Current'!$H$17="",0,'Upto Month Current'!$H$17)</f>
        <v>284351</v>
      </c>
      <c r="Q74" s="9">
        <f>IF('Upto Month Current'!$H$18="",0,'Upto Month Current'!$H$18)</f>
        <v>0</v>
      </c>
      <c r="R74" s="9">
        <f>IF('Upto Month Current'!$H$21="",0,'Upto Month Current'!$H$21)</f>
        <v>22526</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-1</v>
      </c>
      <c r="X74" s="9">
        <f>IF('Upto Month Current'!$H$40="",0,'Upto Month Current'!$H$40)</f>
        <v>0</v>
      </c>
      <c r="Y74" s="9">
        <f>IF('Upto Month Current'!$H$42="",0,'Upto Month Current'!$H$42)</f>
        <v>12038</v>
      </c>
      <c r="Z74" s="9">
        <f>IF('Upto Month Current'!$H$43="",0,'Upto Month Current'!$H$43)</f>
        <v>3550</v>
      </c>
      <c r="AA74" s="9">
        <f>IF('Upto Month Current'!$H$44="",0,'Upto Month Current'!$H$44)</f>
        <v>4466</v>
      </c>
      <c r="AB74" s="9">
        <f>IF('Upto Month Current'!$H$48="",0,'Upto Month Current'!$H$48)</f>
        <v>4</v>
      </c>
      <c r="AC74" s="9">
        <f>IF('Upto Month Current'!$H$51="",0,'Upto Month Current'!$H$51)</f>
        <v>0</v>
      </c>
      <c r="AD74" s="221">
        <f t="shared" si="949"/>
        <v>11216609</v>
      </c>
      <c r="AE74" s="9">
        <f>IF('Upto Month Current'!$H$19="",0,'Upto Month Current'!$H$19)</f>
        <v>15511</v>
      </c>
      <c r="AF74" s="9">
        <f>IF('Upto Month Current'!$H$20="",0,'Upto Month Current'!$H$20)</f>
        <v>2749</v>
      </c>
      <c r="AG74" s="9">
        <f>IF('Upto Month Current'!$H$22="",0,'Upto Month Current'!$H$22)</f>
        <v>36442</v>
      </c>
      <c r="AH74" s="9">
        <f>IF('Upto Month Current'!$H$23="",0,'Upto Month Current'!$H$23)</f>
        <v>0</v>
      </c>
      <c r="AI74" s="9">
        <f>IF('Upto Month Current'!$H$24="",0,'Upto Month Current'!$H$24)</f>
        <v>0</v>
      </c>
      <c r="AJ74" s="9">
        <f>IF('Upto Month Current'!$H$25="",0,'Upto Month Current'!$H$25)</f>
        <v>20315</v>
      </c>
      <c r="AK74" s="9">
        <f>IF('Upto Month Current'!$H$28="",0,'Upto Month Current'!$H$28)</f>
        <v>34947</v>
      </c>
      <c r="AL74" s="9">
        <f>IF('Upto Month Current'!$H$29="",0,'Upto Month Current'!$H$29)</f>
        <v>68606</v>
      </c>
      <c r="AM74" s="9">
        <f>IF('Upto Month Current'!$H$31="",0,'Upto Month Current'!$H$31)</f>
        <v>0</v>
      </c>
      <c r="AN74" s="9">
        <f>IF('Upto Month Current'!$H$32="",0,'Upto Month Current'!$H$32)</f>
        <v>0</v>
      </c>
      <c r="AO74" s="9">
        <f>IF('Upto Month Current'!$H$33="",0,'Upto Month Current'!$H$33)</f>
        <v>491395</v>
      </c>
      <c r="AP74" s="9">
        <f>IF('Upto Month Current'!$H$34="",0,'Upto Month Current'!$H$34)</f>
        <v>-4291</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262</v>
      </c>
      <c r="AX74" s="9">
        <f>IF('Upto Month Current'!$H$46="",0,'Upto Month Current'!$H$46)</f>
        <v>2421</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20336</v>
      </c>
      <c r="BD74" s="9">
        <f>IF('Upto Month Current'!$H$54="",0,'Upto Month Current'!$H$54)</f>
        <v>20336</v>
      </c>
      <c r="BE74" s="9">
        <f>IF('Upto Month Current'!$H$55="",0,'Upto Month Current'!$H$55)</f>
        <v>0</v>
      </c>
      <c r="BF74" s="9">
        <f>IF('Upto Month Current'!$H$56="",0,'Upto Month Current'!$H$56)</f>
        <v>12091</v>
      </c>
      <c r="BG74" s="9">
        <f>IF('Upto Month Current'!$H$58="",0,'Upto Month Current'!$H$58)</f>
        <v>47802</v>
      </c>
      <c r="BH74" s="9">
        <f>SUM(AE74:BG74)</f>
        <v>768922</v>
      </c>
      <c r="BI74" s="275">
        <f>AD74+BH74</f>
        <v>11985531</v>
      </c>
      <c r="BJ74" s="9">
        <f>IF('Upto Month Current'!$H$60="",0,'Upto Month Current'!$H$60)</f>
        <v>105</v>
      </c>
      <c r="BK74" s="49">
        <f t="shared" si="950"/>
        <v>11985426</v>
      </c>
      <c r="BL74">
        <f>'Upto Month Current'!$H$61</f>
        <v>11985426</v>
      </c>
      <c r="BM74" s="30">
        <f t="shared" si="951"/>
        <v>768817</v>
      </c>
    </row>
    <row r="75" spans="1:65">
      <c r="A75" s="128"/>
      <c r="B75" s="5" t="s">
        <v>130</v>
      </c>
      <c r="C75" s="11">
        <f>C74-C72</f>
        <v>48483</v>
      </c>
      <c r="D75" s="11">
        <f t="shared" ref="D75" si="952">D74-D72</f>
        <v>105736</v>
      </c>
      <c r="E75" s="11">
        <f t="shared" ref="E75" si="953">E74-E72</f>
        <v>-13503</v>
      </c>
      <c r="F75" s="11">
        <f t="shared" ref="F75" si="954">F74-F72</f>
        <v>-1666</v>
      </c>
      <c r="G75" s="11">
        <f t="shared" ref="G75" si="955">G74-G72</f>
        <v>-16847</v>
      </c>
      <c r="H75" s="11">
        <f t="shared" ref="H75" si="956">H74-H72</f>
        <v>0</v>
      </c>
      <c r="I75" s="11">
        <f t="shared" ref="I75" si="957">I74-I72</f>
        <v>0</v>
      </c>
      <c r="J75" s="11">
        <f t="shared" ref="J75" si="958">J74-J72</f>
        <v>53217</v>
      </c>
      <c r="K75" s="11">
        <f t="shared" ref="K75" si="959">K74-K72</f>
        <v>-8263</v>
      </c>
      <c r="L75" s="11">
        <f t="shared" ref="L75" si="960">L74-L72</f>
        <v>24258</v>
      </c>
      <c r="M75" s="11">
        <f t="shared" ref="M75" si="961">M74-M72</f>
        <v>11525</v>
      </c>
      <c r="N75" s="11">
        <f t="shared" ref="N75" si="962">N74-N72</f>
        <v>-219</v>
      </c>
      <c r="O75" s="11">
        <f t="shared" ref="O75" si="963">O74-O72</f>
        <v>7093</v>
      </c>
      <c r="P75" s="11">
        <f t="shared" ref="P75" si="964">P74-P72</f>
        <v>33588</v>
      </c>
      <c r="Q75" s="11">
        <f t="shared" ref="Q75" si="965">Q74-Q72</f>
        <v>0</v>
      </c>
      <c r="R75" s="11">
        <f t="shared" ref="R75" si="966">R74-R72</f>
        <v>5145</v>
      </c>
      <c r="S75" s="11">
        <f t="shared" ref="S75" si="967">S74-S72</f>
        <v>0</v>
      </c>
      <c r="T75" s="11">
        <f t="shared" ref="T75:U75" si="968">T74-T72</f>
        <v>0</v>
      </c>
      <c r="U75" s="11">
        <f t="shared" si="968"/>
        <v>0</v>
      </c>
      <c r="V75" s="9">
        <f t="shared" ref="V75" si="969">V74-V72</f>
        <v>0</v>
      </c>
      <c r="W75" s="11">
        <f t="shared" ref="W75" si="970">W74-W72</f>
        <v>-1</v>
      </c>
      <c r="X75" s="11">
        <f t="shared" ref="X75" si="971">X74-X72</f>
        <v>0</v>
      </c>
      <c r="Y75" s="11">
        <f t="shared" ref="Y75" si="972">Y74-Y72</f>
        <v>-5687</v>
      </c>
      <c r="Z75" s="11">
        <f t="shared" ref="Z75" si="973">Z74-Z72</f>
        <v>-1220</v>
      </c>
      <c r="AA75" s="11">
        <f t="shared" ref="AA75:AD75" si="974">AA74-AA72</f>
        <v>-471</v>
      </c>
      <c r="AB75" s="11">
        <f t="shared" ref="AB75" si="975">AB74-AB72</f>
        <v>-5904</v>
      </c>
      <c r="AC75" s="9">
        <f t="shared" si="974"/>
        <v>0</v>
      </c>
      <c r="AD75" s="216">
        <f t="shared" si="974"/>
        <v>235264</v>
      </c>
      <c r="AE75" s="11">
        <f t="shared" ref="AE75" si="976">AE74-AE72</f>
        <v>1807</v>
      </c>
      <c r="AF75" s="11">
        <f t="shared" ref="AF75" si="977">AF74-AF72</f>
        <v>1498</v>
      </c>
      <c r="AG75" s="11">
        <f t="shared" ref="AG75" si="978">AG74-AG72</f>
        <v>-3365</v>
      </c>
      <c r="AH75" s="11">
        <f t="shared" ref="AH75" si="979">AH74-AH72</f>
        <v>0</v>
      </c>
      <c r="AI75" s="11">
        <f t="shared" ref="AI75" si="980">AI74-AI72</f>
        <v>0</v>
      </c>
      <c r="AJ75" s="11">
        <f t="shared" ref="AJ75" si="981">AJ74-AJ72</f>
        <v>-10616</v>
      </c>
      <c r="AK75" s="11">
        <f t="shared" ref="AK75" si="982">AK74-AK72</f>
        <v>-3076</v>
      </c>
      <c r="AL75" s="11">
        <f t="shared" ref="AL75" si="983">AL74-AL72</f>
        <v>36350</v>
      </c>
      <c r="AM75" s="11">
        <f t="shared" ref="AM75" si="984">AM74-AM72</f>
        <v>0</v>
      </c>
      <c r="AN75" s="11">
        <f t="shared" ref="AN75" si="985">AN74-AN72</f>
        <v>0</v>
      </c>
      <c r="AO75" s="9">
        <f t="shared" ref="AO75" si="986">AO74-AO72</f>
        <v>91196</v>
      </c>
      <c r="AP75" s="11">
        <f t="shared" ref="AP75" si="987">AP74-AP72</f>
        <v>-15805894</v>
      </c>
      <c r="AQ75" s="9">
        <f t="shared" ref="AQ75" si="988">AQ74-AQ72</f>
        <v>0</v>
      </c>
      <c r="AR75" s="11">
        <f t="shared" ref="AR75" si="989">AR74-AR72</f>
        <v>0</v>
      </c>
      <c r="AS75" s="11">
        <f t="shared" ref="AS75" si="990">AS74-AS72</f>
        <v>0</v>
      </c>
      <c r="AT75" s="11">
        <f t="shared" ref="AT75" si="991">AT74-AT72</f>
        <v>0</v>
      </c>
      <c r="AU75" s="11">
        <f t="shared" ref="AU75" si="992">AU74-AU72</f>
        <v>0</v>
      </c>
      <c r="AV75" s="11">
        <f t="shared" ref="AV75" si="993">AV74-AV72</f>
        <v>0</v>
      </c>
      <c r="AW75" s="11">
        <f t="shared" ref="AW75" si="994">AW74-AW72</f>
        <v>-485</v>
      </c>
      <c r="AX75" s="11">
        <f t="shared" ref="AX75" si="995">AX74-AX72</f>
        <v>-80</v>
      </c>
      <c r="AY75" s="11">
        <f t="shared" ref="AY75" si="996">AY74-AY72</f>
        <v>0</v>
      </c>
      <c r="AZ75" s="11">
        <f t="shared" ref="AZ75" si="997">AZ74-AZ72</f>
        <v>0</v>
      </c>
      <c r="BA75" s="11">
        <f t="shared" ref="BA75" si="998">BA74-BA72</f>
        <v>0</v>
      </c>
      <c r="BB75" s="9">
        <f t="shared" ref="BB75" si="999">BB74-BB72</f>
        <v>0</v>
      </c>
      <c r="BC75" s="11">
        <f t="shared" ref="BC75" si="1000">BC74-BC72</f>
        <v>-6885</v>
      </c>
      <c r="BD75" s="11">
        <f t="shared" ref="BD75" si="1001">BD74-BD72</f>
        <v>-6885</v>
      </c>
      <c r="BE75" s="11">
        <f t="shared" ref="BE75" si="1002">BE74-BE72</f>
        <v>0</v>
      </c>
      <c r="BF75" s="11">
        <f t="shared" ref="BF75" si="1003">BF74-BF72</f>
        <v>-5063</v>
      </c>
      <c r="BG75" s="11">
        <f t="shared" ref="BG75:BH75" si="1004">BG74-BG72</f>
        <v>13644</v>
      </c>
      <c r="BH75" s="9">
        <f t="shared" si="1004"/>
        <v>-15697854</v>
      </c>
      <c r="BI75" s="9">
        <f t="shared" ref="BI75" si="1005">BI74-BI72</f>
        <v>-15462590</v>
      </c>
      <c r="BJ75" s="11">
        <f t="shared" ref="BJ75:BK75" si="1006">BJ74-BJ72</f>
        <v>105</v>
      </c>
      <c r="BK75" s="49">
        <f t="shared" si="1006"/>
        <v>-15462695</v>
      </c>
      <c r="BM75" s="30">
        <f t="shared" si="951"/>
        <v>-15697959</v>
      </c>
    </row>
    <row r="76" spans="1:65">
      <c r="A76" s="128"/>
      <c r="B76" s="5" t="s">
        <v>131</v>
      </c>
      <c r="C76" s="13">
        <f>C75/C72</f>
        <v>8.9057661818945297E-3</v>
      </c>
      <c r="D76" s="13">
        <f t="shared" ref="D76" si="1007">D75/D72</f>
        <v>4.0814798259418854E-2</v>
      </c>
      <c r="E76" s="13">
        <f t="shared" ref="E76" si="1008">E75/E72</f>
        <v>-6.0929716265973578E-2</v>
      </c>
      <c r="F76" s="13">
        <f t="shared" ref="F76" si="1009">F75/F72</f>
        <v>-2.3736285029185944E-3</v>
      </c>
      <c r="G76" s="13">
        <f t="shared" ref="G76" si="1010">G75/G72</f>
        <v>-4.5163556036909351E-2</v>
      </c>
      <c r="H76" s="13" t="e">
        <f t="shared" ref="H76" si="1011">H75/H72</f>
        <v>#DIV/0!</v>
      </c>
      <c r="I76" s="13" t="e">
        <f t="shared" ref="I76" si="1012">I75/I72</f>
        <v>#DIV/0!</v>
      </c>
      <c r="J76" s="13">
        <f t="shared" ref="J76" si="1013">J75/J72</f>
        <v>7.3211399170444155E-2</v>
      </c>
      <c r="K76" s="13">
        <f t="shared" ref="K76" si="1014">K75/K72</f>
        <v>-6.4816485335299615E-2</v>
      </c>
      <c r="L76" s="13">
        <f t="shared" ref="L76" si="1015">L75/L72</f>
        <v>8.7155847935357078E-2</v>
      </c>
      <c r="M76" s="13">
        <f t="shared" ref="M76" si="1016">M75/M72</f>
        <v>5.8247373182454529E-2</v>
      </c>
      <c r="N76" s="13">
        <f t="shared" ref="N76" si="1017">N75/N72</f>
        <v>-0.17096018735362997</v>
      </c>
      <c r="O76" s="13">
        <f t="shared" ref="O76" si="1018">O75/O72</f>
        <v>0.42062503706339321</v>
      </c>
      <c r="P76" s="13">
        <f t="shared" ref="P76" si="1019">P75/P72</f>
        <v>0.13394320533731052</v>
      </c>
      <c r="Q76" s="13" t="e">
        <f t="shared" ref="Q76" si="1020">Q75/Q72</f>
        <v>#DIV/0!</v>
      </c>
      <c r="R76" s="13">
        <f t="shared" ref="R76" si="1021">R75/R72</f>
        <v>0.29601288763592426</v>
      </c>
      <c r="S76" s="13" t="e">
        <f t="shared" ref="S76" si="1022">S75/S72</f>
        <v>#DIV/0!</v>
      </c>
      <c r="T76" s="13" t="e">
        <f t="shared" ref="T76:U76" si="1023">T75/T72</f>
        <v>#DIV/0!</v>
      </c>
      <c r="U76" s="13" t="e">
        <f t="shared" si="1023"/>
        <v>#DIV/0!</v>
      </c>
      <c r="V76" s="160" t="e">
        <f t="shared" ref="V76" si="1024">V75/V72</f>
        <v>#DIV/0!</v>
      </c>
      <c r="W76" s="13" t="e">
        <f t="shared" ref="W76" si="1025">W75/W72</f>
        <v>#DIV/0!</v>
      </c>
      <c r="X76" s="13" t="e">
        <f t="shared" ref="X76" si="1026">X75/X72</f>
        <v>#DIV/0!</v>
      </c>
      <c r="Y76" s="13">
        <f t="shared" ref="Y76" si="1027">Y75/Y72</f>
        <v>-0.32084626234132579</v>
      </c>
      <c r="Z76" s="13">
        <f t="shared" ref="Z76" si="1028">Z75/Z72</f>
        <v>-0.25576519916142559</v>
      </c>
      <c r="AA76" s="13">
        <f t="shared" ref="AA76:AD76" si="1029">AA75/AA72</f>
        <v>-9.5402066032003241E-2</v>
      </c>
      <c r="AB76" s="13">
        <f t="shared" ref="AB76" si="1030">AB75/AB72</f>
        <v>-0.99932295192958698</v>
      </c>
      <c r="AC76" s="160" t="e">
        <f t="shared" si="1029"/>
        <v>#DIV/0!</v>
      </c>
      <c r="AD76" s="217">
        <f t="shared" si="1029"/>
        <v>2.142396946822088E-2</v>
      </c>
      <c r="AE76" s="13">
        <f t="shared" ref="AE76" si="1031">AE75/AE72</f>
        <v>0.13185931115002919</v>
      </c>
      <c r="AF76" s="13">
        <f t="shared" ref="AF76" si="1032">AF75/AF72</f>
        <v>1.1974420463629096</v>
      </c>
      <c r="AG76" s="13">
        <f t="shared" ref="AG76" si="1033">AG75/AG72</f>
        <v>-8.4532871103072324E-2</v>
      </c>
      <c r="AH76" s="13" t="e">
        <f t="shared" ref="AH76" si="1034">AH75/AH72</f>
        <v>#DIV/0!</v>
      </c>
      <c r="AI76" s="13" t="e">
        <f t="shared" ref="AI76" si="1035">AI75/AI72</f>
        <v>#DIV/0!</v>
      </c>
      <c r="AJ76" s="13">
        <f t="shared" ref="AJ76" si="1036">AJ75/AJ72</f>
        <v>-0.34321554427596912</v>
      </c>
      <c r="AK76" s="13">
        <f t="shared" ref="AK76" si="1037">AK75/AK72</f>
        <v>-8.0898403597822369E-2</v>
      </c>
      <c r="AL76" s="13">
        <f t="shared" ref="AL76" si="1038">AL75/AL72</f>
        <v>1.126922123015873</v>
      </c>
      <c r="AM76" s="13" t="e">
        <f t="shared" ref="AM76" si="1039">AM75/AM72</f>
        <v>#DIV/0!</v>
      </c>
      <c r="AN76" s="13" t="e">
        <f t="shared" ref="AN76" si="1040">AN75/AN72</f>
        <v>#DIV/0!</v>
      </c>
      <c r="AO76" s="160">
        <f t="shared" ref="AO76" si="1041">AO75/AO72</f>
        <v>0.22787663137589048</v>
      </c>
      <c r="AP76" s="13">
        <f t="shared" ref="AP76" si="1042">AP75/AP72</f>
        <v>-1.000271554727707</v>
      </c>
      <c r="AQ76" s="160" t="e">
        <f t="shared" ref="AQ76" si="1043">AQ75/AQ72</f>
        <v>#DIV/0!</v>
      </c>
      <c r="AR76" s="13" t="e">
        <f t="shared" ref="AR76" si="1044">AR75/AR72</f>
        <v>#DIV/0!</v>
      </c>
      <c r="AS76" s="13" t="e">
        <f t="shared" ref="AS76" si="1045">AS75/AS72</f>
        <v>#DIV/0!</v>
      </c>
      <c r="AT76" s="13" t="e">
        <f t="shared" ref="AT76" si="1046">AT75/AT72</f>
        <v>#DIV/0!</v>
      </c>
      <c r="AU76" s="13" t="e">
        <f t="shared" ref="AU76" si="1047">AU75/AU72</f>
        <v>#DIV/0!</v>
      </c>
      <c r="AV76" s="13" t="e">
        <f t="shared" ref="AV76" si="1048">AV75/AV72</f>
        <v>#DIV/0!</v>
      </c>
      <c r="AW76" s="13">
        <f t="shared" ref="AW76" si="1049">AW75/AW72</f>
        <v>-0.64926372155287815</v>
      </c>
      <c r="AX76" s="13">
        <f t="shared" ref="AX76" si="1050">AX75/AX72</f>
        <v>-3.1987205117952819E-2</v>
      </c>
      <c r="AY76" s="13" t="e">
        <f t="shared" ref="AY76" si="1051">AY75/AY72</f>
        <v>#DIV/0!</v>
      </c>
      <c r="AZ76" s="13" t="e">
        <f t="shared" ref="AZ76" si="1052">AZ75/AZ72</f>
        <v>#DIV/0!</v>
      </c>
      <c r="BA76" s="13" t="e">
        <f t="shared" ref="BA76" si="1053">BA75/BA72</f>
        <v>#DIV/0!</v>
      </c>
      <c r="BB76" s="160" t="e">
        <f t="shared" ref="BB76" si="1054">BB75/BB72</f>
        <v>#DIV/0!</v>
      </c>
      <c r="BC76" s="13">
        <f t="shared" ref="BC76" si="1055">BC75/BC72</f>
        <v>-0.2529297233753352</v>
      </c>
      <c r="BD76" s="13">
        <f t="shared" ref="BD76" si="1056">BD75/BD72</f>
        <v>-0.2529297233753352</v>
      </c>
      <c r="BE76" s="13" t="e">
        <f t="shared" ref="BE76" si="1057">BE75/BE72</f>
        <v>#DIV/0!</v>
      </c>
      <c r="BF76" s="13">
        <f t="shared" ref="BF76" si="1058">BF75/BF72</f>
        <v>-0.29514981928413198</v>
      </c>
      <c r="BG76" s="13">
        <f t="shared" ref="BG76:BH76" si="1059">BG75/BG72</f>
        <v>0.39943790620059721</v>
      </c>
      <c r="BH76" s="160">
        <f t="shared" si="1059"/>
        <v>-0.95330464202585863</v>
      </c>
      <c r="BI76" s="160">
        <f t="shared" ref="BI76" si="1060">BI75/BI72</f>
        <v>-0.56333874366117809</v>
      </c>
      <c r="BJ76" s="13" t="e">
        <f t="shared" ref="BJ76:BK76" si="1061">BJ75/BJ72</f>
        <v>#DIV/0!</v>
      </c>
      <c r="BK76" s="50">
        <f t="shared" si="1061"/>
        <v>-0.5633425690596453</v>
      </c>
      <c r="BM76" s="160" t="e">
        <f t="shared" ref="BM76" si="1062">BM75/BM72</f>
        <v>#DIV/0!</v>
      </c>
    </row>
    <row r="77" spans="1:65">
      <c r="A77" s="128"/>
      <c r="B77" s="5" t="s">
        <v>132</v>
      </c>
      <c r="C77" s="11">
        <f>C74-C73</f>
        <v>323356</v>
      </c>
      <c r="D77" s="11">
        <f t="shared" ref="D77:BK77" si="1063">D74-D73</f>
        <v>644369</v>
      </c>
      <c r="E77" s="11">
        <f t="shared" si="1063"/>
        <v>-8840</v>
      </c>
      <c r="F77" s="11">
        <f t="shared" si="1063"/>
        <v>46100</v>
      </c>
      <c r="G77" s="11">
        <f t="shared" si="1063"/>
        <v>30754</v>
      </c>
      <c r="H77" s="11">
        <f t="shared" si="1063"/>
        <v>0</v>
      </c>
      <c r="I77" s="11">
        <f t="shared" si="1063"/>
        <v>0</v>
      </c>
      <c r="J77" s="11">
        <f t="shared" si="1063"/>
        <v>109837</v>
      </c>
      <c r="K77" s="11">
        <f t="shared" si="1063"/>
        <v>17247</v>
      </c>
      <c r="L77" s="11">
        <f t="shared" si="1063"/>
        <v>103700</v>
      </c>
      <c r="M77" s="11">
        <f t="shared" si="1063"/>
        <v>18203</v>
      </c>
      <c r="N77" s="11">
        <f t="shared" si="1063"/>
        <v>134</v>
      </c>
      <c r="O77" s="11">
        <f t="shared" si="1063"/>
        <v>7286</v>
      </c>
      <c r="P77" s="11">
        <f t="shared" si="1063"/>
        <v>35410</v>
      </c>
      <c r="Q77" s="11">
        <f t="shared" si="1063"/>
        <v>0</v>
      </c>
      <c r="R77" s="11">
        <f t="shared" si="1063"/>
        <v>6803</v>
      </c>
      <c r="S77" s="11">
        <f t="shared" si="1063"/>
        <v>0</v>
      </c>
      <c r="T77" s="11">
        <f t="shared" si="1063"/>
        <v>0</v>
      </c>
      <c r="U77" s="11">
        <f t="shared" ref="U77" si="1064">U74-U73</f>
        <v>0</v>
      </c>
      <c r="V77" s="9">
        <f t="shared" si="1063"/>
        <v>0</v>
      </c>
      <c r="W77" s="11">
        <f t="shared" si="1063"/>
        <v>-1</v>
      </c>
      <c r="X77" s="11">
        <f t="shared" si="1063"/>
        <v>0</v>
      </c>
      <c r="Y77" s="11">
        <f t="shared" si="1063"/>
        <v>-7076</v>
      </c>
      <c r="Z77" s="11">
        <f t="shared" si="1063"/>
        <v>-969</v>
      </c>
      <c r="AA77" s="11">
        <f t="shared" si="1063"/>
        <v>-518</v>
      </c>
      <c r="AB77" s="11">
        <f t="shared" ref="AB77" si="1065">AB74-AB73</f>
        <v>-92</v>
      </c>
      <c r="AC77" s="9">
        <f t="shared" ref="AC77:AD77" si="1066">AC74-AC73</f>
        <v>0</v>
      </c>
      <c r="AD77" s="216">
        <f t="shared" si="1066"/>
        <v>1325703</v>
      </c>
      <c r="AE77" s="11">
        <f t="shared" si="1063"/>
        <v>1939</v>
      </c>
      <c r="AF77" s="11">
        <f t="shared" si="1063"/>
        <v>1566</v>
      </c>
      <c r="AG77" s="11">
        <f t="shared" si="1063"/>
        <v>-5006</v>
      </c>
      <c r="AH77" s="11">
        <f t="shared" si="1063"/>
        <v>0</v>
      </c>
      <c r="AI77" s="11">
        <f t="shared" si="1063"/>
        <v>0</v>
      </c>
      <c r="AJ77" s="11">
        <f t="shared" si="1063"/>
        <v>-3409</v>
      </c>
      <c r="AK77" s="11">
        <f t="shared" si="1063"/>
        <v>1290</v>
      </c>
      <c r="AL77" s="11">
        <f t="shared" si="1063"/>
        <v>32935</v>
      </c>
      <c r="AM77" s="11">
        <f t="shared" si="1063"/>
        <v>0</v>
      </c>
      <c r="AN77" s="11">
        <f t="shared" si="1063"/>
        <v>0</v>
      </c>
      <c r="AO77" s="9">
        <f t="shared" si="1063"/>
        <v>52341</v>
      </c>
      <c r="AP77" s="11">
        <f t="shared" si="1063"/>
        <v>-16853855</v>
      </c>
      <c r="AQ77" s="9">
        <f t="shared" si="1063"/>
        <v>0</v>
      </c>
      <c r="AR77" s="11">
        <f t="shared" si="1063"/>
        <v>0</v>
      </c>
      <c r="AS77" s="11">
        <f t="shared" si="1063"/>
        <v>0</v>
      </c>
      <c r="AT77" s="11">
        <f t="shared" si="1063"/>
        <v>0</v>
      </c>
      <c r="AU77" s="11">
        <f t="shared" si="1063"/>
        <v>0</v>
      </c>
      <c r="AV77" s="11">
        <f t="shared" si="1063"/>
        <v>0</v>
      </c>
      <c r="AW77" s="11">
        <f t="shared" si="1063"/>
        <v>-1099</v>
      </c>
      <c r="AX77" s="11">
        <f t="shared" si="1063"/>
        <v>918</v>
      </c>
      <c r="AY77" s="11">
        <f t="shared" si="1063"/>
        <v>0</v>
      </c>
      <c r="AZ77" s="11">
        <f t="shared" si="1063"/>
        <v>0</v>
      </c>
      <c r="BA77" s="11">
        <f t="shared" si="1063"/>
        <v>0</v>
      </c>
      <c r="BB77" s="9">
        <f t="shared" si="1063"/>
        <v>0</v>
      </c>
      <c r="BC77" s="11">
        <f t="shared" si="1063"/>
        <v>-6613</v>
      </c>
      <c r="BD77" s="11">
        <f t="shared" si="1063"/>
        <v>-6613</v>
      </c>
      <c r="BE77" s="11">
        <f t="shared" si="1063"/>
        <v>0</v>
      </c>
      <c r="BF77" s="11">
        <f t="shared" si="1063"/>
        <v>-2903</v>
      </c>
      <c r="BG77" s="11">
        <f t="shared" si="1063"/>
        <v>12750</v>
      </c>
      <c r="BH77" s="9">
        <f t="shared" si="1063"/>
        <v>-16775759</v>
      </c>
      <c r="BI77" s="9">
        <f t="shared" si="1063"/>
        <v>-15450056</v>
      </c>
      <c r="BJ77" s="11">
        <f t="shared" si="1063"/>
        <v>33</v>
      </c>
      <c r="BK77" s="49">
        <f t="shared" si="1063"/>
        <v>-15450089</v>
      </c>
      <c r="BM77" s="30">
        <f t="shared" si="951"/>
        <v>-16775792</v>
      </c>
    </row>
    <row r="78" spans="1:65">
      <c r="A78" s="128"/>
      <c r="B78" s="5" t="s">
        <v>133</v>
      </c>
      <c r="C78" s="13">
        <f>C77/C73</f>
        <v>6.2555231752821752E-2</v>
      </c>
      <c r="D78" s="13">
        <f t="shared" ref="D78" si="1067">D77/D73</f>
        <v>0.31402059263273419</v>
      </c>
      <c r="E78" s="13">
        <f t="shared" ref="E78" si="1068">E77/E73</f>
        <v>-4.0746152392453668E-2</v>
      </c>
      <c r="F78" s="13">
        <f t="shared" ref="F78" si="1069">F77/F73</f>
        <v>7.0477119396801471E-2</v>
      </c>
      <c r="G78" s="13">
        <f t="shared" ref="G78" si="1070">G77/G73</f>
        <v>9.450527163274651E-2</v>
      </c>
      <c r="H78" s="13" t="e">
        <f t="shared" ref="H78" si="1071">H77/H73</f>
        <v>#DIV/0!</v>
      </c>
      <c r="I78" s="13" t="e">
        <f t="shared" ref="I78" si="1072">I77/I73</f>
        <v>#DIV/0!</v>
      </c>
      <c r="J78" s="13">
        <f t="shared" ref="J78" si="1073">J77/J73</f>
        <v>0.163868561411361</v>
      </c>
      <c r="K78" s="13">
        <f t="shared" ref="K78" si="1074">K77/K73</f>
        <v>0.1691330057956518</v>
      </c>
      <c r="L78" s="13">
        <f t="shared" ref="L78" si="1075">L77/L73</f>
        <v>0.5214015999034628</v>
      </c>
      <c r="M78" s="13">
        <f t="shared" ref="M78" si="1076">M77/M73</f>
        <v>9.5211444412480056E-2</v>
      </c>
      <c r="N78" s="13">
        <f t="shared" ref="N78" si="1077">N77/N73</f>
        <v>0.14439655172413793</v>
      </c>
      <c r="O78" s="13">
        <f t="shared" ref="O78" si="1078">O77/O73</f>
        <v>0.4370725854829034</v>
      </c>
      <c r="P78" s="13">
        <f t="shared" ref="P78" si="1079">P77/P73</f>
        <v>0.14224253939688519</v>
      </c>
      <c r="Q78" s="13" t="e">
        <f t="shared" ref="Q78" si="1080">Q77/Q73</f>
        <v>#DIV/0!</v>
      </c>
      <c r="R78" s="13">
        <f t="shared" ref="R78" si="1081">R77/R73</f>
        <v>0.43267824206576355</v>
      </c>
      <c r="S78" s="13" t="e">
        <f t="shared" ref="S78" si="1082">S77/S73</f>
        <v>#DIV/0!</v>
      </c>
      <c r="T78" s="13" t="e">
        <f t="shared" ref="T78:U78" si="1083">T77/T73</f>
        <v>#DIV/0!</v>
      </c>
      <c r="U78" s="13" t="e">
        <f t="shared" si="1083"/>
        <v>#DIV/0!</v>
      </c>
      <c r="V78" s="160" t="e">
        <f t="shared" ref="V78" si="1084">V77/V73</f>
        <v>#DIV/0!</v>
      </c>
      <c r="W78" s="13" t="e">
        <f t="shared" ref="W78" si="1085">W77/W73</f>
        <v>#DIV/0!</v>
      </c>
      <c r="X78" s="13" t="e">
        <f t="shared" ref="X78" si="1086">X77/X73</f>
        <v>#DIV/0!</v>
      </c>
      <c r="Y78" s="13">
        <f t="shared" ref="Y78" si="1087">Y77/Y73</f>
        <v>-0.37019985351051587</v>
      </c>
      <c r="Z78" s="13">
        <f t="shared" ref="Z78" si="1088">Z77/Z73</f>
        <v>-0.21442797078999778</v>
      </c>
      <c r="AA78" s="13">
        <f t="shared" ref="AA78:AD78" si="1089">AA77/AA73</f>
        <v>-0.10393258426966293</v>
      </c>
      <c r="AB78" s="13">
        <f t="shared" ref="AB78" si="1090">AB77/AB73</f>
        <v>-0.95833333333333337</v>
      </c>
      <c r="AC78" s="160" t="e">
        <f t="shared" si="1089"/>
        <v>#DIV/0!</v>
      </c>
      <c r="AD78" s="217">
        <f t="shared" si="1089"/>
        <v>0.13403251431163132</v>
      </c>
      <c r="AE78" s="13">
        <f t="shared" ref="AE78" si="1091">AE77/AE73</f>
        <v>0.14286766872973769</v>
      </c>
      <c r="AF78" s="13">
        <f t="shared" ref="AF78" si="1092">AF77/AF73</f>
        <v>1.323753169907016</v>
      </c>
      <c r="AG78" s="13">
        <f t="shared" ref="AG78" si="1093">AG77/AG73</f>
        <v>-0.12077784211542174</v>
      </c>
      <c r="AH78" s="13" t="e">
        <f t="shared" ref="AH78" si="1094">AH77/AH73</f>
        <v>#DIV/0!</v>
      </c>
      <c r="AI78" s="13" t="e">
        <f t="shared" ref="AI78" si="1095">AI77/AI73</f>
        <v>#DIV/0!</v>
      </c>
      <c r="AJ78" s="13">
        <f t="shared" ref="AJ78" si="1096">AJ77/AJ73</f>
        <v>-0.14369414938458944</v>
      </c>
      <c r="AK78" s="13">
        <f t="shared" ref="AK78" si="1097">AK77/AK73</f>
        <v>3.832783670558873E-2</v>
      </c>
      <c r="AL78" s="13">
        <f t="shared" ref="AL78" si="1098">AL77/AL73</f>
        <v>0.92329903843458272</v>
      </c>
      <c r="AM78" s="13" t="e">
        <f t="shared" ref="AM78" si="1099">AM77/AM73</f>
        <v>#DIV/0!</v>
      </c>
      <c r="AN78" s="13" t="e">
        <f t="shared" ref="AN78" si="1100">AN77/AN73</f>
        <v>#DIV/0!</v>
      </c>
      <c r="AO78" s="160">
        <f t="shared" ref="AO78" si="1101">AO77/AO73</f>
        <v>0.11921312640358589</v>
      </c>
      <c r="AP78" s="13">
        <f t="shared" ref="AP78" si="1102">AP77/AP73</f>
        <v>-1.0002546653432693</v>
      </c>
      <c r="AQ78" s="160" t="e">
        <f t="shared" ref="AQ78" si="1103">AQ77/AQ73</f>
        <v>#DIV/0!</v>
      </c>
      <c r="AR78" s="13" t="e">
        <f t="shared" ref="AR78" si="1104">AR77/AR73</f>
        <v>#DIV/0!</v>
      </c>
      <c r="AS78" s="13" t="e">
        <f t="shared" ref="AS78" si="1105">AS77/AS73</f>
        <v>#DIV/0!</v>
      </c>
      <c r="AT78" s="13" t="e">
        <f t="shared" ref="AT78" si="1106">AT77/AT73</f>
        <v>#DIV/0!</v>
      </c>
      <c r="AU78" s="13" t="e">
        <f t="shared" ref="AU78" si="1107">AU77/AU73</f>
        <v>#DIV/0!</v>
      </c>
      <c r="AV78" s="13" t="e">
        <f t="shared" ref="AV78" si="1108">AV77/AV73</f>
        <v>#DIV/0!</v>
      </c>
      <c r="AW78" s="13">
        <f t="shared" ref="AW78" si="1109">AW77/AW73</f>
        <v>-0.80749448934606904</v>
      </c>
      <c r="AX78" s="13">
        <f t="shared" ref="AX78" si="1110">AX77/AX73</f>
        <v>0.6107784431137725</v>
      </c>
      <c r="AY78" s="13" t="e">
        <f t="shared" ref="AY78" si="1111">AY77/AY73</f>
        <v>#DIV/0!</v>
      </c>
      <c r="AZ78" s="13" t="e">
        <f t="shared" ref="AZ78" si="1112">AZ77/AZ73</f>
        <v>#DIV/0!</v>
      </c>
      <c r="BA78" s="13" t="e">
        <f t="shared" ref="BA78" si="1113">BA77/BA73</f>
        <v>#DIV/0!</v>
      </c>
      <c r="BB78" s="160" t="e">
        <f t="shared" ref="BB78" si="1114">BB77/BB73</f>
        <v>#DIV/0!</v>
      </c>
      <c r="BC78" s="13">
        <f t="shared" ref="BC78" si="1115">BC77/BC73</f>
        <v>-0.2453894393112917</v>
      </c>
      <c r="BD78" s="13">
        <f t="shared" ref="BD78" si="1116">BD77/BD73</f>
        <v>-0.2453894393112917</v>
      </c>
      <c r="BE78" s="13" t="e">
        <f t="shared" ref="BE78" si="1117">BE77/BE73</f>
        <v>#DIV/0!</v>
      </c>
      <c r="BF78" s="13">
        <f t="shared" ref="BF78" si="1118">BF77/BF73</f>
        <v>-0.19361077764439108</v>
      </c>
      <c r="BG78" s="13">
        <f t="shared" ref="BG78:BH78" si="1119">BG77/BG73</f>
        <v>0.36374529270797673</v>
      </c>
      <c r="BH78" s="160">
        <f t="shared" si="1119"/>
        <v>-0.95617349782535233</v>
      </c>
      <c r="BI78" s="160">
        <f t="shared" ref="BI78" si="1120">BI77/BI73</f>
        <v>-0.56313925413733634</v>
      </c>
      <c r="BJ78" s="13">
        <f t="shared" ref="BJ78:BK78" si="1121">BJ77/BJ73</f>
        <v>0.45833333333333331</v>
      </c>
      <c r="BK78" s="50">
        <f t="shared" si="1121"/>
        <v>-0.56314193482425967</v>
      </c>
      <c r="BM78" s="14">
        <f t="shared" ref="BM78" si="1122">BM77/BM73</f>
        <v>-0.9561793027134432</v>
      </c>
    </row>
    <row r="79" spans="1:65">
      <c r="A79" s="128"/>
      <c r="B79" s="5" t="s">
        <v>340</v>
      </c>
      <c r="C79" s="126">
        <f>C74/C71</f>
        <v>0.92541823381667521</v>
      </c>
      <c r="D79" s="126">
        <f t="shared" ref="D79:BK79" si="1123">D74/D71</f>
        <v>0.9354488870324299</v>
      </c>
      <c r="E79" s="126">
        <f t="shared" si="1123"/>
        <v>0.93907028373402646</v>
      </c>
      <c r="F79" s="126">
        <f t="shared" si="1123"/>
        <v>0.91717183095639787</v>
      </c>
      <c r="G79" s="126">
        <f t="shared" si="1123"/>
        <v>0.89447156676611517</v>
      </c>
      <c r="H79" s="126" t="e">
        <f t="shared" si="1123"/>
        <v>#DIV/0!</v>
      </c>
      <c r="I79" s="126" t="e">
        <f t="shared" si="1123"/>
        <v>#DIV/0!</v>
      </c>
      <c r="J79" s="126">
        <f t="shared" si="1123"/>
        <v>0.96414036362647648</v>
      </c>
      <c r="K79" s="126">
        <f t="shared" si="1123"/>
        <v>0.82758907932276804</v>
      </c>
      <c r="L79" s="126">
        <f t="shared" si="1123"/>
        <v>0.92446610247166294</v>
      </c>
      <c r="M79" s="126">
        <f t="shared" si="1123"/>
        <v>0.9818483627889093</v>
      </c>
      <c r="N79" s="126">
        <f t="shared" si="1123"/>
        <v>0.73190902825637494</v>
      </c>
      <c r="O79" s="126">
        <f t="shared" si="1123"/>
        <v>1.2451143451143452</v>
      </c>
      <c r="P79" s="126">
        <f t="shared" si="1123"/>
        <v>0.99320633190823482</v>
      </c>
      <c r="Q79" s="126" t="e">
        <f t="shared" si="1123"/>
        <v>#DIV/0!</v>
      </c>
      <c r="R79" s="126">
        <f t="shared" si="1123"/>
        <v>1.1922303376733354</v>
      </c>
      <c r="S79" s="126" t="e">
        <f t="shared" si="1123"/>
        <v>#DIV/0!</v>
      </c>
      <c r="T79" s="126" t="e">
        <f t="shared" si="1123"/>
        <v>#DIV/0!</v>
      </c>
      <c r="U79" s="126" t="e">
        <f t="shared" si="1123"/>
        <v>#DIV/0!</v>
      </c>
      <c r="V79" s="175" t="e">
        <f t="shared" si="1123"/>
        <v>#DIV/0!</v>
      </c>
      <c r="W79" s="126" t="e">
        <f t="shared" si="1123"/>
        <v>#DIV/0!</v>
      </c>
      <c r="X79" s="126" t="e">
        <f t="shared" si="1123"/>
        <v>#DIV/0!</v>
      </c>
      <c r="Y79" s="126">
        <f t="shared" si="1123"/>
        <v>0.67915373765867415</v>
      </c>
      <c r="Z79" s="126">
        <f t="shared" si="1123"/>
        <v>0.74423480083857441</v>
      </c>
      <c r="AA79" s="126">
        <f t="shared" si="1123"/>
        <v>0.76551251285567368</v>
      </c>
      <c r="AB79" s="126">
        <f t="shared" ref="AB79" si="1124">AB74/AB71</f>
        <v>6.227619492449011E-4</v>
      </c>
      <c r="AC79" s="175" t="e">
        <f t="shared" si="1123"/>
        <v>#DIV/0!</v>
      </c>
      <c r="AD79" s="218">
        <f t="shared" si="1123"/>
        <v>0.93043647842941291</v>
      </c>
      <c r="AE79" s="126">
        <f t="shared" si="1123"/>
        <v>1.0165148436988007</v>
      </c>
      <c r="AF79" s="126">
        <f t="shared" si="1123"/>
        <v>2.0198383541513594</v>
      </c>
      <c r="AG79" s="126">
        <f t="shared" si="1123"/>
        <v>0.73778191683200389</v>
      </c>
      <c r="AH79" s="126" t="e">
        <f t="shared" si="1123"/>
        <v>#DIV/0!</v>
      </c>
      <c r="AI79" s="126" t="e">
        <f t="shared" si="1123"/>
        <v>#DIV/0!</v>
      </c>
      <c r="AJ79" s="126">
        <f t="shared" si="1123"/>
        <v>0.55633147113594039</v>
      </c>
      <c r="AK79" s="126">
        <f t="shared" si="1123"/>
        <v>0.79911735113875426</v>
      </c>
      <c r="AL79" s="126">
        <f t="shared" si="1123"/>
        <v>1.9001800304666943</v>
      </c>
      <c r="AM79" s="126" t="e">
        <f t="shared" si="1123"/>
        <v>#DIV/0!</v>
      </c>
      <c r="AN79" s="126" t="e">
        <f t="shared" si="1123"/>
        <v>#DIV/0!</v>
      </c>
      <c r="AO79" s="175">
        <f>AO74/AO71</f>
        <v>1.1426913748479768</v>
      </c>
      <c r="AP79" s="126">
        <f t="shared" si="1123"/>
        <v>-2.6205237884138652E-4</v>
      </c>
      <c r="AQ79" s="175" t="e">
        <f t="shared" si="1123"/>
        <v>#DIV/0!</v>
      </c>
      <c r="AR79" s="126" t="e">
        <f t="shared" si="1123"/>
        <v>#DIV/0!</v>
      </c>
      <c r="AS79" s="126" t="e">
        <f t="shared" si="1123"/>
        <v>#DIV/0!</v>
      </c>
      <c r="AT79" s="126" t="e">
        <f t="shared" si="1123"/>
        <v>#DIV/0!</v>
      </c>
      <c r="AU79" s="126" t="e">
        <f t="shared" si="1123"/>
        <v>#DIV/0!</v>
      </c>
      <c r="AV79" s="126" t="e">
        <f t="shared" si="1123"/>
        <v>#DIV/0!</v>
      </c>
      <c r="AW79" s="126">
        <f t="shared" si="1123"/>
        <v>0.26278836509528586</v>
      </c>
      <c r="AX79" s="126">
        <f t="shared" si="1123"/>
        <v>0.90369540873460241</v>
      </c>
      <c r="AY79" s="126" t="e">
        <f t="shared" si="1123"/>
        <v>#DIV/0!</v>
      </c>
      <c r="AZ79" s="126" t="e">
        <f t="shared" si="1123"/>
        <v>#DIV/0!</v>
      </c>
      <c r="BA79" s="126" t="e">
        <f t="shared" si="1123"/>
        <v>#DIV/0!</v>
      </c>
      <c r="BB79" s="175" t="e">
        <f t="shared" si="1123"/>
        <v>#DIV/0!</v>
      </c>
      <c r="BC79" s="126">
        <f t="shared" si="1123"/>
        <v>0.67071240105540897</v>
      </c>
      <c r="BD79" s="126">
        <f t="shared" si="1123"/>
        <v>0.67071240105540897</v>
      </c>
      <c r="BE79" s="126" t="e">
        <f t="shared" si="1123"/>
        <v>#DIV/0!</v>
      </c>
      <c r="BF79" s="126">
        <f t="shared" si="1123"/>
        <v>0.59359811478226721</v>
      </c>
      <c r="BG79" s="126">
        <f t="shared" si="1123"/>
        <v>1.0595823912754356</v>
      </c>
      <c r="BH79" s="175">
        <f t="shared" si="1123"/>
        <v>4.4922096365276006E-2</v>
      </c>
      <c r="BI79" s="175">
        <f t="shared" si="1123"/>
        <v>0.41085736322501026</v>
      </c>
      <c r="BJ79" s="126" t="e">
        <f t="shared" si="1123"/>
        <v>#DIV/0!</v>
      </c>
      <c r="BK79" s="126">
        <f t="shared" si="1123"/>
        <v>0.41085376388317563</v>
      </c>
      <c r="BM79" s="126" t="e">
        <f t="shared" ref="BM79" si="1125">BM74/BM71</f>
        <v>#DIV/0!</v>
      </c>
    </row>
    <row r="80" spans="1:65" s="178" customFormat="1">
      <c r="A80" s="128"/>
      <c r="B80" s="5" t="s">
        <v>341</v>
      </c>
      <c r="C80" s="11">
        <f>C71-C74</f>
        <v>442653</v>
      </c>
      <c r="D80" s="11">
        <f t="shared" ref="D80:BK80" si="1126">D71-D74</f>
        <v>186064</v>
      </c>
      <c r="E80" s="11">
        <f t="shared" si="1126"/>
        <v>13503</v>
      </c>
      <c r="F80" s="11">
        <f t="shared" si="1126"/>
        <v>63235</v>
      </c>
      <c r="G80" s="11">
        <f t="shared" si="1126"/>
        <v>42021</v>
      </c>
      <c r="H80" s="11">
        <f t="shared" si="1126"/>
        <v>0</v>
      </c>
      <c r="I80" s="11">
        <f t="shared" si="1126"/>
        <v>0</v>
      </c>
      <c r="J80" s="11">
        <f t="shared" si="1126"/>
        <v>29015</v>
      </c>
      <c r="K80" s="11">
        <f t="shared" si="1126"/>
        <v>24837</v>
      </c>
      <c r="L80" s="11">
        <f t="shared" si="1126"/>
        <v>24723</v>
      </c>
      <c r="M80" s="11">
        <f t="shared" si="1126"/>
        <v>3871</v>
      </c>
      <c r="N80" s="11">
        <f t="shared" si="1126"/>
        <v>389</v>
      </c>
      <c r="O80" s="11">
        <f t="shared" si="1126"/>
        <v>-4716</v>
      </c>
      <c r="P80" s="11">
        <f t="shared" si="1126"/>
        <v>1945</v>
      </c>
      <c r="Q80" s="11">
        <f t="shared" si="1126"/>
        <v>0</v>
      </c>
      <c r="R80" s="11">
        <f t="shared" si="1126"/>
        <v>-3632</v>
      </c>
      <c r="S80" s="11">
        <f t="shared" si="1126"/>
        <v>0</v>
      </c>
      <c r="T80" s="11">
        <f t="shared" si="1126"/>
        <v>0</v>
      </c>
      <c r="U80" s="11">
        <f t="shared" si="1126"/>
        <v>0</v>
      </c>
      <c r="V80" s="11">
        <f t="shared" si="1126"/>
        <v>0</v>
      </c>
      <c r="W80" s="11">
        <f t="shared" si="1126"/>
        <v>1</v>
      </c>
      <c r="X80" s="11">
        <f t="shared" si="1126"/>
        <v>0</v>
      </c>
      <c r="Y80" s="11">
        <f t="shared" si="1126"/>
        <v>5687</v>
      </c>
      <c r="Z80" s="11">
        <f t="shared" si="1126"/>
        <v>1220</v>
      </c>
      <c r="AA80" s="11">
        <f t="shared" si="1126"/>
        <v>1368</v>
      </c>
      <c r="AB80" s="11">
        <f t="shared" si="1126"/>
        <v>6419</v>
      </c>
      <c r="AC80" s="11">
        <f t="shared" si="1126"/>
        <v>0</v>
      </c>
      <c r="AD80" s="11">
        <f t="shared" si="1126"/>
        <v>838603</v>
      </c>
      <c r="AE80" s="11">
        <f t="shared" si="1126"/>
        <v>-252</v>
      </c>
      <c r="AF80" s="11">
        <f t="shared" si="1126"/>
        <v>-1388</v>
      </c>
      <c r="AG80" s="11">
        <f t="shared" si="1126"/>
        <v>12952</v>
      </c>
      <c r="AH80" s="11">
        <f t="shared" si="1126"/>
        <v>0</v>
      </c>
      <c r="AI80" s="11">
        <f t="shared" si="1126"/>
        <v>0</v>
      </c>
      <c r="AJ80" s="11">
        <f t="shared" si="1126"/>
        <v>16201</v>
      </c>
      <c r="AK80" s="11">
        <f t="shared" si="1126"/>
        <v>8785</v>
      </c>
      <c r="AL80" s="11">
        <f t="shared" si="1126"/>
        <v>-32501</v>
      </c>
      <c r="AM80" s="11">
        <f t="shared" si="1126"/>
        <v>0</v>
      </c>
      <c r="AN80" s="11">
        <f t="shared" si="1126"/>
        <v>0</v>
      </c>
      <c r="AO80" s="11">
        <f t="shared" si="1126"/>
        <v>-61362</v>
      </c>
      <c r="AP80" s="11">
        <f t="shared" si="1126"/>
        <v>16378880</v>
      </c>
      <c r="AQ80" s="11">
        <f t="shared" si="1126"/>
        <v>0</v>
      </c>
      <c r="AR80" s="11">
        <f t="shared" si="1126"/>
        <v>0</v>
      </c>
      <c r="AS80" s="11">
        <f t="shared" si="1126"/>
        <v>0</v>
      </c>
      <c r="AT80" s="11">
        <f t="shared" si="1126"/>
        <v>0</v>
      </c>
      <c r="AU80" s="11">
        <f t="shared" si="1126"/>
        <v>0</v>
      </c>
      <c r="AV80" s="11">
        <f t="shared" si="1126"/>
        <v>0</v>
      </c>
      <c r="AW80" s="11">
        <f t="shared" si="1126"/>
        <v>735</v>
      </c>
      <c r="AX80" s="11">
        <f t="shared" si="1126"/>
        <v>258</v>
      </c>
      <c r="AY80" s="11">
        <f t="shared" si="1126"/>
        <v>0</v>
      </c>
      <c r="AZ80" s="11">
        <f t="shared" si="1126"/>
        <v>0</v>
      </c>
      <c r="BA80" s="11">
        <f t="shared" si="1126"/>
        <v>0</v>
      </c>
      <c r="BB80" s="11">
        <f t="shared" si="1126"/>
        <v>0</v>
      </c>
      <c r="BC80" s="11">
        <f t="shared" si="1126"/>
        <v>9984</v>
      </c>
      <c r="BD80" s="11">
        <f t="shared" si="1126"/>
        <v>9984</v>
      </c>
      <c r="BE80" s="11">
        <f t="shared" si="1126"/>
        <v>0</v>
      </c>
      <c r="BF80" s="11">
        <f t="shared" si="1126"/>
        <v>8278</v>
      </c>
      <c r="BG80" s="11">
        <f t="shared" si="1126"/>
        <v>-2688</v>
      </c>
      <c r="BH80" s="11">
        <f t="shared" si="1126"/>
        <v>16347866</v>
      </c>
      <c r="BI80" s="11">
        <f t="shared" si="1126"/>
        <v>17186469</v>
      </c>
      <c r="BJ80" s="11">
        <f t="shared" si="1126"/>
        <v>-105</v>
      </c>
      <c r="BK80" s="11">
        <f t="shared" si="1126"/>
        <v>17186574</v>
      </c>
      <c r="BL80" s="11">
        <f t="shared" ref="BL80:BM80" si="1127">BL74-BL71</f>
        <v>11985426</v>
      </c>
      <c r="BM80" s="11">
        <f t="shared" si="1127"/>
        <v>768817</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9"/>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9"/>
      <c r="BJ81" s="5"/>
      <c r="BK81" s="48"/>
    </row>
    <row r="82" spans="1:66" s="266" customFormat="1">
      <c r="A82" s="15" t="s">
        <v>33</v>
      </c>
      <c r="B82" s="11" t="s">
        <v>336</v>
      </c>
      <c r="C82" s="267">
        <v>12722</v>
      </c>
      <c r="D82" s="120">
        <v>5911</v>
      </c>
      <c r="E82" s="120">
        <v>561</v>
      </c>
      <c r="F82" s="120">
        <v>1490</v>
      </c>
      <c r="G82" s="120">
        <v>790</v>
      </c>
      <c r="H82" s="120">
        <v>0</v>
      </c>
      <c r="I82" s="120"/>
      <c r="J82" s="120">
        <v>595</v>
      </c>
      <c r="K82" s="120">
        <v>26</v>
      </c>
      <c r="L82" s="120">
        <v>307</v>
      </c>
      <c r="M82" s="120">
        <v>207</v>
      </c>
      <c r="N82" s="120">
        <v>68</v>
      </c>
      <c r="O82" s="120">
        <v>62</v>
      </c>
      <c r="P82" s="120">
        <v>171</v>
      </c>
      <c r="Q82" s="120"/>
      <c r="R82" s="120">
        <v>0</v>
      </c>
      <c r="S82" s="120"/>
      <c r="T82" s="120"/>
      <c r="U82" s="120"/>
      <c r="V82" s="268"/>
      <c r="W82" s="120"/>
      <c r="X82" s="120"/>
      <c r="Y82" s="120">
        <v>220</v>
      </c>
      <c r="Z82" s="120">
        <v>62</v>
      </c>
      <c r="AA82" s="120">
        <v>10</v>
      </c>
      <c r="AB82" s="120"/>
      <c r="AC82" s="268"/>
      <c r="AD82" s="121">
        <f t="shared" ref="AD82" si="1128">SUM(C82:AC82)</f>
        <v>23202</v>
      </c>
      <c r="AE82" s="120"/>
      <c r="AF82" s="120"/>
      <c r="AG82" s="120"/>
      <c r="AH82" s="120"/>
      <c r="AI82" s="120"/>
      <c r="AJ82" s="120"/>
      <c r="AK82" s="120">
        <v>376493</v>
      </c>
      <c r="AL82" s="120">
        <v>0</v>
      </c>
      <c r="AM82" s="120">
        <v>16674247</v>
      </c>
      <c r="AN82" s="120"/>
      <c r="AO82" s="268"/>
      <c r="AP82" s="120">
        <v>6677</v>
      </c>
      <c r="AQ82" s="268"/>
      <c r="AR82" s="120">
        <v>131990</v>
      </c>
      <c r="AS82" s="120"/>
      <c r="AT82" s="120"/>
      <c r="AU82" s="120">
        <v>100132</v>
      </c>
      <c r="AV82" s="120"/>
      <c r="AW82" s="120"/>
      <c r="AX82" s="120"/>
      <c r="AY82" s="120"/>
      <c r="AZ82" s="120">
        <v>16819</v>
      </c>
      <c r="BA82" s="120">
        <v>1450000</v>
      </c>
      <c r="BB82" s="268"/>
      <c r="BC82" s="120"/>
      <c r="BD82" s="120"/>
      <c r="BE82" s="120"/>
      <c r="BF82" s="120">
        <v>13749</v>
      </c>
      <c r="BG82" s="120">
        <v>43467</v>
      </c>
      <c r="BH82" s="120">
        <f t="shared" ref="BH82" si="1129">SUM(AE82:BG82)</f>
        <v>18813574</v>
      </c>
      <c r="BI82" s="125">
        <f>AD82+BH82</f>
        <v>18836776</v>
      </c>
      <c r="BJ82" s="269">
        <v>772776</v>
      </c>
      <c r="BK82" s="124">
        <f t="shared" ref="BK82" si="1130">BI82-BJ82</f>
        <v>18064000</v>
      </c>
    </row>
    <row r="83" spans="1:66" s="41" customFormat="1">
      <c r="A83" s="134" t="s">
        <v>33</v>
      </c>
      <c r="B83" s="210" t="s">
        <v>429</v>
      </c>
      <c r="C83" s="267">
        <v>11778</v>
      </c>
      <c r="D83" s="120">
        <v>5349</v>
      </c>
      <c r="E83" s="120">
        <v>561</v>
      </c>
      <c r="F83" s="120">
        <v>1358</v>
      </c>
      <c r="G83" s="120">
        <v>719</v>
      </c>
      <c r="H83" s="120"/>
      <c r="I83" s="120"/>
      <c r="J83" s="120">
        <v>525</v>
      </c>
      <c r="K83" s="120">
        <v>19</v>
      </c>
      <c r="L83" s="120">
        <v>267</v>
      </c>
      <c r="M83" s="120">
        <v>191</v>
      </c>
      <c r="N83" s="120">
        <v>60</v>
      </c>
      <c r="O83" s="120">
        <v>57</v>
      </c>
      <c r="P83" s="120">
        <v>157</v>
      </c>
      <c r="Q83" s="120"/>
      <c r="R83" s="120"/>
      <c r="S83" s="120"/>
      <c r="T83" s="120"/>
      <c r="U83" s="120"/>
      <c r="V83" s="268"/>
      <c r="W83" s="120"/>
      <c r="X83" s="120"/>
      <c r="Y83" s="120">
        <v>167</v>
      </c>
      <c r="Z83" s="120">
        <v>46</v>
      </c>
      <c r="AA83" s="120">
        <v>9</v>
      </c>
      <c r="AB83" s="120"/>
      <c r="AC83" s="268"/>
      <c r="AD83" s="121">
        <f t="shared" ref="AD83" si="1131">SUM(C83:AC83)</f>
        <v>21263</v>
      </c>
      <c r="AE83" s="120">
        <v>0</v>
      </c>
      <c r="AF83" s="120">
        <v>0</v>
      </c>
      <c r="AG83" s="120">
        <v>0</v>
      </c>
      <c r="AH83" s="120"/>
      <c r="AI83" s="120"/>
      <c r="AJ83" s="120"/>
      <c r="AK83" s="120">
        <v>355956</v>
      </c>
      <c r="AL83" s="120">
        <v>0</v>
      </c>
      <c r="AM83" s="120">
        <v>15556927</v>
      </c>
      <c r="AN83" s="120"/>
      <c r="AO83" s="268"/>
      <c r="AP83" s="120">
        <v>6677</v>
      </c>
      <c r="AQ83" s="268"/>
      <c r="AR83" s="120">
        <v>128781</v>
      </c>
      <c r="AS83" s="120"/>
      <c r="AT83" s="120"/>
      <c r="AU83" s="120">
        <v>84947</v>
      </c>
      <c r="AV83" s="120"/>
      <c r="AW83" s="120"/>
      <c r="AX83" s="120"/>
      <c r="AY83" s="120"/>
      <c r="AZ83" s="120">
        <v>16819</v>
      </c>
      <c r="BA83" s="120">
        <v>1409252</v>
      </c>
      <c r="BB83" s="268"/>
      <c r="BC83" s="120"/>
      <c r="BD83" s="120"/>
      <c r="BE83" s="120"/>
      <c r="BF83" s="120">
        <v>11233</v>
      </c>
      <c r="BG83" s="120">
        <v>33480</v>
      </c>
      <c r="BH83" s="10">
        <f>SUM(AE83:BG83)</f>
        <v>17604072</v>
      </c>
      <c r="BI83" s="249">
        <f>AD83+BH83</f>
        <v>17625335</v>
      </c>
      <c r="BJ83" s="269">
        <v>697364</v>
      </c>
      <c r="BK83" s="10">
        <f t="shared" ref="BK83" si="1132">BI83-BJ83</f>
        <v>16927971</v>
      </c>
      <c r="BM83" s="211"/>
    </row>
    <row r="84" spans="1:66">
      <c r="A84" s="128"/>
      <c r="B84" s="12" t="s">
        <v>430</v>
      </c>
      <c r="C84" s="9">
        <f>IF('Upto Month COPPY'!$I$4="",0,'Upto Month COPPY'!$I$4)</f>
        <v>11345</v>
      </c>
      <c r="D84" s="9">
        <f>IF('Upto Month COPPY'!$I$5="",0,'Upto Month COPPY'!$I$5)</f>
        <v>4282</v>
      </c>
      <c r="E84" s="9">
        <f>IF('Upto Month COPPY'!$I$6="",0,'Upto Month COPPY'!$I$6)</f>
        <v>525</v>
      </c>
      <c r="F84" s="9">
        <f>IF('Upto Month COPPY'!$I$7="",0,'Upto Month COPPY'!$I$7)</f>
        <v>1292</v>
      </c>
      <c r="G84" s="9">
        <f>IF('Upto Month COPPY'!$I$8="",0,'Upto Month COPPY'!$I$8)</f>
        <v>647</v>
      </c>
      <c r="H84" s="9">
        <f>IF('Upto Month COPPY'!$I$9="",0,'Upto Month COPPY'!$I$9)</f>
        <v>0</v>
      </c>
      <c r="I84" s="9">
        <f>IF('Upto Month COPPY'!$I$10="",0,'Upto Month COPPY'!$I$10)</f>
        <v>0</v>
      </c>
      <c r="J84" s="9">
        <f>IF('Upto Month COPPY'!$I$11="",0,'Upto Month COPPY'!$I$11)</f>
        <v>465</v>
      </c>
      <c r="K84" s="9">
        <f>IF('Upto Month COPPY'!$I$12="",0,'Upto Month COPPY'!$I$12)</f>
        <v>11</v>
      </c>
      <c r="L84" s="9">
        <f>IF('Upto Month COPPY'!$I$13="",0,'Upto Month COPPY'!$I$13)</f>
        <v>187</v>
      </c>
      <c r="M84" s="9">
        <f>IF('Upto Month COPPY'!$I$14="",0,'Upto Month COPPY'!$I$14)</f>
        <v>188</v>
      </c>
      <c r="N84" s="9">
        <f>IF('Upto Month COPPY'!$I$15="",0,'Upto Month COPPY'!$I$15)</f>
        <v>27</v>
      </c>
      <c r="O84" s="9">
        <f>IF('Upto Month COPPY'!$I$16="",0,'Upto Month COPPY'!$I$16)</f>
        <v>46</v>
      </c>
      <c r="P84" s="9">
        <f>IF('Upto Month COPPY'!$I$17="",0,'Upto Month COPPY'!$I$17)</f>
        <v>148</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6</v>
      </c>
      <c r="Z84" s="9">
        <f>IF('Upto Month COPPY'!$I$43="",0,'Upto Month COPPY'!$I$43)</f>
        <v>1</v>
      </c>
      <c r="AA84" s="9">
        <f>IF('Upto Month COPPY'!$I$44="",0,'Upto Month COPPY'!$I$44)</f>
        <v>14</v>
      </c>
      <c r="AB84" s="9">
        <f>IF('Upto Month COPPY'!$I$48="",0,'Upto Month COPPY'!$I$48)</f>
        <v>0</v>
      </c>
      <c r="AC84" s="9">
        <f>IF('Upto Month COPPY'!$I$51="",0,'Upto Month COPPY'!$I$51)</f>
        <v>0</v>
      </c>
      <c r="AD84" s="221">
        <f t="shared" ref="AD84:AD85" si="1133">SUM(C84:AC84)</f>
        <v>19184</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648864</v>
      </c>
      <c r="AL84" s="9">
        <f>IF('Upto Month COPPY'!$I$29="",0,'Upto Month COPPY'!$I$29)</f>
        <v>0</v>
      </c>
      <c r="AM84" s="9">
        <f>IF('Upto Month COPPY'!$I$31="",0,'Upto Month COPPY'!$I$31)</f>
        <v>14313856</v>
      </c>
      <c r="AN84" s="9">
        <f>IF('Upto Month COPPY'!$I$32="",0,'Upto Month COPPY'!$I$32)</f>
        <v>0</v>
      </c>
      <c r="AO84" s="9">
        <f>IF('Upto Month COPPY'!$I$33="",0,'Upto Month COPPY'!$I$33)</f>
        <v>0</v>
      </c>
      <c r="AP84" s="9">
        <f>IF('Upto Month COPPY'!$I$34="",0,'Upto Month COPPY'!$I$34)</f>
        <v>258449</v>
      </c>
      <c r="AQ84" s="9">
        <f>IF('Upto Month COPPY'!$I$36="",0,'Upto Month COPPY'!$I$36)</f>
        <v>0</v>
      </c>
      <c r="AR84" s="9">
        <f>IF('Upto Month COPPY'!$I$37="",0,'Upto Month COPPY'!$I$37)</f>
        <v>115129</v>
      </c>
      <c r="AS84" s="9">
        <f>IF('Upto Month COPPY'!$I$38="",0,'Upto Month COPPY'!$I$38)</f>
        <v>0</v>
      </c>
      <c r="AT84" s="9">
        <f>IF('Upto Month COPPY'!$I$38="",0,'Upto Month COPPY'!$I$38)</f>
        <v>0</v>
      </c>
      <c r="AU84" s="9">
        <f>IF('Upto Month COPPY'!$I$41="",0,'Upto Month COPPY'!$I$41)</f>
        <v>71012</v>
      </c>
      <c r="AV84" s="9">
        <v>0</v>
      </c>
      <c r="AW84" s="9">
        <f>IF('Upto Month COPPY'!$I$45="",0,'Upto Month COPPY'!$I$45)</f>
        <v>0</v>
      </c>
      <c r="AX84" s="9">
        <f>IF('Upto Month COPPY'!$I$46="",0,'Upto Month COPPY'!$I$46)</f>
        <v>0</v>
      </c>
      <c r="AY84" s="9">
        <f>IF('Upto Month COPPY'!$I$47="",0,'Upto Month COPPY'!$I$47)</f>
        <v>0</v>
      </c>
      <c r="AZ84" s="9">
        <f>IF('Upto Month COPPY'!$I$49="",0,'Upto Month COPPY'!$I$49)</f>
        <v>391810</v>
      </c>
      <c r="BA84" s="9">
        <f>IF('Upto Month COPPY'!$I$50="",0,'Upto Month COPPY'!$I$50)</f>
        <v>3154054</v>
      </c>
      <c r="BB84" s="9">
        <f>IF('Upto Month COPPY'!$I$52="",0,'Upto Month COPPY'!$I$52)</f>
        <v>0</v>
      </c>
      <c r="BC84" s="9">
        <f>IF('Upto Month COPPY'!$I$53="",0,'Upto Month COPPY'!$I$53)</f>
        <v>8</v>
      </c>
      <c r="BD84" s="9">
        <f>IF('Upto Month COPPY'!$I$54="",0,'Upto Month COPPY'!$I$54)</f>
        <v>8</v>
      </c>
      <c r="BE84" s="9">
        <f>IF('Upto Month COPPY'!$I$55="",0,'Upto Month COPPY'!$I$55)</f>
        <v>0</v>
      </c>
      <c r="BF84" s="9">
        <f>IF('Upto Month COPPY'!$I$56="",0,'Upto Month COPPY'!$I$56)</f>
        <v>9701</v>
      </c>
      <c r="BG84" s="9">
        <f>IF('Upto Month COPPY'!$I$58="",0,'Upto Month COPPY'!$I$58)</f>
        <v>-15030</v>
      </c>
      <c r="BH84" s="9">
        <f>SUM(AE84:BG84)</f>
        <v>18947861</v>
      </c>
      <c r="BI84" s="275">
        <f>AD84+BH84</f>
        <v>18967045</v>
      </c>
      <c r="BJ84" s="9">
        <f>IF('Upto Month COPPY'!$I$60="",0,'Upto Month COPPY'!$I$60)-'Upto Month COPPY'!I57</f>
        <v>671193</v>
      </c>
      <c r="BK84" s="49">
        <f t="shared" ref="BK84:BK85" si="1134">BI84-BJ84</f>
        <v>18295852</v>
      </c>
      <c r="BL84">
        <f>'Upto Month COPPY'!$I$61</f>
        <v>18295854</v>
      </c>
      <c r="BM84" s="30">
        <f t="shared" ref="BM84:BM88" si="1135">BK84-AD84</f>
        <v>18276668</v>
      </c>
      <c r="BN84" s="68">
        <f>-------------------Sheet1!H8</f>
        <v>0</v>
      </c>
    </row>
    <row r="85" spans="1:66">
      <c r="A85" s="128"/>
      <c r="B85" s="180" t="s">
        <v>431</v>
      </c>
      <c r="C85" s="9">
        <f>IF('Upto Month Current'!$I$4="",0,'Upto Month Current'!$I$4)</f>
        <v>12248</v>
      </c>
      <c r="D85" s="9">
        <f>IF('Upto Month Current'!$I$5="",0,'Upto Month Current'!$I$5)</f>
        <v>5604</v>
      </c>
      <c r="E85" s="9">
        <f>IF('Upto Month Current'!$I$6="",0,'Upto Month Current'!$I$6)</f>
        <v>486</v>
      </c>
      <c r="F85" s="9">
        <f>IF('Upto Month Current'!$I$7="",0,'Upto Month Current'!$I$7)</f>
        <v>1485</v>
      </c>
      <c r="G85" s="9">
        <f>IF('Upto Month Current'!$I$8="",0,'Upto Month Current'!$I$8)</f>
        <v>716</v>
      </c>
      <c r="H85" s="9">
        <f>IF('Upto Month Current'!$I$9="",0,'Upto Month Current'!$I$9)</f>
        <v>0</v>
      </c>
      <c r="I85" s="9">
        <f>IF('Upto Month Current'!$I$10="",0,'Upto Month Current'!$I$10)</f>
        <v>0</v>
      </c>
      <c r="J85" s="9">
        <f>IF('Upto Month Current'!$I$11="",0,'Upto Month Current'!$I$11)</f>
        <v>578</v>
      </c>
      <c r="K85" s="9">
        <f>IF('Upto Month Current'!$I$12="",0,'Upto Month Current'!$I$12)</f>
        <v>9</v>
      </c>
      <c r="L85" s="9">
        <f>IF('Upto Month Current'!$I$13="",0,'Upto Month Current'!$I$13)</f>
        <v>256</v>
      </c>
      <c r="M85" s="9">
        <f>IF('Upto Month Current'!$I$14="",0,'Upto Month Current'!$I$14)</f>
        <v>223</v>
      </c>
      <c r="N85" s="9">
        <f>IF('Upto Month Current'!$I$15="",0,'Upto Month Current'!$I$15)</f>
        <v>0</v>
      </c>
      <c r="O85" s="9">
        <f>IF('Upto Month Current'!$I$16="",0,'Upto Month Current'!$I$16)</f>
        <v>0</v>
      </c>
      <c r="P85" s="9">
        <f>IF('Upto Month Current'!$I$17="",0,'Upto Month Current'!$I$17)</f>
        <v>186</v>
      </c>
      <c r="Q85" s="9">
        <f>IF('Upto Month Current'!$I$18="",0,'Upto Month Current'!$I$18)</f>
        <v>0</v>
      </c>
      <c r="R85" s="9">
        <f>IF('Upto Month Current'!$I$21="",0,'Upto Month Current'!$I$21)</f>
        <v>108</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89</v>
      </c>
      <c r="Z85" s="9">
        <f>IF('Upto Month Current'!$I$43="",0,'Upto Month Current'!$I$43)</f>
        <v>25</v>
      </c>
      <c r="AA85" s="9">
        <f>IF('Upto Month Current'!$I$44="",0,'Upto Month Current'!$I$44)</f>
        <v>6</v>
      </c>
      <c r="AB85" s="9">
        <f>IF('Upto Month Current'!$I$48="",0,'Upto Month Current'!$I$48)</f>
        <v>0</v>
      </c>
      <c r="AC85" s="9">
        <f>IF('Upto Month Current'!$I$51="",0,'Upto Month Current'!$I$51)</f>
        <v>0</v>
      </c>
      <c r="AD85" s="221">
        <f t="shared" si="1133"/>
        <v>22019</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324471</v>
      </c>
      <c r="AL85" s="9">
        <f>IF('Upto Month Current'!$I$29="",0,'Upto Month Current'!$I$29)</f>
        <v>0</v>
      </c>
      <c r="AM85" s="9">
        <f>IF('Upto Month Current'!$I$31="",0,'Upto Month Current'!$I$31)</f>
        <v>14794081</v>
      </c>
      <c r="AN85" s="9">
        <f>IF('Upto Month Current'!$I$32="",0,'Upto Month Current'!$I$32)</f>
        <v>0</v>
      </c>
      <c r="AO85" s="9">
        <f>IF('Upto Month Current'!$I$33="",0,'Upto Month Current'!$I$33)</f>
        <v>0</v>
      </c>
      <c r="AP85" s="9">
        <f>IF('Upto Month Current'!$I$34="",0,'Upto Month Current'!$I$34)</f>
        <v>4772</v>
      </c>
      <c r="AQ85" s="9">
        <f>IF('Upto Month Current'!$I$36="",0,'Upto Month Current'!$I$36)</f>
        <v>0</v>
      </c>
      <c r="AR85" s="9">
        <f>IF('Upto Month Current'!$I$37="",0,'Upto Month Current'!$I$37)</f>
        <v>114054</v>
      </c>
      <c r="AS85" s="9">
        <v>0</v>
      </c>
      <c r="AT85" s="9">
        <f>IF('Upto Month Current'!$I$38="",0,'Upto Month Current'!$I$38)</f>
        <v>0</v>
      </c>
      <c r="AU85" s="9">
        <f>IF('Upto Month Current'!$I$41="",0,'Upto Month Current'!$I$41)</f>
        <v>91807</v>
      </c>
      <c r="AV85" s="9">
        <v>0</v>
      </c>
      <c r="AW85" s="9">
        <f>IF('Upto Month Current'!$I$45="",0,'Upto Month Current'!$I$45)</f>
        <v>0</v>
      </c>
      <c r="AX85" s="9">
        <f>IF('Upto Month Current'!$I$46="",0,'Upto Month Current'!$I$46)</f>
        <v>0</v>
      </c>
      <c r="AY85" s="9">
        <f>IF('Upto Month Current'!$I$47="",0,'Upto Month Current'!$I$47)</f>
        <v>0</v>
      </c>
      <c r="AZ85" s="9">
        <f>IF('Upto Month Current'!$I$49="",0,'Upto Month Current'!$I$49)</f>
        <v>12165</v>
      </c>
      <c r="BA85" s="9">
        <f>IF('Upto Month Current'!$I$50="",0,'Upto Month Current'!$I$50)</f>
        <v>1546619</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7580</v>
      </c>
      <c r="BG85" s="9">
        <f>IF('Upto Month Current'!$I$58="",0,'Upto Month Current'!$I$58)</f>
        <v>5940</v>
      </c>
      <c r="BH85" s="9">
        <f>SUM(AE85:BG85)</f>
        <v>16901493</v>
      </c>
      <c r="BI85" s="275">
        <f>AD85+BH85</f>
        <v>16923512</v>
      </c>
      <c r="BJ85" s="9">
        <f>IF('Upto Month Current'!$I$60="",0,'Upto Month Current'!$I$60)-'Upto Month Current'!I57</f>
        <v>556315</v>
      </c>
      <c r="BK85" s="49">
        <f t="shared" si="1134"/>
        <v>16367197</v>
      </c>
      <c r="BL85" s="99">
        <f>'Upto Month Current'!$I$61</f>
        <v>16367198</v>
      </c>
      <c r="BM85" s="30">
        <f t="shared" si="1135"/>
        <v>16345178</v>
      </c>
    </row>
    <row r="86" spans="1:66">
      <c r="A86" s="128"/>
      <c r="B86" s="5" t="s">
        <v>130</v>
      </c>
      <c r="C86" s="11">
        <f>C85-C83</f>
        <v>470</v>
      </c>
      <c r="D86" s="11">
        <f t="shared" ref="D86" si="1136">D85-D83</f>
        <v>255</v>
      </c>
      <c r="E86" s="11">
        <f t="shared" ref="E86" si="1137">E85-E83</f>
        <v>-75</v>
      </c>
      <c r="F86" s="11">
        <f t="shared" ref="F86" si="1138">F85-F83</f>
        <v>127</v>
      </c>
      <c r="G86" s="11">
        <f t="shared" ref="G86" si="1139">G85-G83</f>
        <v>-3</v>
      </c>
      <c r="H86" s="11">
        <f t="shared" ref="H86" si="1140">H85-H83</f>
        <v>0</v>
      </c>
      <c r="I86" s="11">
        <f t="shared" ref="I86" si="1141">I85-I83</f>
        <v>0</v>
      </c>
      <c r="J86" s="11">
        <f t="shared" ref="J86" si="1142">J85-J83</f>
        <v>53</v>
      </c>
      <c r="K86" s="11">
        <f t="shared" ref="K86" si="1143">K85-K83</f>
        <v>-10</v>
      </c>
      <c r="L86" s="11">
        <f t="shared" ref="L86" si="1144">L85-L83</f>
        <v>-11</v>
      </c>
      <c r="M86" s="11">
        <f t="shared" ref="M86" si="1145">M85-M83</f>
        <v>32</v>
      </c>
      <c r="N86" s="11">
        <f t="shared" ref="N86" si="1146">N85-N83</f>
        <v>-60</v>
      </c>
      <c r="O86" s="11">
        <f t="shared" ref="O86" si="1147">O85-O83</f>
        <v>-57</v>
      </c>
      <c r="P86" s="11">
        <f t="shared" ref="P86" si="1148">P85-P83</f>
        <v>29</v>
      </c>
      <c r="Q86" s="11">
        <f t="shared" ref="Q86" si="1149">Q85-Q83</f>
        <v>0</v>
      </c>
      <c r="R86" s="11">
        <f t="shared" ref="R86" si="1150">R85-R83</f>
        <v>108</v>
      </c>
      <c r="S86" s="11">
        <f t="shared" ref="S86" si="1151">S85-S83</f>
        <v>0</v>
      </c>
      <c r="T86" s="11">
        <f t="shared" ref="T86:U86" si="1152">T85-T83</f>
        <v>0</v>
      </c>
      <c r="U86" s="11">
        <f t="shared" si="1152"/>
        <v>0</v>
      </c>
      <c r="V86" s="9">
        <f t="shared" ref="V86" si="1153">V85-V83</f>
        <v>0</v>
      </c>
      <c r="W86" s="11">
        <f t="shared" ref="W86" si="1154">W85-W83</f>
        <v>0</v>
      </c>
      <c r="X86" s="11">
        <f t="shared" ref="X86" si="1155">X85-X83</f>
        <v>0</v>
      </c>
      <c r="Y86" s="11">
        <f t="shared" ref="Y86" si="1156">Y85-Y83</f>
        <v>-78</v>
      </c>
      <c r="Z86" s="11">
        <f t="shared" ref="Z86" si="1157">Z85-Z83</f>
        <v>-21</v>
      </c>
      <c r="AA86" s="11">
        <f t="shared" ref="AA86:AD86" si="1158">AA85-AA83</f>
        <v>-3</v>
      </c>
      <c r="AB86" s="11">
        <f t="shared" ref="AB86" si="1159">AB85-AB83</f>
        <v>0</v>
      </c>
      <c r="AC86" s="9">
        <f t="shared" si="1158"/>
        <v>0</v>
      </c>
      <c r="AD86" s="216">
        <f t="shared" si="1158"/>
        <v>756</v>
      </c>
      <c r="AE86" s="11">
        <f t="shared" ref="AE86" si="1160">AE85-AE83</f>
        <v>0</v>
      </c>
      <c r="AF86" s="11">
        <f t="shared" ref="AF86" si="1161">AF85-AF83</f>
        <v>0</v>
      </c>
      <c r="AG86" s="11">
        <f t="shared" ref="AG86" si="1162">AG85-AG83</f>
        <v>0</v>
      </c>
      <c r="AH86" s="11">
        <f t="shared" ref="AH86" si="1163">AH85-AH83</f>
        <v>0</v>
      </c>
      <c r="AI86" s="11">
        <f t="shared" ref="AI86" si="1164">AI85-AI83</f>
        <v>0</v>
      </c>
      <c r="AJ86" s="11">
        <f t="shared" ref="AJ86" si="1165">AJ85-AJ83</f>
        <v>0</v>
      </c>
      <c r="AK86" s="11">
        <f t="shared" ref="AK86" si="1166">AK85-AK83</f>
        <v>-31485</v>
      </c>
      <c r="AL86" s="11">
        <f t="shared" ref="AL86" si="1167">AL85-AL83</f>
        <v>0</v>
      </c>
      <c r="AM86" s="11">
        <f t="shared" ref="AM86" si="1168">AM85-AM83</f>
        <v>-762846</v>
      </c>
      <c r="AN86" s="11">
        <f t="shared" ref="AN86" si="1169">AN85-AN83</f>
        <v>0</v>
      </c>
      <c r="AO86" s="9">
        <f t="shared" ref="AO86" si="1170">AO85-AO83</f>
        <v>0</v>
      </c>
      <c r="AP86" s="11">
        <f t="shared" ref="AP86" si="1171">AP85-AP83</f>
        <v>-1905</v>
      </c>
      <c r="AQ86" s="9">
        <f t="shared" ref="AQ86" si="1172">AQ85-AQ83</f>
        <v>0</v>
      </c>
      <c r="AR86" s="11">
        <f t="shared" ref="AR86" si="1173">AR85-AR83</f>
        <v>-14727</v>
      </c>
      <c r="AS86" s="11">
        <f t="shared" ref="AS86" si="1174">AS85-AS83</f>
        <v>0</v>
      </c>
      <c r="AT86" s="11">
        <f t="shared" ref="AT86" si="1175">AT85-AT83</f>
        <v>0</v>
      </c>
      <c r="AU86" s="11">
        <f t="shared" ref="AU86" si="1176">AU85-AU83</f>
        <v>6860</v>
      </c>
      <c r="AV86" s="11">
        <f t="shared" ref="AV86" si="1177">AV85-AV83</f>
        <v>0</v>
      </c>
      <c r="AW86" s="11">
        <f t="shared" ref="AW86" si="1178">AW85-AW83</f>
        <v>0</v>
      </c>
      <c r="AX86" s="11">
        <f t="shared" ref="AX86" si="1179">AX85-AX83</f>
        <v>0</v>
      </c>
      <c r="AY86" s="11">
        <f t="shared" ref="AY86" si="1180">AY85-AY83</f>
        <v>0</v>
      </c>
      <c r="AZ86" s="11">
        <f t="shared" ref="AZ86" si="1181">AZ85-AZ83</f>
        <v>-4654</v>
      </c>
      <c r="BA86" s="11">
        <f t="shared" ref="BA86" si="1182">BA85-BA83</f>
        <v>137367</v>
      </c>
      <c r="BB86" s="9">
        <f t="shared" ref="BB86" si="1183">BB85-BB83</f>
        <v>0</v>
      </c>
      <c r="BC86" s="11">
        <f t="shared" ref="BC86" si="1184">BC85-BC83</f>
        <v>2</v>
      </c>
      <c r="BD86" s="11">
        <f t="shared" ref="BD86" si="1185">BD85-BD83</f>
        <v>2</v>
      </c>
      <c r="BE86" s="11">
        <f t="shared" ref="BE86" si="1186">BE85-BE83</f>
        <v>0</v>
      </c>
      <c r="BF86" s="11">
        <f t="shared" ref="BF86" si="1187">BF85-BF83</f>
        <v>-3653</v>
      </c>
      <c r="BG86" s="11">
        <f t="shared" ref="BG86:BH86" si="1188">BG85-BG83</f>
        <v>-27540</v>
      </c>
      <c r="BH86" s="9">
        <f t="shared" si="1188"/>
        <v>-702579</v>
      </c>
      <c r="BI86" s="9">
        <f t="shared" ref="BI86" si="1189">BI85-BI83</f>
        <v>-701823</v>
      </c>
      <c r="BJ86" s="11">
        <f t="shared" ref="BJ86:BK86" si="1190">BJ85-BJ83</f>
        <v>-141049</v>
      </c>
      <c r="BK86" s="49">
        <f t="shared" si="1190"/>
        <v>-560774</v>
      </c>
      <c r="BM86" s="30">
        <f t="shared" si="1135"/>
        <v>-561530</v>
      </c>
    </row>
    <row r="87" spans="1:66">
      <c r="A87" s="128"/>
      <c r="B87" s="5" t="s">
        <v>131</v>
      </c>
      <c r="C87" s="13">
        <f>C86/C83</f>
        <v>3.9904907454576331E-2</v>
      </c>
      <c r="D87" s="13">
        <f t="shared" ref="D87" si="1191">D86/D83</f>
        <v>4.7672462142456531E-2</v>
      </c>
      <c r="E87" s="13">
        <f t="shared" ref="E87" si="1192">E86/E83</f>
        <v>-0.13368983957219252</v>
      </c>
      <c r="F87" s="13">
        <f t="shared" ref="F87" si="1193">F86/F83</f>
        <v>9.3519882179675995E-2</v>
      </c>
      <c r="G87" s="13">
        <f t="shared" ref="G87" si="1194">G86/G83</f>
        <v>-4.172461752433936E-3</v>
      </c>
      <c r="H87" s="13" t="e">
        <f t="shared" ref="H87" si="1195">H86/H83</f>
        <v>#DIV/0!</v>
      </c>
      <c r="I87" s="13" t="e">
        <f t="shared" ref="I87" si="1196">I86/I83</f>
        <v>#DIV/0!</v>
      </c>
      <c r="J87" s="13">
        <f t="shared" ref="J87" si="1197">J86/J83</f>
        <v>0.10095238095238095</v>
      </c>
      <c r="K87" s="13">
        <f t="shared" ref="K87" si="1198">K86/K83</f>
        <v>-0.52631578947368418</v>
      </c>
      <c r="L87" s="13">
        <f t="shared" ref="L87" si="1199">L86/L83</f>
        <v>-4.1198501872659173E-2</v>
      </c>
      <c r="M87" s="13">
        <f t="shared" ref="M87" si="1200">M86/M83</f>
        <v>0.16753926701570682</v>
      </c>
      <c r="N87" s="13">
        <f t="shared" ref="N87" si="1201">N86/N83</f>
        <v>-1</v>
      </c>
      <c r="O87" s="13">
        <f t="shared" ref="O87" si="1202">O86/O83</f>
        <v>-1</v>
      </c>
      <c r="P87" s="13">
        <f t="shared" ref="P87" si="1203">P86/P83</f>
        <v>0.18471337579617833</v>
      </c>
      <c r="Q87" s="13" t="e">
        <f t="shared" ref="Q87" si="1204">Q86/Q83</f>
        <v>#DIV/0!</v>
      </c>
      <c r="R87" s="13" t="e">
        <f t="shared" ref="R87" si="1205">R86/R83</f>
        <v>#DIV/0!</v>
      </c>
      <c r="S87" s="13" t="e">
        <f t="shared" ref="S87" si="1206">S86/S83</f>
        <v>#DIV/0!</v>
      </c>
      <c r="T87" s="13" t="e">
        <f t="shared" ref="T87:U87" si="1207">T86/T83</f>
        <v>#DIV/0!</v>
      </c>
      <c r="U87" s="13" t="e">
        <f t="shared" si="1207"/>
        <v>#DIV/0!</v>
      </c>
      <c r="V87" s="160" t="e">
        <f t="shared" ref="V87" si="1208">V86/V83</f>
        <v>#DIV/0!</v>
      </c>
      <c r="W87" s="13" t="e">
        <f t="shared" ref="W87" si="1209">W86/W83</f>
        <v>#DIV/0!</v>
      </c>
      <c r="X87" s="13" t="e">
        <f t="shared" ref="X87" si="1210">X86/X83</f>
        <v>#DIV/0!</v>
      </c>
      <c r="Y87" s="13">
        <f t="shared" ref="Y87" si="1211">Y86/Y83</f>
        <v>-0.46706586826347307</v>
      </c>
      <c r="Z87" s="13">
        <f t="shared" ref="Z87" si="1212">Z86/Z83</f>
        <v>-0.45652173913043476</v>
      </c>
      <c r="AA87" s="13">
        <f t="shared" ref="AA87:AD87" si="1213">AA86/AA83</f>
        <v>-0.33333333333333331</v>
      </c>
      <c r="AB87" s="13" t="e">
        <f t="shared" ref="AB87" si="1214">AB86/AB83</f>
        <v>#DIV/0!</v>
      </c>
      <c r="AC87" s="160" t="e">
        <f t="shared" si="1213"/>
        <v>#DIV/0!</v>
      </c>
      <c r="AD87" s="217">
        <f t="shared" si="1213"/>
        <v>3.5554719465738606E-2</v>
      </c>
      <c r="AE87" s="13" t="e">
        <f t="shared" ref="AE87" si="1215">AE86/AE83</f>
        <v>#DIV/0!</v>
      </c>
      <c r="AF87" s="13" t="e">
        <f t="shared" ref="AF87" si="1216">AF86/AF83</f>
        <v>#DIV/0!</v>
      </c>
      <c r="AG87" s="13" t="e">
        <f t="shared" ref="AG87" si="1217">AG86/AG83</f>
        <v>#DIV/0!</v>
      </c>
      <c r="AH87" s="13" t="e">
        <f t="shared" ref="AH87" si="1218">AH86/AH83</f>
        <v>#DIV/0!</v>
      </c>
      <c r="AI87" s="13" t="e">
        <f t="shared" ref="AI87" si="1219">AI86/AI83</f>
        <v>#DIV/0!</v>
      </c>
      <c r="AJ87" s="13" t="e">
        <f t="shared" ref="AJ87" si="1220">AJ86/AJ83</f>
        <v>#DIV/0!</v>
      </c>
      <c r="AK87" s="13">
        <f t="shared" ref="AK87" si="1221">AK86/AK83</f>
        <v>-8.8451943498634666E-2</v>
      </c>
      <c r="AL87" s="13" t="e">
        <f t="shared" ref="AL87" si="1222">AL86/AL83</f>
        <v>#DIV/0!</v>
      </c>
      <c r="AM87" s="13">
        <f t="shared" ref="AM87" si="1223">AM86/AM83</f>
        <v>-4.9035776795764353E-2</v>
      </c>
      <c r="AN87" s="13" t="e">
        <f t="shared" ref="AN87" si="1224">AN86/AN83</f>
        <v>#DIV/0!</v>
      </c>
      <c r="AO87" s="160" t="e">
        <f t="shared" ref="AO87" si="1225">AO86/AO83</f>
        <v>#DIV/0!</v>
      </c>
      <c r="AP87" s="13">
        <f t="shared" ref="AP87" si="1226">AP86/AP83</f>
        <v>-0.2853077729519245</v>
      </c>
      <c r="AQ87" s="160" t="e">
        <f t="shared" ref="AQ87" si="1227">AQ86/AQ83</f>
        <v>#DIV/0!</v>
      </c>
      <c r="AR87" s="13">
        <f t="shared" ref="AR87" si="1228">AR86/AR83</f>
        <v>-0.1143569315349314</v>
      </c>
      <c r="AS87" s="13" t="e">
        <f t="shared" ref="AS87" si="1229">AS86/AS83</f>
        <v>#DIV/0!</v>
      </c>
      <c r="AT87" s="13" t="e">
        <f t="shared" ref="AT87" si="1230">AT86/AT83</f>
        <v>#DIV/0!</v>
      </c>
      <c r="AU87" s="13">
        <f t="shared" ref="AU87" si="1231">AU86/AU83</f>
        <v>8.0756236241421128E-2</v>
      </c>
      <c r="AV87" s="13" t="e">
        <f t="shared" ref="AV87" si="1232">AV86/AV83</f>
        <v>#DIV/0!</v>
      </c>
      <c r="AW87" s="13" t="e">
        <f t="shared" ref="AW87" si="1233">AW86/AW83</f>
        <v>#DIV/0!</v>
      </c>
      <c r="AX87" s="13" t="e">
        <f t="shared" ref="AX87" si="1234">AX86/AX83</f>
        <v>#DIV/0!</v>
      </c>
      <c r="AY87" s="13" t="e">
        <f t="shared" ref="AY87" si="1235">AY86/AY83</f>
        <v>#DIV/0!</v>
      </c>
      <c r="AZ87" s="13">
        <f t="shared" ref="AZ87" si="1236">AZ86/AZ83</f>
        <v>-0.27671086271478684</v>
      </c>
      <c r="BA87" s="13">
        <f t="shared" ref="BA87" si="1237">BA86/BA83</f>
        <v>9.7475114457882622E-2</v>
      </c>
      <c r="BB87" s="160" t="e">
        <f t="shared" ref="BB87" si="1238">BB86/BB83</f>
        <v>#DIV/0!</v>
      </c>
      <c r="BC87" s="13" t="e">
        <f t="shared" ref="BC87" si="1239">BC86/BC83</f>
        <v>#DIV/0!</v>
      </c>
      <c r="BD87" s="13" t="e">
        <f t="shared" ref="BD87" si="1240">BD86/BD83</f>
        <v>#DIV/0!</v>
      </c>
      <c r="BE87" s="13" t="e">
        <f t="shared" ref="BE87" si="1241">BE86/BE83</f>
        <v>#DIV/0!</v>
      </c>
      <c r="BF87" s="13">
        <f t="shared" ref="BF87" si="1242">BF86/BF83</f>
        <v>-0.32520252826493368</v>
      </c>
      <c r="BG87" s="13">
        <f t="shared" ref="BG87:BH87" si="1243">BG86/BG83</f>
        <v>-0.82258064516129037</v>
      </c>
      <c r="BH87" s="160">
        <f t="shared" si="1243"/>
        <v>-3.9910027634515469E-2</v>
      </c>
      <c r="BI87" s="160">
        <f t="shared" ref="BI87" si="1244">BI86/BI83</f>
        <v>-3.9818987837677976E-2</v>
      </c>
      <c r="BJ87" s="13">
        <f t="shared" ref="BJ87:BK87" si="1245">BJ86/BJ83</f>
        <v>-0.20226022564973242</v>
      </c>
      <c r="BK87" s="50">
        <f t="shared" si="1245"/>
        <v>-3.3127065257850453E-2</v>
      </c>
      <c r="BM87" s="160" t="e">
        <f t="shared" ref="BM87" si="1246">BM86/BM83</f>
        <v>#DIV/0!</v>
      </c>
    </row>
    <row r="88" spans="1:66">
      <c r="A88" s="128"/>
      <c r="B88" s="5" t="s">
        <v>132</v>
      </c>
      <c r="C88" s="11">
        <f>C85-C84</f>
        <v>903</v>
      </c>
      <c r="D88" s="11">
        <f t="shared" ref="D88:BK88" si="1247">D85-D84</f>
        <v>1322</v>
      </c>
      <c r="E88" s="11">
        <f t="shared" si="1247"/>
        <v>-39</v>
      </c>
      <c r="F88" s="11">
        <f t="shared" si="1247"/>
        <v>193</v>
      </c>
      <c r="G88" s="11">
        <f t="shared" si="1247"/>
        <v>69</v>
      </c>
      <c r="H88" s="11">
        <f t="shared" si="1247"/>
        <v>0</v>
      </c>
      <c r="I88" s="11">
        <f t="shared" si="1247"/>
        <v>0</v>
      </c>
      <c r="J88" s="11">
        <f t="shared" si="1247"/>
        <v>113</v>
      </c>
      <c r="K88" s="11">
        <f t="shared" si="1247"/>
        <v>-2</v>
      </c>
      <c r="L88" s="11">
        <f t="shared" si="1247"/>
        <v>69</v>
      </c>
      <c r="M88" s="11">
        <f t="shared" si="1247"/>
        <v>35</v>
      </c>
      <c r="N88" s="11">
        <f t="shared" si="1247"/>
        <v>-27</v>
      </c>
      <c r="O88" s="11">
        <f t="shared" si="1247"/>
        <v>-46</v>
      </c>
      <c r="P88" s="11">
        <f t="shared" si="1247"/>
        <v>38</v>
      </c>
      <c r="Q88" s="11">
        <f t="shared" si="1247"/>
        <v>0</v>
      </c>
      <c r="R88" s="11">
        <f t="shared" si="1247"/>
        <v>108</v>
      </c>
      <c r="S88" s="11">
        <f t="shared" si="1247"/>
        <v>0</v>
      </c>
      <c r="T88" s="11">
        <f t="shared" si="1247"/>
        <v>0</v>
      </c>
      <c r="U88" s="11">
        <f t="shared" ref="U88" si="1248">U85-U84</f>
        <v>0</v>
      </c>
      <c r="V88" s="9">
        <f t="shared" si="1247"/>
        <v>0</v>
      </c>
      <c r="W88" s="11">
        <f t="shared" si="1247"/>
        <v>0</v>
      </c>
      <c r="X88" s="11">
        <f t="shared" si="1247"/>
        <v>0</v>
      </c>
      <c r="Y88" s="11">
        <f t="shared" si="1247"/>
        <v>83</v>
      </c>
      <c r="Z88" s="11">
        <f t="shared" si="1247"/>
        <v>24</v>
      </c>
      <c r="AA88" s="11">
        <f t="shared" si="1247"/>
        <v>-8</v>
      </c>
      <c r="AB88" s="11">
        <f t="shared" ref="AB88" si="1249">AB85-AB84</f>
        <v>0</v>
      </c>
      <c r="AC88" s="9">
        <f t="shared" ref="AC88:AD88" si="1250">AC85-AC84</f>
        <v>0</v>
      </c>
      <c r="AD88" s="216">
        <f t="shared" si="1250"/>
        <v>2835</v>
      </c>
      <c r="AE88" s="11">
        <f t="shared" si="1247"/>
        <v>0</v>
      </c>
      <c r="AF88" s="11">
        <f t="shared" si="1247"/>
        <v>0</v>
      </c>
      <c r="AG88" s="11">
        <f t="shared" si="1247"/>
        <v>0</v>
      </c>
      <c r="AH88" s="11">
        <f t="shared" si="1247"/>
        <v>0</v>
      </c>
      <c r="AI88" s="11">
        <f t="shared" si="1247"/>
        <v>0</v>
      </c>
      <c r="AJ88" s="11">
        <f t="shared" si="1247"/>
        <v>0</v>
      </c>
      <c r="AK88" s="11">
        <f t="shared" si="1247"/>
        <v>-324393</v>
      </c>
      <c r="AL88" s="11">
        <f t="shared" si="1247"/>
        <v>0</v>
      </c>
      <c r="AM88" s="11">
        <f t="shared" si="1247"/>
        <v>480225</v>
      </c>
      <c r="AN88" s="11">
        <f t="shared" si="1247"/>
        <v>0</v>
      </c>
      <c r="AO88" s="9">
        <f t="shared" si="1247"/>
        <v>0</v>
      </c>
      <c r="AP88" s="11">
        <f t="shared" si="1247"/>
        <v>-253677</v>
      </c>
      <c r="AQ88" s="9">
        <f t="shared" si="1247"/>
        <v>0</v>
      </c>
      <c r="AR88" s="11">
        <f t="shared" si="1247"/>
        <v>-1075</v>
      </c>
      <c r="AS88" s="11">
        <f t="shared" si="1247"/>
        <v>0</v>
      </c>
      <c r="AT88" s="11">
        <f t="shared" si="1247"/>
        <v>0</v>
      </c>
      <c r="AU88" s="11">
        <f t="shared" si="1247"/>
        <v>20795</v>
      </c>
      <c r="AV88" s="11">
        <f t="shared" si="1247"/>
        <v>0</v>
      </c>
      <c r="AW88" s="11">
        <f t="shared" si="1247"/>
        <v>0</v>
      </c>
      <c r="AX88" s="11">
        <f t="shared" si="1247"/>
        <v>0</v>
      </c>
      <c r="AY88" s="11">
        <f t="shared" si="1247"/>
        <v>0</v>
      </c>
      <c r="AZ88" s="11">
        <f t="shared" si="1247"/>
        <v>-379645</v>
      </c>
      <c r="BA88" s="11">
        <f t="shared" si="1247"/>
        <v>-1607435</v>
      </c>
      <c r="BB88" s="9">
        <f t="shared" si="1247"/>
        <v>0</v>
      </c>
      <c r="BC88" s="11">
        <f t="shared" si="1247"/>
        <v>-6</v>
      </c>
      <c r="BD88" s="11">
        <f t="shared" si="1247"/>
        <v>-6</v>
      </c>
      <c r="BE88" s="11">
        <f t="shared" si="1247"/>
        <v>0</v>
      </c>
      <c r="BF88" s="11">
        <f t="shared" si="1247"/>
        <v>-2121</v>
      </c>
      <c r="BG88" s="11">
        <f t="shared" si="1247"/>
        <v>20970</v>
      </c>
      <c r="BH88" s="9">
        <f t="shared" si="1247"/>
        <v>-2046368</v>
      </c>
      <c r="BI88" s="9">
        <f t="shared" si="1247"/>
        <v>-2043533</v>
      </c>
      <c r="BJ88" s="11">
        <f t="shared" si="1247"/>
        <v>-114878</v>
      </c>
      <c r="BK88" s="49">
        <f t="shared" si="1247"/>
        <v>-1928655</v>
      </c>
      <c r="BM88" s="30">
        <f t="shared" si="1135"/>
        <v>-1931490</v>
      </c>
    </row>
    <row r="89" spans="1:66">
      <c r="A89" s="128"/>
      <c r="B89" s="5" t="s">
        <v>133</v>
      </c>
      <c r="C89" s="13">
        <f>C88/C84</f>
        <v>7.9594535037461431E-2</v>
      </c>
      <c r="D89" s="13">
        <f t="shared" ref="D89" si="1251">D88/D84</f>
        <v>0.30873423633815972</v>
      </c>
      <c r="E89" s="13">
        <f t="shared" ref="E89" si="1252">E88/E84</f>
        <v>-7.4285714285714288E-2</v>
      </c>
      <c r="F89" s="13">
        <f t="shared" ref="F89" si="1253">F88/F84</f>
        <v>0.14938080495356038</v>
      </c>
      <c r="G89" s="13">
        <f t="shared" ref="G89" si="1254">G88/G84</f>
        <v>0.10664605873261206</v>
      </c>
      <c r="H89" s="13" t="e">
        <f t="shared" ref="H89" si="1255">H88/H84</f>
        <v>#DIV/0!</v>
      </c>
      <c r="I89" s="13" t="e">
        <f t="shared" ref="I89" si="1256">I88/I84</f>
        <v>#DIV/0!</v>
      </c>
      <c r="J89" s="13">
        <f t="shared" ref="J89" si="1257">J88/J84</f>
        <v>0.24301075268817204</v>
      </c>
      <c r="K89" s="13">
        <f t="shared" ref="K89" si="1258">K88/K84</f>
        <v>-0.18181818181818182</v>
      </c>
      <c r="L89" s="13">
        <f t="shared" ref="L89" si="1259">L88/L84</f>
        <v>0.36898395721925131</v>
      </c>
      <c r="M89" s="13">
        <f t="shared" ref="M89" si="1260">M88/M84</f>
        <v>0.18617021276595744</v>
      </c>
      <c r="N89" s="13">
        <f t="shared" ref="N89" si="1261">N88/N84</f>
        <v>-1</v>
      </c>
      <c r="O89" s="13">
        <f t="shared" ref="O89" si="1262">O88/O84</f>
        <v>-1</v>
      </c>
      <c r="P89" s="13">
        <f t="shared" ref="P89" si="1263">P88/P84</f>
        <v>0.25675675675675674</v>
      </c>
      <c r="Q89" s="13" t="e">
        <f t="shared" ref="Q89" si="1264">Q88/Q84</f>
        <v>#DIV/0!</v>
      </c>
      <c r="R89" s="13" t="e">
        <f t="shared" ref="R89" si="1265">R88/R84</f>
        <v>#DIV/0!</v>
      </c>
      <c r="S89" s="13" t="e">
        <f t="shared" ref="S89" si="1266">S88/S84</f>
        <v>#DIV/0!</v>
      </c>
      <c r="T89" s="13" t="e">
        <f t="shared" ref="T89:U89" si="1267">T88/T84</f>
        <v>#DIV/0!</v>
      </c>
      <c r="U89" s="13" t="e">
        <f t="shared" si="1267"/>
        <v>#DIV/0!</v>
      </c>
      <c r="V89" s="160" t="e">
        <f t="shared" ref="V89" si="1268">V88/V84</f>
        <v>#DIV/0!</v>
      </c>
      <c r="W89" s="13" t="e">
        <f t="shared" ref="W89" si="1269">W88/W84</f>
        <v>#DIV/0!</v>
      </c>
      <c r="X89" s="13" t="e">
        <f t="shared" ref="X89" si="1270">X88/X84</f>
        <v>#DIV/0!</v>
      </c>
      <c r="Y89" s="13">
        <f t="shared" ref="Y89" si="1271">Y88/Y84</f>
        <v>13.833333333333334</v>
      </c>
      <c r="Z89" s="13">
        <f t="shared" ref="Z89" si="1272">Z88/Z84</f>
        <v>24</v>
      </c>
      <c r="AA89" s="13">
        <f t="shared" ref="AA89:AD89" si="1273">AA88/AA84</f>
        <v>-0.5714285714285714</v>
      </c>
      <c r="AB89" s="13" t="e">
        <f t="shared" ref="AB89" si="1274">AB88/AB84</f>
        <v>#DIV/0!</v>
      </c>
      <c r="AC89" s="160" t="e">
        <f t="shared" si="1273"/>
        <v>#DIV/0!</v>
      </c>
      <c r="AD89" s="217">
        <f t="shared" si="1273"/>
        <v>0.14777939949958299</v>
      </c>
      <c r="AE89" s="13" t="e">
        <f t="shared" ref="AE89" si="1275">AE88/AE84</f>
        <v>#DIV/0!</v>
      </c>
      <c r="AF89" s="13" t="e">
        <f t="shared" ref="AF89" si="1276">AF88/AF84</f>
        <v>#DIV/0!</v>
      </c>
      <c r="AG89" s="13" t="e">
        <f t="shared" ref="AG89" si="1277">AG88/AG84</f>
        <v>#DIV/0!</v>
      </c>
      <c r="AH89" s="13" t="e">
        <f t="shared" ref="AH89" si="1278">AH88/AH84</f>
        <v>#DIV/0!</v>
      </c>
      <c r="AI89" s="13" t="e">
        <f t="shared" ref="AI89" si="1279">AI88/AI84</f>
        <v>#DIV/0!</v>
      </c>
      <c r="AJ89" s="13" t="e">
        <f t="shared" ref="AJ89" si="1280">AJ88/AJ84</f>
        <v>#DIV/0!</v>
      </c>
      <c r="AK89" s="13">
        <f t="shared" ref="AK89" si="1281">AK88/AK84</f>
        <v>-0.49993989495487501</v>
      </c>
      <c r="AL89" s="13" t="e">
        <f t="shared" ref="AL89" si="1282">AL88/AL84</f>
        <v>#DIV/0!</v>
      </c>
      <c r="AM89" s="13">
        <f t="shared" ref="AM89" si="1283">AM88/AM84</f>
        <v>3.354965985406029E-2</v>
      </c>
      <c r="AN89" s="13" t="e">
        <f t="shared" ref="AN89" si="1284">AN88/AN84</f>
        <v>#DIV/0!</v>
      </c>
      <c r="AO89" s="160" t="e">
        <f t="shared" ref="AO89" si="1285">AO88/AO84</f>
        <v>#DIV/0!</v>
      </c>
      <c r="AP89" s="13">
        <f t="shared" ref="AP89" si="1286">AP88/AP84</f>
        <v>-0.98153600903853366</v>
      </c>
      <c r="AQ89" s="160" t="e">
        <f t="shared" ref="AQ89" si="1287">AQ88/AQ84</f>
        <v>#DIV/0!</v>
      </c>
      <c r="AR89" s="13">
        <f t="shared" ref="AR89" si="1288">AR88/AR84</f>
        <v>-9.3373520138279667E-3</v>
      </c>
      <c r="AS89" s="13" t="e">
        <f t="shared" ref="AS89" si="1289">AS88/AS84</f>
        <v>#DIV/0!</v>
      </c>
      <c r="AT89" s="13" t="e">
        <f t="shared" ref="AT89" si="1290">AT88/AT84</f>
        <v>#DIV/0!</v>
      </c>
      <c r="AU89" s="13">
        <f t="shared" ref="AU89" si="1291">AU88/AU84</f>
        <v>0.29283783022587734</v>
      </c>
      <c r="AV89" s="13" t="e">
        <f t="shared" ref="AV89" si="1292">AV88/AV84</f>
        <v>#DIV/0!</v>
      </c>
      <c r="AW89" s="13" t="e">
        <f t="shared" ref="AW89" si="1293">AW88/AW84</f>
        <v>#DIV/0!</v>
      </c>
      <c r="AX89" s="13" t="e">
        <f t="shared" ref="AX89" si="1294">AX88/AX84</f>
        <v>#DIV/0!</v>
      </c>
      <c r="AY89" s="13" t="e">
        <f t="shared" ref="AY89" si="1295">AY88/AY84</f>
        <v>#DIV/0!</v>
      </c>
      <c r="AZ89" s="13">
        <f t="shared" ref="AZ89" si="1296">AZ88/AZ84</f>
        <v>-0.96895178785635894</v>
      </c>
      <c r="BA89" s="13">
        <f t="shared" ref="BA89" si="1297">BA88/BA84</f>
        <v>-0.50964092561509722</v>
      </c>
      <c r="BB89" s="160" t="e">
        <f t="shared" ref="BB89" si="1298">BB88/BB84</f>
        <v>#DIV/0!</v>
      </c>
      <c r="BC89" s="13">
        <f t="shared" ref="BC89" si="1299">BC88/BC84</f>
        <v>-0.75</v>
      </c>
      <c r="BD89" s="13">
        <f t="shared" ref="BD89" si="1300">BD88/BD84</f>
        <v>-0.75</v>
      </c>
      <c r="BE89" s="13" t="e">
        <f t="shared" ref="BE89" si="1301">BE88/BE84</f>
        <v>#DIV/0!</v>
      </c>
      <c r="BF89" s="13">
        <f t="shared" ref="BF89" si="1302">BF88/BF84</f>
        <v>-0.21863725389135141</v>
      </c>
      <c r="BG89" s="13">
        <f t="shared" ref="BG89:BH89" si="1303">BG88/BG84</f>
        <v>-1.3952095808383234</v>
      </c>
      <c r="BH89" s="160">
        <f t="shared" si="1303"/>
        <v>-0.10799994785691112</v>
      </c>
      <c r="BI89" s="160">
        <f t="shared" ref="BI89" si="1304">BI88/BI84</f>
        <v>-0.10774124277134367</v>
      </c>
      <c r="BJ89" s="13">
        <f t="shared" ref="BJ89:BK89" si="1305">BJ88/BJ84</f>
        <v>-0.17115494351103186</v>
      </c>
      <c r="BK89" s="50">
        <f t="shared" si="1305"/>
        <v>-0.10541487764549036</v>
      </c>
      <c r="BM89" s="14">
        <f t="shared" ref="BM89" si="1306">BM88/BM84</f>
        <v>-0.10568064156989666</v>
      </c>
    </row>
    <row r="90" spans="1:66">
      <c r="A90" s="128"/>
      <c r="B90" s="5" t="s">
        <v>340</v>
      </c>
      <c r="C90" s="126">
        <f>C85/C82</f>
        <v>0.96274170727872976</v>
      </c>
      <c r="D90" s="126">
        <f t="shared" ref="D90:BK90" si="1307">D85/D82</f>
        <v>0.9480629335137879</v>
      </c>
      <c r="E90" s="126">
        <f t="shared" si="1307"/>
        <v>0.86631016042780751</v>
      </c>
      <c r="F90" s="126">
        <f t="shared" si="1307"/>
        <v>0.99664429530201337</v>
      </c>
      <c r="G90" s="126">
        <f t="shared" si="1307"/>
        <v>0.90632911392405058</v>
      </c>
      <c r="H90" s="126" t="e">
        <f t="shared" si="1307"/>
        <v>#DIV/0!</v>
      </c>
      <c r="I90" s="126" t="e">
        <f t="shared" si="1307"/>
        <v>#DIV/0!</v>
      </c>
      <c r="J90" s="126">
        <f t="shared" si="1307"/>
        <v>0.97142857142857142</v>
      </c>
      <c r="K90" s="126">
        <f t="shared" si="1307"/>
        <v>0.34615384615384615</v>
      </c>
      <c r="L90" s="126">
        <f t="shared" si="1307"/>
        <v>0.83387622149837137</v>
      </c>
      <c r="M90" s="126">
        <f t="shared" si="1307"/>
        <v>1.0772946859903381</v>
      </c>
      <c r="N90" s="126">
        <f t="shared" si="1307"/>
        <v>0</v>
      </c>
      <c r="O90" s="126">
        <f t="shared" si="1307"/>
        <v>0</v>
      </c>
      <c r="P90" s="126">
        <f t="shared" si="1307"/>
        <v>1.0877192982456141</v>
      </c>
      <c r="Q90" s="126" t="e">
        <f t="shared" si="1307"/>
        <v>#DIV/0!</v>
      </c>
      <c r="R90" s="126" t="e">
        <f t="shared" si="1307"/>
        <v>#DIV/0!</v>
      </c>
      <c r="S90" s="126" t="e">
        <f t="shared" si="1307"/>
        <v>#DIV/0!</v>
      </c>
      <c r="T90" s="126" t="e">
        <f t="shared" si="1307"/>
        <v>#DIV/0!</v>
      </c>
      <c r="U90" s="126" t="e">
        <f t="shared" si="1307"/>
        <v>#DIV/0!</v>
      </c>
      <c r="V90" s="175" t="e">
        <f t="shared" si="1307"/>
        <v>#DIV/0!</v>
      </c>
      <c r="W90" s="126" t="e">
        <f t="shared" si="1307"/>
        <v>#DIV/0!</v>
      </c>
      <c r="X90" s="126" t="e">
        <f t="shared" si="1307"/>
        <v>#DIV/0!</v>
      </c>
      <c r="Y90" s="126">
        <f t="shared" si="1307"/>
        <v>0.40454545454545454</v>
      </c>
      <c r="Z90" s="126">
        <f t="shared" si="1307"/>
        <v>0.40322580645161288</v>
      </c>
      <c r="AA90" s="126">
        <f t="shared" si="1307"/>
        <v>0.6</v>
      </c>
      <c r="AB90" s="126" t="e">
        <f t="shared" ref="AB90" si="1308">AB85/AB82</f>
        <v>#DIV/0!</v>
      </c>
      <c r="AC90" s="175" t="e">
        <f t="shared" si="1307"/>
        <v>#DIV/0!</v>
      </c>
      <c r="AD90" s="218">
        <f t="shared" si="1307"/>
        <v>0.94901301611930011</v>
      </c>
      <c r="AE90" s="126" t="e">
        <f t="shared" si="1307"/>
        <v>#DIV/0!</v>
      </c>
      <c r="AF90" s="126" t="e">
        <f t="shared" si="1307"/>
        <v>#DIV/0!</v>
      </c>
      <c r="AG90" s="126" t="e">
        <f t="shared" si="1307"/>
        <v>#DIV/0!</v>
      </c>
      <c r="AH90" s="126" t="e">
        <f t="shared" si="1307"/>
        <v>#DIV/0!</v>
      </c>
      <c r="AI90" s="126" t="e">
        <f t="shared" si="1307"/>
        <v>#DIV/0!</v>
      </c>
      <c r="AJ90" s="126" t="e">
        <f t="shared" si="1307"/>
        <v>#DIV/0!</v>
      </c>
      <c r="AK90" s="126">
        <f t="shared" si="1307"/>
        <v>0.86182478824307496</v>
      </c>
      <c r="AL90" s="126" t="e">
        <f t="shared" si="1307"/>
        <v>#DIV/0!</v>
      </c>
      <c r="AM90" s="126">
        <f t="shared" si="1307"/>
        <v>0.8872413249006087</v>
      </c>
      <c r="AN90" s="126" t="e">
        <f t="shared" si="1307"/>
        <v>#DIV/0!</v>
      </c>
      <c r="AO90" s="175" t="e">
        <f t="shared" si="1307"/>
        <v>#DIV/0!</v>
      </c>
      <c r="AP90" s="126">
        <f t="shared" si="1307"/>
        <v>0.71469222704807545</v>
      </c>
      <c r="AQ90" s="175" t="e">
        <f t="shared" si="1307"/>
        <v>#DIV/0!</v>
      </c>
      <c r="AR90" s="126">
        <f t="shared" si="1307"/>
        <v>0.86411091749374958</v>
      </c>
      <c r="AS90" s="126" t="e">
        <f t="shared" si="1307"/>
        <v>#DIV/0!</v>
      </c>
      <c r="AT90" s="126" t="e">
        <f t="shared" si="1307"/>
        <v>#DIV/0!</v>
      </c>
      <c r="AU90" s="126">
        <f t="shared" si="1307"/>
        <v>0.91685974513641988</v>
      </c>
      <c r="AV90" s="126" t="e">
        <f t="shared" si="1307"/>
        <v>#DIV/0!</v>
      </c>
      <c r="AW90" s="126" t="e">
        <f t="shared" si="1307"/>
        <v>#DIV/0!</v>
      </c>
      <c r="AX90" s="126" t="e">
        <f t="shared" si="1307"/>
        <v>#DIV/0!</v>
      </c>
      <c r="AY90" s="126" t="e">
        <f t="shared" si="1307"/>
        <v>#DIV/0!</v>
      </c>
      <c r="AZ90" s="126">
        <f t="shared" si="1307"/>
        <v>0.72328913728521316</v>
      </c>
      <c r="BA90" s="126">
        <f t="shared" si="1307"/>
        <v>1.0666337931034482</v>
      </c>
      <c r="BB90" s="175" t="e">
        <f t="shared" si="1307"/>
        <v>#DIV/0!</v>
      </c>
      <c r="BC90" s="126" t="e">
        <f t="shared" si="1307"/>
        <v>#DIV/0!</v>
      </c>
      <c r="BD90" s="126" t="e">
        <f t="shared" si="1307"/>
        <v>#DIV/0!</v>
      </c>
      <c r="BE90" s="126" t="e">
        <f t="shared" si="1307"/>
        <v>#DIV/0!</v>
      </c>
      <c r="BF90" s="126">
        <f t="shared" si="1307"/>
        <v>0.55131282275074556</v>
      </c>
      <c r="BG90" s="126">
        <f t="shared" si="1307"/>
        <v>0.13665539374698046</v>
      </c>
      <c r="BH90" s="175">
        <f t="shared" si="1307"/>
        <v>0.89836694505786086</v>
      </c>
      <c r="BI90" s="175">
        <f t="shared" si="1307"/>
        <v>0.89842932782127893</v>
      </c>
      <c r="BJ90" s="126">
        <f t="shared" si="1307"/>
        <v>0.71989166330217291</v>
      </c>
      <c r="BK90" s="126">
        <f t="shared" si="1307"/>
        <v>0.90606715013286099</v>
      </c>
      <c r="BM90" s="126" t="e">
        <f t="shared" ref="BM90" si="1309">BM85/BM82</f>
        <v>#DIV/0!</v>
      </c>
    </row>
    <row r="91" spans="1:66" s="178" customFormat="1">
      <c r="A91" s="128"/>
      <c r="B91" s="5" t="s">
        <v>341</v>
      </c>
      <c r="C91" s="11">
        <f>C82-C85</f>
        <v>474</v>
      </c>
      <c r="D91" s="11">
        <f t="shared" ref="D91:BK91" si="1310">D82-D85</f>
        <v>307</v>
      </c>
      <c r="E91" s="11">
        <f t="shared" si="1310"/>
        <v>75</v>
      </c>
      <c r="F91" s="11">
        <f t="shared" si="1310"/>
        <v>5</v>
      </c>
      <c r="G91" s="11">
        <f t="shared" si="1310"/>
        <v>74</v>
      </c>
      <c r="H91" s="11">
        <f t="shared" si="1310"/>
        <v>0</v>
      </c>
      <c r="I91" s="11">
        <f t="shared" si="1310"/>
        <v>0</v>
      </c>
      <c r="J91" s="11">
        <f t="shared" si="1310"/>
        <v>17</v>
      </c>
      <c r="K91" s="11">
        <f t="shared" si="1310"/>
        <v>17</v>
      </c>
      <c r="L91" s="11">
        <f t="shared" si="1310"/>
        <v>51</v>
      </c>
      <c r="M91" s="11">
        <f t="shared" si="1310"/>
        <v>-16</v>
      </c>
      <c r="N91" s="11">
        <f t="shared" si="1310"/>
        <v>68</v>
      </c>
      <c r="O91" s="11">
        <f t="shared" si="1310"/>
        <v>62</v>
      </c>
      <c r="P91" s="11">
        <f t="shared" si="1310"/>
        <v>-15</v>
      </c>
      <c r="Q91" s="11">
        <f t="shared" si="1310"/>
        <v>0</v>
      </c>
      <c r="R91" s="11">
        <f t="shared" si="1310"/>
        <v>-108</v>
      </c>
      <c r="S91" s="11">
        <f t="shared" si="1310"/>
        <v>0</v>
      </c>
      <c r="T91" s="11">
        <f t="shared" si="1310"/>
        <v>0</v>
      </c>
      <c r="U91" s="11">
        <f t="shared" si="1310"/>
        <v>0</v>
      </c>
      <c r="V91" s="11">
        <f t="shared" si="1310"/>
        <v>0</v>
      </c>
      <c r="W91" s="11">
        <f t="shared" si="1310"/>
        <v>0</v>
      </c>
      <c r="X91" s="11">
        <f t="shared" si="1310"/>
        <v>0</v>
      </c>
      <c r="Y91" s="11">
        <f t="shared" si="1310"/>
        <v>131</v>
      </c>
      <c r="Z91" s="11">
        <f t="shared" si="1310"/>
        <v>37</v>
      </c>
      <c r="AA91" s="11">
        <f t="shared" si="1310"/>
        <v>4</v>
      </c>
      <c r="AB91" s="11">
        <f t="shared" si="1310"/>
        <v>0</v>
      </c>
      <c r="AC91" s="11">
        <f t="shared" si="1310"/>
        <v>0</v>
      </c>
      <c r="AD91" s="11">
        <f t="shared" si="1310"/>
        <v>1183</v>
      </c>
      <c r="AE91" s="11">
        <f t="shared" si="1310"/>
        <v>0</v>
      </c>
      <c r="AF91" s="11">
        <f t="shared" si="1310"/>
        <v>0</v>
      </c>
      <c r="AG91" s="11">
        <f t="shared" si="1310"/>
        <v>0</v>
      </c>
      <c r="AH91" s="11">
        <f t="shared" si="1310"/>
        <v>0</v>
      </c>
      <c r="AI91" s="11">
        <f t="shared" si="1310"/>
        <v>0</v>
      </c>
      <c r="AJ91" s="11">
        <f t="shared" si="1310"/>
        <v>0</v>
      </c>
      <c r="AK91" s="11">
        <f t="shared" si="1310"/>
        <v>52022</v>
      </c>
      <c r="AL91" s="11">
        <f t="shared" si="1310"/>
        <v>0</v>
      </c>
      <c r="AM91" s="11">
        <f t="shared" si="1310"/>
        <v>1880166</v>
      </c>
      <c r="AN91" s="11">
        <f t="shared" si="1310"/>
        <v>0</v>
      </c>
      <c r="AO91" s="11">
        <f t="shared" si="1310"/>
        <v>0</v>
      </c>
      <c r="AP91" s="11">
        <f t="shared" si="1310"/>
        <v>1905</v>
      </c>
      <c r="AQ91" s="11">
        <f t="shared" si="1310"/>
        <v>0</v>
      </c>
      <c r="AR91" s="11">
        <f t="shared" si="1310"/>
        <v>17936</v>
      </c>
      <c r="AS91" s="11">
        <f t="shared" si="1310"/>
        <v>0</v>
      </c>
      <c r="AT91" s="11">
        <f t="shared" si="1310"/>
        <v>0</v>
      </c>
      <c r="AU91" s="11">
        <f t="shared" si="1310"/>
        <v>8325</v>
      </c>
      <c r="AV91" s="11">
        <f t="shared" si="1310"/>
        <v>0</v>
      </c>
      <c r="AW91" s="11">
        <f t="shared" si="1310"/>
        <v>0</v>
      </c>
      <c r="AX91" s="11">
        <f t="shared" si="1310"/>
        <v>0</v>
      </c>
      <c r="AY91" s="11">
        <f t="shared" si="1310"/>
        <v>0</v>
      </c>
      <c r="AZ91" s="11">
        <f t="shared" si="1310"/>
        <v>4654</v>
      </c>
      <c r="BA91" s="11">
        <f t="shared" si="1310"/>
        <v>-96619</v>
      </c>
      <c r="BB91" s="11">
        <f t="shared" si="1310"/>
        <v>0</v>
      </c>
      <c r="BC91" s="11">
        <f t="shared" si="1310"/>
        <v>-2</v>
      </c>
      <c r="BD91" s="11">
        <f t="shared" si="1310"/>
        <v>-2</v>
      </c>
      <c r="BE91" s="11">
        <f t="shared" si="1310"/>
        <v>0</v>
      </c>
      <c r="BF91" s="11">
        <f t="shared" si="1310"/>
        <v>6169</v>
      </c>
      <c r="BG91" s="11">
        <f t="shared" si="1310"/>
        <v>37527</v>
      </c>
      <c r="BH91" s="11">
        <f t="shared" si="1310"/>
        <v>1912081</v>
      </c>
      <c r="BI91" s="11">
        <f t="shared" si="1310"/>
        <v>1913264</v>
      </c>
      <c r="BJ91" s="11">
        <f t="shared" si="1310"/>
        <v>216461</v>
      </c>
      <c r="BK91" s="11">
        <f t="shared" si="1310"/>
        <v>1696803</v>
      </c>
      <c r="BL91" s="11">
        <f t="shared" ref="BL91:BM91" si="1311">BL85-BL82</f>
        <v>16367198</v>
      </c>
      <c r="BM91" s="11">
        <f t="shared" si="1311"/>
        <v>16345178</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9"/>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9"/>
      <c r="BJ92" s="5"/>
      <c r="BK92" s="48"/>
    </row>
    <row r="93" spans="1:66" s="266" customFormat="1">
      <c r="A93" s="15" t="s">
        <v>140</v>
      </c>
      <c r="B93" s="11" t="s">
        <v>336</v>
      </c>
      <c r="C93" s="267">
        <v>794351</v>
      </c>
      <c r="D93" s="120">
        <v>365066</v>
      </c>
      <c r="E93" s="120">
        <v>31486</v>
      </c>
      <c r="F93" s="120">
        <v>80090</v>
      </c>
      <c r="G93" s="120">
        <v>58859</v>
      </c>
      <c r="H93" s="120"/>
      <c r="I93" s="120"/>
      <c r="J93" s="120"/>
      <c r="K93" s="120">
        <v>1263</v>
      </c>
      <c r="L93" s="120">
        <v>3025</v>
      </c>
      <c r="M93" s="120">
        <v>76877</v>
      </c>
      <c r="N93" s="120">
        <v>14746</v>
      </c>
      <c r="O93" s="120">
        <v>2156</v>
      </c>
      <c r="P93" s="120">
        <v>13290</v>
      </c>
      <c r="Q93" s="120"/>
      <c r="R93" s="120">
        <v>4084</v>
      </c>
      <c r="S93" s="120">
        <v>981191</v>
      </c>
      <c r="T93" s="120">
        <v>1764697</v>
      </c>
      <c r="U93" s="120"/>
      <c r="V93" s="268"/>
      <c r="W93" s="120"/>
      <c r="X93" s="120"/>
      <c r="Y93" s="120">
        <v>695</v>
      </c>
      <c r="Z93" s="120">
        <v>184</v>
      </c>
      <c r="AA93" s="120">
        <v>245</v>
      </c>
      <c r="AB93" s="120">
        <v>1452</v>
      </c>
      <c r="AC93" s="268"/>
      <c r="AD93" s="121">
        <f t="shared" ref="AD93" si="1312">SUM(C93:AC93)</f>
        <v>4193757</v>
      </c>
      <c r="AE93" s="120">
        <v>565</v>
      </c>
      <c r="AF93" s="120">
        <v>166</v>
      </c>
      <c r="AG93" s="268">
        <v>1931</v>
      </c>
      <c r="AH93" s="120"/>
      <c r="AI93" s="120"/>
      <c r="AJ93" s="120">
        <v>37</v>
      </c>
      <c r="AK93" s="120">
        <v>3262</v>
      </c>
      <c r="AL93" s="120">
        <v>409010</v>
      </c>
      <c r="AM93" s="120">
        <v>90844</v>
      </c>
      <c r="AN93" s="120">
        <v>24</v>
      </c>
      <c r="AO93" s="268">
        <v>437801</v>
      </c>
      <c r="AP93" s="120"/>
      <c r="AQ93" s="268"/>
      <c r="AR93" s="120"/>
      <c r="AS93" s="120"/>
      <c r="AT93" s="120"/>
      <c r="AU93" s="120"/>
      <c r="AV93" s="120"/>
      <c r="AW93" s="120"/>
      <c r="AX93" s="120">
        <v>511</v>
      </c>
      <c r="AY93" s="120">
        <v>749</v>
      </c>
      <c r="AZ93" s="120"/>
      <c r="BA93" s="120"/>
      <c r="BB93" s="268"/>
      <c r="BC93" s="120">
        <v>41533</v>
      </c>
      <c r="BD93" s="120">
        <v>41495</v>
      </c>
      <c r="BE93" s="120">
        <v>55</v>
      </c>
      <c r="BF93" s="120">
        <v>11873</v>
      </c>
      <c r="BG93" s="120">
        <v>-46577</v>
      </c>
      <c r="BH93" s="120">
        <f t="shared" ref="BH93" si="1313">SUM(AE93:BG93)</f>
        <v>993279</v>
      </c>
      <c r="BI93" s="125">
        <f t="shared" ref="BI93" si="1314">AD93+BH93</f>
        <v>5187036</v>
      </c>
      <c r="BJ93" s="269">
        <v>36</v>
      </c>
      <c r="BK93" s="124">
        <f t="shared" ref="BK93:BK94" si="1315">BI93-BJ93</f>
        <v>5187000</v>
      </c>
    </row>
    <row r="94" spans="1:66" s="41" customFormat="1">
      <c r="A94" s="134" t="s">
        <v>140</v>
      </c>
      <c r="B94" s="210" t="s">
        <v>429</v>
      </c>
      <c r="C94" s="267">
        <v>744252</v>
      </c>
      <c r="D94" s="120">
        <v>334914</v>
      </c>
      <c r="E94" s="120">
        <v>31061</v>
      </c>
      <c r="F94" s="120">
        <v>73891</v>
      </c>
      <c r="G94" s="120">
        <v>56768</v>
      </c>
      <c r="H94" s="120"/>
      <c r="I94" s="120"/>
      <c r="J94" s="120"/>
      <c r="K94" s="120">
        <v>1082</v>
      </c>
      <c r="L94" s="120">
        <v>2652</v>
      </c>
      <c r="M94" s="120">
        <v>71059</v>
      </c>
      <c r="N94" s="120">
        <v>13771</v>
      </c>
      <c r="O94" s="120">
        <v>1885</v>
      </c>
      <c r="P94" s="120">
        <v>12177</v>
      </c>
      <c r="Q94" s="120"/>
      <c r="R94" s="120">
        <v>3658</v>
      </c>
      <c r="S94" s="120">
        <v>959398</v>
      </c>
      <c r="T94" s="120">
        <v>1506380</v>
      </c>
      <c r="U94" s="120"/>
      <c r="V94" s="268"/>
      <c r="W94" s="120"/>
      <c r="X94" s="120"/>
      <c r="Y94" s="120">
        <v>631</v>
      </c>
      <c r="Z94" s="120">
        <v>184</v>
      </c>
      <c r="AA94" s="120">
        <v>198</v>
      </c>
      <c r="AB94" s="120">
        <v>1334</v>
      </c>
      <c r="AC94" s="268"/>
      <c r="AD94" s="121">
        <f t="shared" ref="AD94" si="1316">SUM(C94:AC94)</f>
        <v>3815295</v>
      </c>
      <c r="AE94" s="120">
        <v>565</v>
      </c>
      <c r="AF94" s="120">
        <v>162</v>
      </c>
      <c r="AG94" s="268">
        <v>1776</v>
      </c>
      <c r="AH94" s="120"/>
      <c r="AI94" s="120"/>
      <c r="AJ94" s="120">
        <v>35</v>
      </c>
      <c r="AK94" s="120">
        <v>2920</v>
      </c>
      <c r="AL94" s="120">
        <v>371052</v>
      </c>
      <c r="AM94" s="120">
        <v>85781</v>
      </c>
      <c r="AN94" s="120">
        <v>18</v>
      </c>
      <c r="AO94" s="268">
        <v>387149</v>
      </c>
      <c r="AP94" s="120"/>
      <c r="AQ94" s="268"/>
      <c r="AR94" s="120"/>
      <c r="AS94" s="120"/>
      <c r="AT94" s="120"/>
      <c r="AU94" s="120"/>
      <c r="AV94" s="120"/>
      <c r="AW94" s="120"/>
      <c r="AX94" s="120">
        <v>448</v>
      </c>
      <c r="AY94" s="120">
        <v>561</v>
      </c>
      <c r="AZ94" s="120"/>
      <c r="BA94" s="120"/>
      <c r="BB94" s="268"/>
      <c r="BC94" s="120">
        <v>37877</v>
      </c>
      <c r="BD94" s="120">
        <v>37836</v>
      </c>
      <c r="BE94" s="120">
        <v>49</v>
      </c>
      <c r="BF94" s="120">
        <v>9809</v>
      </c>
      <c r="BG94" s="120">
        <v>-47430</v>
      </c>
      <c r="BH94" s="10">
        <f>SUM(AE94:BG94)</f>
        <v>888608</v>
      </c>
      <c r="BI94" s="249">
        <f>AD94+BH94</f>
        <v>4703903</v>
      </c>
      <c r="BJ94" s="269">
        <v>41</v>
      </c>
      <c r="BK94" s="121">
        <f t="shared" si="1315"/>
        <v>4703862</v>
      </c>
      <c r="BM94" s="211"/>
    </row>
    <row r="95" spans="1:66">
      <c r="A95" s="128"/>
      <c r="B95" s="12" t="s">
        <v>430</v>
      </c>
      <c r="C95" s="9">
        <f>IF('Upto Month COPPY'!$J$4="",0,'Upto Month COPPY'!$J$4)</f>
        <v>759184</v>
      </c>
      <c r="D95" s="9">
        <f>IF('Upto Month COPPY'!$J$5="",0,'Upto Month COPPY'!$J$5)</f>
        <v>282665</v>
      </c>
      <c r="E95" s="9">
        <f>IF('Upto Month COPPY'!$J$6="",0,'Upto Month COPPY'!$J$6)</f>
        <v>28155</v>
      </c>
      <c r="F95" s="9">
        <f>IF('Upto Month COPPY'!$J$7="",0,'Upto Month COPPY'!$J$7)</f>
        <v>72546</v>
      </c>
      <c r="G95" s="9">
        <f>IF('Upto Month COPPY'!$J$8="",0,'Upto Month COPPY'!$J$8)</f>
        <v>51587</v>
      </c>
      <c r="H95" s="9">
        <f>IF('Upto Month COPPY'!$J$9="",0,'Upto Month COPPY'!$J$9)</f>
        <v>0</v>
      </c>
      <c r="I95" s="9">
        <f>IF('Upto Month COPPY'!$J$10="",0,'Upto Month COPPY'!$J$10)</f>
        <v>0</v>
      </c>
      <c r="J95" s="9">
        <f>IF('Upto Month COPPY'!$J$11="",0,'Upto Month COPPY'!$J$11)</f>
        <v>0</v>
      </c>
      <c r="K95" s="9">
        <f>IF('Upto Month COPPY'!$J$12="",0,'Upto Month COPPY'!$J$12)</f>
        <v>430</v>
      </c>
      <c r="L95" s="9">
        <f>IF('Upto Month COPPY'!$J$13="",0,'Upto Month COPPY'!$J$13)</f>
        <v>1921</v>
      </c>
      <c r="M95" s="9">
        <f>IF('Upto Month COPPY'!$J$14="",0,'Upto Month COPPY'!$J$14)</f>
        <v>68044</v>
      </c>
      <c r="N95" s="9">
        <f>IF('Upto Month COPPY'!$J$15="",0,'Upto Month COPPY'!$J$15)</f>
        <v>9279</v>
      </c>
      <c r="O95" s="9">
        <f>IF('Upto Month COPPY'!$J$16="",0,'Upto Month COPPY'!$J$16)</f>
        <v>2677</v>
      </c>
      <c r="P95" s="9">
        <f>IF('Upto Month COPPY'!$J$17="",0,'Upto Month COPPY'!$J$17)</f>
        <v>12360</v>
      </c>
      <c r="Q95" s="9">
        <f>IF('Upto Month COPPY'!$J$18="",0,'Upto Month COPPY'!$J$18)</f>
        <v>0</v>
      </c>
      <c r="R95" s="9">
        <f>IF('Upto Month COPPY'!$J$21="",0,'Upto Month COPPY'!$J$21)</f>
        <v>3402</v>
      </c>
      <c r="S95" s="9">
        <f>IF('Upto Month COPPY'!$J$26="",0,'Upto Month COPPY'!$J$26)</f>
        <v>889988</v>
      </c>
      <c r="T95" s="9">
        <f>IF('Upto Month COPPY'!$J$27="",0,'Upto Month COPPY'!$J$27)</f>
        <v>1153151</v>
      </c>
      <c r="U95" s="9">
        <f>IF('Upto Month COPPY'!$J$30="",0,'Upto Month COPPY'!$J$30)</f>
        <v>0</v>
      </c>
      <c r="V95" s="9">
        <f>IF('Upto Month COPPY'!$J$35="",0,'Upto Month COPPY'!$J$35)</f>
        <v>0</v>
      </c>
      <c r="W95" s="9">
        <f>IF('Upto Month COPPY'!$J$39="",0,'Upto Month COPPY'!$J$39)</f>
        <v>15</v>
      </c>
      <c r="X95" s="9">
        <f>IF('Upto Month COPPY'!$J$40="",0,'Upto Month COPPY'!$J$40)</f>
        <v>0</v>
      </c>
      <c r="Y95" s="9">
        <f>IF('Upto Month COPPY'!$J$42="",0,'Upto Month COPPY'!$J$42)</f>
        <v>669</v>
      </c>
      <c r="Z95" s="9">
        <f>IF('Upto Month COPPY'!$J$43="",0,'Upto Month COPPY'!$J$43)</f>
        <v>545</v>
      </c>
      <c r="AA95" s="9">
        <f>IF('Upto Month COPPY'!$J$44="",0,'Upto Month COPPY'!$J$44)</f>
        <v>360</v>
      </c>
      <c r="AB95" s="9">
        <f>IF('Upto Month COPPY'!$J$48="",0,'Upto Month COPPY'!$J$48)</f>
        <v>0</v>
      </c>
      <c r="AC95" s="9">
        <f>IF('Upto Month COPPY'!$J$51="",0,'Upto Month COPPY'!$J$51)</f>
        <v>0</v>
      </c>
      <c r="AD95" s="221">
        <f t="shared" ref="AD95:AD96" si="1317">SUM(C95:AC95)</f>
        <v>3336978</v>
      </c>
      <c r="AE95" s="9">
        <f>IF('Upto Month COPPY'!$J$19="",0,'Upto Month COPPY'!$J$19)</f>
        <v>508</v>
      </c>
      <c r="AF95" s="9">
        <f>IF('Upto Month COPPY'!$J$20="",0,'Upto Month COPPY'!$J$20)</f>
        <v>144</v>
      </c>
      <c r="AG95" s="9">
        <f>IF('Upto Month COPPY'!$J$22="",0,'Upto Month COPPY'!$J$22)</f>
        <v>1724</v>
      </c>
      <c r="AH95" s="9">
        <f>IF('Upto Month COPPY'!$J$23="",0,'Upto Month COPPY'!$J$23)</f>
        <v>0</v>
      </c>
      <c r="AI95" s="9">
        <f>IF('Upto Month COPPY'!$J$24="",0,'Upto Month COPPY'!$J$24)</f>
        <v>0</v>
      </c>
      <c r="AJ95" s="9">
        <f>IF('Upto Month COPPY'!$J$25="",0,'Upto Month COPPY'!$J$25)</f>
        <v>37</v>
      </c>
      <c r="AK95" s="9">
        <f>IF('Upto Month COPPY'!$J$28="",0,'Upto Month COPPY'!$J$28)</f>
        <v>2650</v>
      </c>
      <c r="AL95" s="9">
        <f>IF('Upto Month COPPY'!$J$29="",0,'Upto Month COPPY'!$J$29)</f>
        <v>292763</v>
      </c>
      <c r="AM95" s="9">
        <f>IF('Upto Month COPPY'!$J$31="",0,'Upto Month COPPY'!$J$31)</f>
        <v>66630</v>
      </c>
      <c r="AN95" s="9">
        <f>IF('Upto Month COPPY'!$J$32="",0,'Upto Month COPPY'!$J$32)</f>
        <v>12</v>
      </c>
      <c r="AO95" s="9">
        <f>IF('Upto Month COPPY'!$J$33="",0,'Upto Month COPPY'!$J$33)</f>
        <v>325706</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1819</v>
      </c>
      <c r="AX95" s="9">
        <f>IF('Upto Month COPPY'!$J$46="",0,'Upto Month COPPY'!$J$46)</f>
        <v>135</v>
      </c>
      <c r="AY95" s="9">
        <f>IF('Upto Month COPPY'!$J$47="",0,'Upto Month COPPY'!$J$47)</f>
        <v>1112</v>
      </c>
      <c r="AZ95" s="9">
        <f>IF('Upto Month COPPY'!$J$49="",0,'Upto Month COPPY'!$J$49)</f>
        <v>0</v>
      </c>
      <c r="BA95" s="9">
        <f>IF('Upto Month COPPY'!$J$50="",0,'Upto Month COPPY'!$J$50)</f>
        <v>0</v>
      </c>
      <c r="BB95" s="9">
        <f>IF('Upto Month COPPY'!$J$52="",0,'Upto Month COPPY'!$J$52)</f>
        <v>0</v>
      </c>
      <c r="BC95" s="9">
        <f>IF('Upto Month COPPY'!$J$53="",0,'Upto Month COPPY'!$J$53)</f>
        <v>34427</v>
      </c>
      <c r="BD95" s="9">
        <f>IF('Upto Month COPPY'!$J$54="",0,'Upto Month COPPY'!$J$54)</f>
        <v>34397</v>
      </c>
      <c r="BE95" s="9">
        <f>IF('Upto Month COPPY'!$J$55="",0,'Upto Month COPPY'!$J$55)</f>
        <v>0</v>
      </c>
      <c r="BF95" s="9">
        <f>IF('Upto Month COPPY'!$J$56="",0,'Upto Month COPPY'!$J$56)</f>
        <v>9300</v>
      </c>
      <c r="BG95" s="9">
        <f>IF('Upto Month COPPY'!$J$58="",0,'Upto Month COPPY'!$J$58)</f>
        <v>24028</v>
      </c>
      <c r="BH95" s="9">
        <f>SUM(AE95:BG95)</f>
        <v>795392</v>
      </c>
      <c r="BI95" s="275">
        <f>AD95+BH95</f>
        <v>4132370</v>
      </c>
      <c r="BJ95" s="9">
        <f>IF('Upto Month COPPY'!$J$60="",0,'Upto Month COPPY'!$J$60)</f>
        <v>36</v>
      </c>
      <c r="BK95" s="49">
        <f t="shared" ref="BK95:BK96" si="1318">BI95-BJ95</f>
        <v>4132334</v>
      </c>
      <c r="BL95">
        <f>'Upto Month COPPY'!$J$61</f>
        <v>4132335</v>
      </c>
      <c r="BM95" s="30">
        <f t="shared" ref="BM95:BM99" si="1319">BK95-AD95</f>
        <v>795356</v>
      </c>
    </row>
    <row r="96" spans="1:66">
      <c r="A96" s="128"/>
      <c r="B96" s="180" t="s">
        <v>431</v>
      </c>
      <c r="C96" s="9">
        <f>IF('Upto Month Current'!$J$4="",0,'Upto Month Current'!$J$4)</f>
        <v>723020</v>
      </c>
      <c r="D96" s="9">
        <f>IF('Upto Month Current'!$J$5="",0,'Upto Month Current'!$J$5)</f>
        <v>327136</v>
      </c>
      <c r="E96" s="9">
        <f>IF('Upto Month Current'!$J$6="",0,'Upto Month Current'!$J$6)</f>
        <v>25532</v>
      </c>
      <c r="F96" s="9">
        <f>IF('Upto Month Current'!$J$7="",0,'Upto Month Current'!$J$7)</f>
        <v>72938</v>
      </c>
      <c r="G96" s="9">
        <f>IF('Upto Month Current'!$J$8="",0,'Upto Month Current'!$J$8)</f>
        <v>51546</v>
      </c>
      <c r="H96" s="9">
        <f>IF('Upto Month Current'!$J$9="",0,'Upto Month Current'!$J$9)</f>
        <v>0</v>
      </c>
      <c r="I96" s="9">
        <f>IF('Upto Month Current'!$J$10="",0,'Upto Month Current'!$J$10)</f>
        <v>0</v>
      </c>
      <c r="J96" s="9">
        <f>IF('Upto Month Current'!$J$11="",0,'Upto Month Current'!$J$11)</f>
        <v>11</v>
      </c>
      <c r="K96" s="9">
        <f>IF('Upto Month Current'!$J$12="",0,'Upto Month Current'!$J$12)</f>
        <v>642</v>
      </c>
      <c r="L96" s="9">
        <f>IF('Upto Month Current'!$J$13="",0,'Upto Month Current'!$J$13)</f>
        <v>2283</v>
      </c>
      <c r="M96" s="9">
        <f>IF('Upto Month Current'!$J$14="",0,'Upto Month Current'!$J$14)</f>
        <v>64561</v>
      </c>
      <c r="N96" s="9">
        <f>IF('Upto Month Current'!$J$15="",0,'Upto Month Current'!$J$15)</f>
        <v>9483</v>
      </c>
      <c r="O96" s="9">
        <f>IF('Upto Month Current'!$J$16="",0,'Upto Month Current'!$J$16)</f>
        <v>2535</v>
      </c>
      <c r="P96" s="9">
        <f>IF('Upto Month Current'!$J$17="",0,'Upto Month Current'!$J$17)</f>
        <v>10980</v>
      </c>
      <c r="Q96" s="9">
        <f>IF('Upto Month Current'!$J$18="",0,'Upto Month Current'!$J$18)</f>
        <v>0</v>
      </c>
      <c r="R96" s="9">
        <f>IF('Upto Month Current'!$J$21="",0,'Upto Month Current'!$J$21)</f>
        <v>2882</v>
      </c>
      <c r="S96" s="9">
        <f>IF('Upto Month Current'!$J$26="",0,'Upto Month Current'!$J$26)</f>
        <v>999246</v>
      </c>
      <c r="T96" s="9">
        <f>IF('Upto Month Current'!$J$27="",0,'Upto Month Current'!$J$27)</f>
        <v>1719784</v>
      </c>
      <c r="U96" s="9">
        <f>IF('Upto Month Current'!$J$30="",0,'Upto Month Current'!$J$30)</f>
        <v>0</v>
      </c>
      <c r="V96" s="9">
        <f>IF('Upto Month Current'!$J$35="",0,'Upto Month Current'!$J$35)</f>
        <v>0</v>
      </c>
      <c r="W96" s="9">
        <f>IF('Upto Month Current'!$J$39="",0,'Upto Month Current'!$J$39)</f>
        <v>96</v>
      </c>
      <c r="X96" s="9">
        <f>IF('Upto Month Current'!$J$40="",0,'Upto Month Current'!$J$40)</f>
        <v>0</v>
      </c>
      <c r="Y96" s="9">
        <f>IF('Upto Month Current'!$J$42="",0,'Upto Month Current'!$J$42)</f>
        <v>1271</v>
      </c>
      <c r="Z96" s="9">
        <f>IF('Upto Month Current'!$J$43="",0,'Upto Month Current'!$J$43)</f>
        <v>355</v>
      </c>
      <c r="AA96" s="9">
        <f>IF('Upto Month Current'!$J$44="",0,'Upto Month Current'!$J$44)</f>
        <v>278</v>
      </c>
      <c r="AB96" s="9">
        <f>IF('Upto Month Current'!$J$48="",0,'Upto Month Current'!$J$48)</f>
        <v>1</v>
      </c>
      <c r="AC96" s="9">
        <f>IF('Upto Month Current'!$J$51="",0,'Upto Month Current'!$J$51)</f>
        <v>0</v>
      </c>
      <c r="AD96" s="221">
        <f t="shared" si="1317"/>
        <v>4014580</v>
      </c>
      <c r="AE96" s="9">
        <f>IF('Upto Month Current'!$J$19="",0,'Upto Month Current'!$J$19)</f>
        <v>560</v>
      </c>
      <c r="AF96" s="9">
        <f>IF('Upto Month Current'!$J$20="",0,'Upto Month Current'!$J$20)</f>
        <v>120</v>
      </c>
      <c r="AG96" s="9">
        <f>IF('Upto Month Current'!$J$22="",0,'Upto Month Current'!$J$22)</f>
        <v>2144</v>
      </c>
      <c r="AH96" s="9">
        <f>IF('Upto Month Current'!$J$23="",0,'Upto Month Current'!$J$23)</f>
        <v>0</v>
      </c>
      <c r="AI96" s="9">
        <f>IF('Upto Month Current'!$J$24="",0,'Upto Month Current'!$J$24)</f>
        <v>0</v>
      </c>
      <c r="AJ96" s="9">
        <f>IF('Upto Month Current'!$J$25="",0,'Upto Month Current'!$J$25)</f>
        <v>119</v>
      </c>
      <c r="AK96" s="9">
        <f>IF('Upto Month Current'!$J$28="",0,'Upto Month Current'!$J$28)</f>
        <v>2646</v>
      </c>
      <c r="AL96" s="9">
        <f>IF('Upto Month Current'!$J$29="",0,'Upto Month Current'!$J$29)</f>
        <v>383940</v>
      </c>
      <c r="AM96" s="9">
        <f>IF('Upto Month Current'!$J$31="",0,'Upto Month Current'!$J$31)</f>
        <v>166697</v>
      </c>
      <c r="AN96" s="9">
        <f>IF('Upto Month Current'!$J$32="",0,'Upto Month Current'!$J$32)</f>
        <v>151</v>
      </c>
      <c r="AO96" s="9">
        <f>IF('Upto Month Current'!$J$33="",0,'Upto Month Current'!$J$33)</f>
        <v>452710</v>
      </c>
      <c r="AP96" s="9">
        <f>IF('Upto Month Current'!$J$34="",0,'Upto Month Current'!$J$34)</f>
        <v>278</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63</v>
      </c>
      <c r="AX96" s="9">
        <f>IF('Upto Month Current'!$J$46="",0,'Upto Month Current'!$J$46)</f>
        <v>263</v>
      </c>
      <c r="AY96" s="9">
        <f>IF('Upto Month Current'!$J$47="",0,'Upto Month Current'!$J$47)</f>
        <v>516</v>
      </c>
      <c r="AZ96" s="9">
        <f>IF('Upto Month Current'!$J$49="",0,'Upto Month Current'!$J$49)</f>
        <v>0</v>
      </c>
      <c r="BA96" s="9">
        <f>IF('Upto Month Current'!$J$50="",0,'Upto Month Current'!$J$50)</f>
        <v>0</v>
      </c>
      <c r="BB96" s="9">
        <f>IF('Upto Month Current'!$J$52="",0,'Upto Month Current'!$J$52)</f>
        <v>0</v>
      </c>
      <c r="BC96" s="9">
        <f>IF('Upto Month Current'!$J$53="",0,'Upto Month Current'!$J$53)</f>
        <v>50138</v>
      </c>
      <c r="BD96" s="9">
        <f>IF('Upto Month Current'!$J$54="",0,'Upto Month Current'!$J$54)</f>
        <v>50138</v>
      </c>
      <c r="BE96" s="9">
        <f>IF('Upto Month Current'!$J$55="",0,'Upto Month Current'!$J$55)</f>
        <v>0</v>
      </c>
      <c r="BF96" s="9">
        <f>IF('Upto Month Current'!$J$56="",0,'Upto Month Current'!$J$56)</f>
        <v>10750</v>
      </c>
      <c r="BG96" s="9">
        <f>IF('Upto Month Current'!$J$58="",0,'Upto Month Current'!$J$58)</f>
        <v>59977</v>
      </c>
      <c r="BH96" s="9">
        <f>SUM(AE96:BG96)</f>
        <v>1181210</v>
      </c>
      <c r="BI96" s="275">
        <f>AD96+BH96</f>
        <v>5195790</v>
      </c>
      <c r="BJ96" s="9">
        <f>IF('Upto Month Current'!$J$60="",0,'Upto Month Current'!$J$60)</f>
        <v>0</v>
      </c>
      <c r="BK96" s="49">
        <f t="shared" si="1318"/>
        <v>5195790</v>
      </c>
      <c r="BL96">
        <f>'Upto Month Current'!$J$61</f>
        <v>5195789</v>
      </c>
      <c r="BM96" s="30">
        <f t="shared" si="1319"/>
        <v>1181210</v>
      </c>
    </row>
    <row r="97" spans="1:65">
      <c r="A97" s="128"/>
      <c r="B97" s="5" t="s">
        <v>130</v>
      </c>
      <c r="C97" s="11">
        <f>C96-C94</f>
        <v>-21232</v>
      </c>
      <c r="D97" s="11">
        <f t="shared" ref="D97" si="1320">D96-D94</f>
        <v>-7778</v>
      </c>
      <c r="E97" s="11">
        <f t="shared" ref="E97" si="1321">E96-E94</f>
        <v>-5529</v>
      </c>
      <c r="F97" s="11">
        <f t="shared" ref="F97" si="1322">F96-F94</f>
        <v>-953</v>
      </c>
      <c r="G97" s="11">
        <f t="shared" ref="G97" si="1323">G96-G94</f>
        <v>-5222</v>
      </c>
      <c r="H97" s="11">
        <f t="shared" ref="H97" si="1324">H96-H94</f>
        <v>0</v>
      </c>
      <c r="I97" s="11">
        <f t="shared" ref="I97" si="1325">I96-I94</f>
        <v>0</v>
      </c>
      <c r="J97" s="11">
        <f t="shared" ref="J97" si="1326">J96-J94</f>
        <v>11</v>
      </c>
      <c r="K97" s="11">
        <f t="shared" ref="K97" si="1327">K96-K94</f>
        <v>-440</v>
      </c>
      <c r="L97" s="11">
        <f t="shared" ref="L97" si="1328">L96-L94</f>
        <v>-369</v>
      </c>
      <c r="M97" s="11">
        <f t="shared" ref="M97" si="1329">M96-M94</f>
        <v>-6498</v>
      </c>
      <c r="N97" s="11">
        <f t="shared" ref="N97" si="1330">N96-N94</f>
        <v>-4288</v>
      </c>
      <c r="O97" s="11">
        <f t="shared" ref="O97" si="1331">O96-O94</f>
        <v>650</v>
      </c>
      <c r="P97" s="11">
        <f t="shared" ref="P97" si="1332">P96-P94</f>
        <v>-1197</v>
      </c>
      <c r="Q97" s="11">
        <f t="shared" ref="Q97" si="1333">Q96-Q94</f>
        <v>0</v>
      </c>
      <c r="R97" s="11">
        <f t="shared" ref="R97" si="1334">R96-R94</f>
        <v>-776</v>
      </c>
      <c r="S97" s="11">
        <f t="shared" ref="S97" si="1335">S96-S94</f>
        <v>39848</v>
      </c>
      <c r="T97" s="11">
        <f t="shared" ref="T97:U97" si="1336">T96-T94</f>
        <v>213404</v>
      </c>
      <c r="U97" s="11">
        <f t="shared" si="1336"/>
        <v>0</v>
      </c>
      <c r="V97" s="9">
        <f t="shared" ref="V97" si="1337">V96-V94</f>
        <v>0</v>
      </c>
      <c r="W97" s="11">
        <f t="shared" ref="W97" si="1338">W96-W94</f>
        <v>96</v>
      </c>
      <c r="X97" s="11">
        <f t="shared" ref="X97" si="1339">X96-X94</f>
        <v>0</v>
      </c>
      <c r="Y97" s="11">
        <f t="shared" ref="Y97" si="1340">Y96-Y94</f>
        <v>640</v>
      </c>
      <c r="Z97" s="11">
        <f t="shared" ref="Z97" si="1341">Z96-Z94</f>
        <v>171</v>
      </c>
      <c r="AA97" s="11">
        <f t="shared" ref="AA97:AD97" si="1342">AA96-AA94</f>
        <v>80</v>
      </c>
      <c r="AB97" s="11">
        <f t="shared" ref="AB97" si="1343">AB96-AB94</f>
        <v>-1333</v>
      </c>
      <c r="AC97" s="9">
        <f t="shared" si="1342"/>
        <v>0</v>
      </c>
      <c r="AD97" s="216">
        <f t="shared" si="1342"/>
        <v>199285</v>
      </c>
      <c r="AE97" s="11">
        <f t="shared" ref="AE97" si="1344">AE96-AE94</f>
        <v>-5</v>
      </c>
      <c r="AF97" s="11">
        <f t="shared" ref="AF97" si="1345">AF96-AF94</f>
        <v>-42</v>
      </c>
      <c r="AG97" s="11">
        <f t="shared" ref="AG97" si="1346">AG96-AG94</f>
        <v>368</v>
      </c>
      <c r="AH97" s="11">
        <f t="shared" ref="AH97" si="1347">AH96-AH94</f>
        <v>0</v>
      </c>
      <c r="AI97" s="11">
        <f t="shared" ref="AI97" si="1348">AI96-AI94</f>
        <v>0</v>
      </c>
      <c r="AJ97" s="11">
        <f t="shared" ref="AJ97" si="1349">AJ96-AJ94</f>
        <v>84</v>
      </c>
      <c r="AK97" s="11">
        <f t="shared" ref="AK97" si="1350">AK96-AK94</f>
        <v>-274</v>
      </c>
      <c r="AL97" s="11">
        <f t="shared" ref="AL97" si="1351">AL96-AL94</f>
        <v>12888</v>
      </c>
      <c r="AM97" s="11">
        <f t="shared" ref="AM97" si="1352">AM96-AM94</f>
        <v>80916</v>
      </c>
      <c r="AN97" s="11">
        <f t="shared" ref="AN97" si="1353">AN96-AN94</f>
        <v>133</v>
      </c>
      <c r="AO97" s="9">
        <f t="shared" ref="AO97" si="1354">AO96-AO94</f>
        <v>65561</v>
      </c>
      <c r="AP97" s="11">
        <f t="shared" ref="AP97" si="1355">AP96-AP94</f>
        <v>278</v>
      </c>
      <c r="AQ97" s="9">
        <f t="shared" ref="AQ97" si="1356">AQ96-AQ94</f>
        <v>0</v>
      </c>
      <c r="AR97" s="11">
        <f t="shared" ref="AR97" si="1357">AR96-AR94</f>
        <v>0</v>
      </c>
      <c r="AS97" s="11">
        <f t="shared" ref="AS97" si="1358">AS96-AS94</f>
        <v>0</v>
      </c>
      <c r="AT97" s="11">
        <f t="shared" ref="AT97" si="1359">AT96-AT94</f>
        <v>0</v>
      </c>
      <c r="AU97" s="11">
        <f t="shared" ref="AU97" si="1360">AU96-AU94</f>
        <v>0</v>
      </c>
      <c r="AV97" s="11">
        <f t="shared" ref="AV97" si="1361">AV96-AV94</f>
        <v>0</v>
      </c>
      <c r="AW97" s="11">
        <f t="shared" ref="AW97" si="1362">AW96-AW94</f>
        <v>63</v>
      </c>
      <c r="AX97" s="11">
        <f t="shared" ref="AX97" si="1363">AX96-AX94</f>
        <v>-185</v>
      </c>
      <c r="AY97" s="11">
        <f t="shared" ref="AY97" si="1364">AY96-AY94</f>
        <v>-45</v>
      </c>
      <c r="AZ97" s="11">
        <f t="shared" ref="AZ97" si="1365">AZ96-AZ94</f>
        <v>0</v>
      </c>
      <c r="BA97" s="11">
        <f t="shared" ref="BA97" si="1366">BA96-BA94</f>
        <v>0</v>
      </c>
      <c r="BB97" s="9">
        <f t="shared" ref="BB97" si="1367">BB96-BB94</f>
        <v>0</v>
      </c>
      <c r="BC97" s="11">
        <f t="shared" ref="BC97" si="1368">BC96-BC94</f>
        <v>12261</v>
      </c>
      <c r="BD97" s="11">
        <f t="shared" ref="BD97" si="1369">BD96-BD94</f>
        <v>12302</v>
      </c>
      <c r="BE97" s="11">
        <f t="shared" ref="BE97" si="1370">BE96-BE94</f>
        <v>-49</v>
      </c>
      <c r="BF97" s="11">
        <f t="shared" ref="BF97" si="1371">BF96-BF94</f>
        <v>941</v>
      </c>
      <c r="BG97" s="11">
        <f t="shared" ref="BG97:BH97" si="1372">BG96-BG94</f>
        <v>107407</v>
      </c>
      <c r="BH97" s="9">
        <f t="shared" si="1372"/>
        <v>292602</v>
      </c>
      <c r="BI97" s="9">
        <f t="shared" ref="BI97" si="1373">BI96-BI94</f>
        <v>491887</v>
      </c>
      <c r="BJ97" s="11">
        <f t="shared" ref="BJ97:BK97" si="1374">BJ96-BJ94</f>
        <v>-41</v>
      </c>
      <c r="BK97" s="49">
        <f t="shared" si="1374"/>
        <v>491928</v>
      </c>
      <c r="BM97" s="30">
        <f t="shared" si="1319"/>
        <v>292643</v>
      </c>
    </row>
    <row r="98" spans="1:65">
      <c r="A98" s="128"/>
      <c r="B98" s="5" t="s">
        <v>131</v>
      </c>
      <c r="C98" s="13">
        <f>C97/C94</f>
        <v>-2.8527971708507332E-2</v>
      </c>
      <c r="D98" s="13">
        <f t="shared" ref="D98" si="1375">D97/D94</f>
        <v>-2.3223872397092987E-2</v>
      </c>
      <c r="E98" s="13">
        <f t="shared" ref="E98" si="1376">E97/E94</f>
        <v>-0.17800457164933517</v>
      </c>
      <c r="F98" s="13">
        <f t="shared" ref="F98" si="1377">F97/F94</f>
        <v>-1.2897375864448985E-2</v>
      </c>
      <c r="G98" s="13">
        <f t="shared" ref="G98" si="1378">G97/G94</f>
        <v>-9.198844419391207E-2</v>
      </c>
      <c r="H98" s="13" t="e">
        <f t="shared" ref="H98" si="1379">H97/H94</f>
        <v>#DIV/0!</v>
      </c>
      <c r="I98" s="13" t="e">
        <f t="shared" ref="I98" si="1380">I97/I94</f>
        <v>#DIV/0!</v>
      </c>
      <c r="J98" s="13" t="e">
        <f t="shared" ref="J98" si="1381">J97/J94</f>
        <v>#DIV/0!</v>
      </c>
      <c r="K98" s="13">
        <f t="shared" ref="K98" si="1382">K97/K94</f>
        <v>-0.40665434380776339</v>
      </c>
      <c r="L98" s="13">
        <f t="shared" ref="L98" si="1383">L97/L94</f>
        <v>-0.13914027149321267</v>
      </c>
      <c r="M98" s="13">
        <f t="shared" ref="M98" si="1384">M97/M94</f>
        <v>-9.1445137139560081E-2</v>
      </c>
      <c r="N98" s="13">
        <f t="shared" ref="N98" si="1385">N97/N94</f>
        <v>-0.31137898482317916</v>
      </c>
      <c r="O98" s="13">
        <f t="shared" ref="O98" si="1386">O97/O94</f>
        <v>0.34482758620689657</v>
      </c>
      <c r="P98" s="13">
        <f t="shared" ref="P98" si="1387">P97/P94</f>
        <v>-9.8300073909830005E-2</v>
      </c>
      <c r="Q98" s="13" t="e">
        <f t="shared" ref="Q98" si="1388">Q97/Q94</f>
        <v>#DIV/0!</v>
      </c>
      <c r="R98" s="13">
        <f t="shared" ref="R98" si="1389">R97/R94</f>
        <v>-0.2121377802077638</v>
      </c>
      <c r="S98" s="13">
        <f t="shared" ref="S98" si="1390">S97/S94</f>
        <v>4.1534378850070566E-2</v>
      </c>
      <c r="T98" s="13">
        <f t="shared" ref="T98:U98" si="1391">T97/T94</f>
        <v>0.14166677730718677</v>
      </c>
      <c r="U98" s="13" t="e">
        <f t="shared" si="1391"/>
        <v>#DIV/0!</v>
      </c>
      <c r="V98" s="160" t="e">
        <f t="shared" ref="V98" si="1392">V97/V94</f>
        <v>#DIV/0!</v>
      </c>
      <c r="W98" s="13" t="e">
        <f t="shared" ref="W98" si="1393">W97/W94</f>
        <v>#DIV/0!</v>
      </c>
      <c r="X98" s="13" t="e">
        <f t="shared" ref="X98" si="1394">X97/X94</f>
        <v>#DIV/0!</v>
      </c>
      <c r="Y98" s="13">
        <f t="shared" ref="Y98" si="1395">Y97/Y94</f>
        <v>1.0142630744849446</v>
      </c>
      <c r="Z98" s="13">
        <f t="shared" ref="Z98" si="1396">Z97/Z94</f>
        <v>0.92934782608695654</v>
      </c>
      <c r="AA98" s="13">
        <f t="shared" ref="AA98:AD98" si="1397">AA97/AA94</f>
        <v>0.40404040404040403</v>
      </c>
      <c r="AB98" s="13">
        <f t="shared" ref="AB98" si="1398">AB97/AB94</f>
        <v>-0.99925037481259371</v>
      </c>
      <c r="AC98" s="160" t="e">
        <f t="shared" si="1397"/>
        <v>#DIV/0!</v>
      </c>
      <c r="AD98" s="217">
        <f t="shared" si="1397"/>
        <v>5.2233182493096865E-2</v>
      </c>
      <c r="AE98" s="13">
        <f t="shared" ref="AE98" si="1399">AE97/AE94</f>
        <v>-8.8495575221238937E-3</v>
      </c>
      <c r="AF98" s="13">
        <f t="shared" ref="AF98" si="1400">AF97/AF94</f>
        <v>-0.25925925925925924</v>
      </c>
      <c r="AG98" s="13">
        <f t="shared" ref="AG98" si="1401">AG97/AG94</f>
        <v>0.2072072072072072</v>
      </c>
      <c r="AH98" s="13" t="e">
        <f t="shared" ref="AH98" si="1402">AH97/AH94</f>
        <v>#DIV/0!</v>
      </c>
      <c r="AI98" s="13" t="e">
        <f t="shared" ref="AI98" si="1403">AI97/AI94</f>
        <v>#DIV/0!</v>
      </c>
      <c r="AJ98" s="13">
        <f t="shared" ref="AJ98" si="1404">AJ97/AJ94</f>
        <v>2.4</v>
      </c>
      <c r="AK98" s="13">
        <f t="shared" ref="AK98" si="1405">AK97/AK94</f>
        <v>-9.3835616438356168E-2</v>
      </c>
      <c r="AL98" s="13">
        <f t="shared" ref="AL98" si="1406">AL97/AL94</f>
        <v>3.4733676142427478E-2</v>
      </c>
      <c r="AM98" s="13">
        <f t="shared" ref="AM98" si="1407">AM97/AM94</f>
        <v>0.94328580921183014</v>
      </c>
      <c r="AN98" s="13">
        <f t="shared" ref="AN98" si="1408">AN97/AN94</f>
        <v>7.3888888888888893</v>
      </c>
      <c r="AO98" s="160">
        <f t="shared" ref="AO98" si="1409">AO97/AO94</f>
        <v>0.16934306946421146</v>
      </c>
      <c r="AP98" s="13" t="e">
        <f t="shared" ref="AP98" si="1410">AP97/AP94</f>
        <v>#DIV/0!</v>
      </c>
      <c r="AQ98" s="160" t="e">
        <f t="shared" ref="AQ98" si="1411">AQ97/AQ94</f>
        <v>#DIV/0!</v>
      </c>
      <c r="AR98" s="13" t="e">
        <f t="shared" ref="AR98" si="1412">AR97/AR94</f>
        <v>#DIV/0!</v>
      </c>
      <c r="AS98" s="13" t="e">
        <f t="shared" ref="AS98" si="1413">AS97/AS94</f>
        <v>#DIV/0!</v>
      </c>
      <c r="AT98" s="13" t="e">
        <f t="shared" ref="AT98" si="1414">AT97/AT94</f>
        <v>#DIV/0!</v>
      </c>
      <c r="AU98" s="13" t="e">
        <f t="shared" ref="AU98" si="1415">AU97/AU94</f>
        <v>#DIV/0!</v>
      </c>
      <c r="AV98" s="13" t="e">
        <f t="shared" ref="AV98" si="1416">AV97/AV94</f>
        <v>#DIV/0!</v>
      </c>
      <c r="AW98" s="13" t="e">
        <f t="shared" ref="AW98" si="1417">AW97/AW94</f>
        <v>#DIV/0!</v>
      </c>
      <c r="AX98" s="13">
        <f t="shared" ref="AX98" si="1418">AX97/AX94</f>
        <v>-0.41294642857142855</v>
      </c>
      <c r="AY98" s="13">
        <f t="shared" ref="AY98" si="1419">AY97/AY94</f>
        <v>-8.0213903743315509E-2</v>
      </c>
      <c r="AZ98" s="13" t="e">
        <f t="shared" ref="AZ98" si="1420">AZ97/AZ94</f>
        <v>#DIV/0!</v>
      </c>
      <c r="BA98" s="13" t="e">
        <f t="shared" ref="BA98" si="1421">BA97/BA94</f>
        <v>#DIV/0!</v>
      </c>
      <c r="BB98" s="160" t="e">
        <f t="shared" ref="BB98" si="1422">BB97/BB94</f>
        <v>#DIV/0!</v>
      </c>
      <c r="BC98" s="13">
        <f t="shared" ref="BC98" si="1423">BC97/BC94</f>
        <v>0.32370567890804447</v>
      </c>
      <c r="BD98" s="13">
        <f t="shared" ref="BD98" si="1424">BD97/BD94</f>
        <v>0.32514007823237129</v>
      </c>
      <c r="BE98" s="13">
        <f t="shared" ref="BE98" si="1425">BE97/BE94</f>
        <v>-1</v>
      </c>
      <c r="BF98" s="13">
        <f t="shared" ref="BF98" si="1426">BF97/BF94</f>
        <v>9.5932307064940367E-2</v>
      </c>
      <c r="BG98" s="13">
        <f t="shared" ref="BG98:BH98" si="1427">BG97/BG94</f>
        <v>-2.264537212734556</v>
      </c>
      <c r="BH98" s="160">
        <f t="shared" si="1427"/>
        <v>0.32928130289171376</v>
      </c>
      <c r="BI98" s="160">
        <f t="shared" ref="BI98" si="1428">BI97/BI94</f>
        <v>0.10456997093690069</v>
      </c>
      <c r="BJ98" s="13">
        <f t="shared" ref="BJ98:BK98" si="1429">BJ97/BJ94</f>
        <v>-1</v>
      </c>
      <c r="BK98" s="50">
        <f t="shared" si="1429"/>
        <v>0.10457959863618448</v>
      </c>
      <c r="BM98" s="160" t="e">
        <f t="shared" ref="BM98" si="1430">BM97/BM94</f>
        <v>#DIV/0!</v>
      </c>
    </row>
    <row r="99" spans="1:65">
      <c r="A99" s="128"/>
      <c r="B99" s="5" t="s">
        <v>132</v>
      </c>
      <c r="C99" s="11">
        <f>C96-C95</f>
        <v>-36164</v>
      </c>
      <c r="D99" s="11">
        <f t="shared" ref="D99:BK99" si="1431">D96-D95</f>
        <v>44471</v>
      </c>
      <c r="E99" s="11">
        <f t="shared" si="1431"/>
        <v>-2623</v>
      </c>
      <c r="F99" s="11">
        <f t="shared" si="1431"/>
        <v>392</v>
      </c>
      <c r="G99" s="11">
        <f t="shared" si="1431"/>
        <v>-41</v>
      </c>
      <c r="H99" s="11">
        <f t="shared" si="1431"/>
        <v>0</v>
      </c>
      <c r="I99" s="11">
        <f t="shared" si="1431"/>
        <v>0</v>
      </c>
      <c r="J99" s="11">
        <f t="shared" si="1431"/>
        <v>11</v>
      </c>
      <c r="K99" s="11">
        <f t="shared" si="1431"/>
        <v>212</v>
      </c>
      <c r="L99" s="11">
        <f t="shared" si="1431"/>
        <v>362</v>
      </c>
      <c r="M99" s="11">
        <f t="shared" si="1431"/>
        <v>-3483</v>
      </c>
      <c r="N99" s="11">
        <f t="shared" si="1431"/>
        <v>204</v>
      </c>
      <c r="O99" s="11">
        <f t="shared" si="1431"/>
        <v>-142</v>
      </c>
      <c r="P99" s="11">
        <f t="shared" si="1431"/>
        <v>-1380</v>
      </c>
      <c r="Q99" s="11">
        <f t="shared" si="1431"/>
        <v>0</v>
      </c>
      <c r="R99" s="11">
        <f t="shared" si="1431"/>
        <v>-520</v>
      </c>
      <c r="S99" s="11">
        <f t="shared" si="1431"/>
        <v>109258</v>
      </c>
      <c r="T99" s="11">
        <f t="shared" si="1431"/>
        <v>566633</v>
      </c>
      <c r="U99" s="11">
        <f t="shared" ref="U99" si="1432">U96-U95</f>
        <v>0</v>
      </c>
      <c r="V99" s="9">
        <f t="shared" si="1431"/>
        <v>0</v>
      </c>
      <c r="W99" s="11">
        <f t="shared" si="1431"/>
        <v>81</v>
      </c>
      <c r="X99" s="11">
        <f t="shared" si="1431"/>
        <v>0</v>
      </c>
      <c r="Y99" s="11">
        <f t="shared" si="1431"/>
        <v>602</v>
      </c>
      <c r="Z99" s="11">
        <f t="shared" si="1431"/>
        <v>-190</v>
      </c>
      <c r="AA99" s="11">
        <f t="shared" si="1431"/>
        <v>-82</v>
      </c>
      <c r="AB99" s="11">
        <f t="shared" ref="AB99" si="1433">AB96-AB95</f>
        <v>1</v>
      </c>
      <c r="AC99" s="9">
        <f t="shared" ref="AC99:AD99" si="1434">AC96-AC95</f>
        <v>0</v>
      </c>
      <c r="AD99" s="216">
        <f t="shared" si="1434"/>
        <v>677602</v>
      </c>
      <c r="AE99" s="11">
        <f t="shared" si="1431"/>
        <v>52</v>
      </c>
      <c r="AF99" s="11">
        <f t="shared" si="1431"/>
        <v>-24</v>
      </c>
      <c r="AG99" s="11">
        <f t="shared" si="1431"/>
        <v>420</v>
      </c>
      <c r="AH99" s="11">
        <f t="shared" si="1431"/>
        <v>0</v>
      </c>
      <c r="AI99" s="11">
        <f t="shared" si="1431"/>
        <v>0</v>
      </c>
      <c r="AJ99" s="11">
        <f t="shared" si="1431"/>
        <v>82</v>
      </c>
      <c r="AK99" s="11">
        <f t="shared" si="1431"/>
        <v>-4</v>
      </c>
      <c r="AL99" s="11">
        <f t="shared" si="1431"/>
        <v>91177</v>
      </c>
      <c r="AM99" s="11">
        <f t="shared" si="1431"/>
        <v>100067</v>
      </c>
      <c r="AN99" s="11">
        <f t="shared" si="1431"/>
        <v>139</v>
      </c>
      <c r="AO99" s="9">
        <f t="shared" si="1431"/>
        <v>127004</v>
      </c>
      <c r="AP99" s="11">
        <f t="shared" si="1431"/>
        <v>278</v>
      </c>
      <c r="AQ99" s="9">
        <f t="shared" si="1431"/>
        <v>0</v>
      </c>
      <c r="AR99" s="11">
        <f t="shared" si="1431"/>
        <v>0</v>
      </c>
      <c r="AS99" s="11">
        <f t="shared" si="1431"/>
        <v>0</v>
      </c>
      <c r="AT99" s="11">
        <f t="shared" si="1431"/>
        <v>0</v>
      </c>
      <c r="AU99" s="11">
        <f t="shared" si="1431"/>
        <v>0</v>
      </c>
      <c r="AV99" s="11">
        <f t="shared" si="1431"/>
        <v>0</v>
      </c>
      <c r="AW99" s="11">
        <f t="shared" si="1431"/>
        <v>-1756</v>
      </c>
      <c r="AX99" s="11">
        <f t="shared" si="1431"/>
        <v>128</v>
      </c>
      <c r="AY99" s="11">
        <f t="shared" si="1431"/>
        <v>-596</v>
      </c>
      <c r="AZ99" s="11">
        <f t="shared" si="1431"/>
        <v>0</v>
      </c>
      <c r="BA99" s="11">
        <f t="shared" si="1431"/>
        <v>0</v>
      </c>
      <c r="BB99" s="9">
        <f t="shared" si="1431"/>
        <v>0</v>
      </c>
      <c r="BC99" s="11">
        <f t="shared" si="1431"/>
        <v>15711</v>
      </c>
      <c r="BD99" s="11">
        <f t="shared" si="1431"/>
        <v>15741</v>
      </c>
      <c r="BE99" s="11">
        <f t="shared" si="1431"/>
        <v>0</v>
      </c>
      <c r="BF99" s="11">
        <f t="shared" si="1431"/>
        <v>1450</v>
      </c>
      <c r="BG99" s="11">
        <f t="shared" si="1431"/>
        <v>35949</v>
      </c>
      <c r="BH99" s="9">
        <f t="shared" si="1431"/>
        <v>385818</v>
      </c>
      <c r="BI99" s="9">
        <f t="shared" si="1431"/>
        <v>1063420</v>
      </c>
      <c r="BJ99" s="11">
        <f t="shared" si="1431"/>
        <v>-36</v>
      </c>
      <c r="BK99" s="49">
        <f t="shared" si="1431"/>
        <v>1063456</v>
      </c>
      <c r="BM99" s="30">
        <f t="shared" si="1319"/>
        <v>385854</v>
      </c>
    </row>
    <row r="100" spans="1:65">
      <c r="A100" s="128"/>
      <c r="B100" s="5" t="s">
        <v>133</v>
      </c>
      <c r="C100" s="13">
        <f>C99/C95</f>
        <v>-4.7635355855760925E-2</v>
      </c>
      <c r="D100" s="13">
        <f t="shared" ref="D100" si="1435">D99/D95</f>
        <v>0.15732757858242089</v>
      </c>
      <c r="E100" s="13">
        <f t="shared" ref="E100" si="1436">E99/E95</f>
        <v>-9.316284851713727E-2</v>
      </c>
      <c r="F100" s="13">
        <f t="shared" ref="F100" si="1437">F99/F95</f>
        <v>5.4034681443497915E-3</v>
      </c>
      <c r="G100" s="13">
        <f t="shared" ref="G100" si="1438">G99/G95</f>
        <v>-7.947738771395894E-4</v>
      </c>
      <c r="H100" s="13" t="e">
        <f t="shared" ref="H100" si="1439">H99/H95</f>
        <v>#DIV/0!</v>
      </c>
      <c r="I100" s="13" t="e">
        <f t="shared" ref="I100" si="1440">I99/I95</f>
        <v>#DIV/0!</v>
      </c>
      <c r="J100" s="13" t="e">
        <f t="shared" ref="J100" si="1441">J99/J95</f>
        <v>#DIV/0!</v>
      </c>
      <c r="K100" s="13">
        <f t="shared" ref="K100" si="1442">K99/K95</f>
        <v>0.49302325581395351</v>
      </c>
      <c r="L100" s="13">
        <f t="shared" ref="L100" si="1443">L99/L95</f>
        <v>0.18844351900052056</v>
      </c>
      <c r="M100" s="13">
        <f t="shared" ref="M100" si="1444">M99/M95</f>
        <v>-5.1187466933160897E-2</v>
      </c>
      <c r="N100" s="13">
        <f t="shared" ref="N100" si="1445">N99/N95</f>
        <v>2.1985127707727127E-2</v>
      </c>
      <c r="O100" s="13">
        <f t="shared" ref="O100" si="1446">O99/O95</f>
        <v>-5.304445274561076E-2</v>
      </c>
      <c r="P100" s="13">
        <f t="shared" ref="P100" si="1447">P99/P95</f>
        <v>-0.11165048543689321</v>
      </c>
      <c r="Q100" s="13" t="e">
        <f t="shared" ref="Q100" si="1448">Q99/Q95</f>
        <v>#DIV/0!</v>
      </c>
      <c r="R100" s="13">
        <f t="shared" ref="R100" si="1449">R99/R95</f>
        <v>-0.15285126396237508</v>
      </c>
      <c r="S100" s="13">
        <f t="shared" ref="S100" si="1450">S99/S95</f>
        <v>0.1227634529903774</v>
      </c>
      <c r="T100" s="13">
        <f t="shared" ref="T100:U100" si="1451">T99/T95</f>
        <v>0.49137797218230744</v>
      </c>
      <c r="U100" s="13" t="e">
        <f t="shared" si="1451"/>
        <v>#DIV/0!</v>
      </c>
      <c r="V100" s="160" t="e">
        <f t="shared" ref="V100" si="1452">V99/V95</f>
        <v>#DIV/0!</v>
      </c>
      <c r="W100" s="13">
        <f t="shared" ref="W100" si="1453">W99/W95</f>
        <v>5.4</v>
      </c>
      <c r="X100" s="13" t="e">
        <f t="shared" ref="X100" si="1454">X99/X95</f>
        <v>#DIV/0!</v>
      </c>
      <c r="Y100" s="13">
        <f t="shared" ref="Y100" si="1455">Y99/Y95</f>
        <v>0.89985052316890879</v>
      </c>
      <c r="Z100" s="13">
        <f t="shared" ref="Z100" si="1456">Z99/Z95</f>
        <v>-0.34862385321100919</v>
      </c>
      <c r="AA100" s="13">
        <f t="shared" ref="AA100:AD100" si="1457">AA99/AA95</f>
        <v>-0.22777777777777777</v>
      </c>
      <c r="AB100" s="13" t="e">
        <f t="shared" ref="AB100" si="1458">AB99/AB95</f>
        <v>#DIV/0!</v>
      </c>
      <c r="AC100" s="160" t="e">
        <f t="shared" si="1457"/>
        <v>#DIV/0!</v>
      </c>
      <c r="AD100" s="217">
        <f t="shared" si="1457"/>
        <v>0.20305857575327138</v>
      </c>
      <c r="AE100" s="13">
        <f t="shared" ref="AE100" si="1459">AE99/AE95</f>
        <v>0.10236220472440945</v>
      </c>
      <c r="AF100" s="13">
        <f t="shared" ref="AF100" si="1460">AF99/AF95</f>
        <v>-0.16666666666666666</v>
      </c>
      <c r="AG100" s="13">
        <f t="shared" ref="AG100" si="1461">AG99/AG95</f>
        <v>0.24361948955916474</v>
      </c>
      <c r="AH100" s="13" t="e">
        <f t="shared" ref="AH100" si="1462">AH99/AH95</f>
        <v>#DIV/0!</v>
      </c>
      <c r="AI100" s="13" t="e">
        <f t="shared" ref="AI100" si="1463">AI99/AI95</f>
        <v>#DIV/0!</v>
      </c>
      <c r="AJ100" s="13">
        <f t="shared" ref="AJ100" si="1464">AJ99/AJ95</f>
        <v>2.2162162162162162</v>
      </c>
      <c r="AK100" s="13">
        <f t="shared" ref="AK100" si="1465">AK99/AK95</f>
        <v>-1.5094339622641509E-3</v>
      </c>
      <c r="AL100" s="13">
        <f t="shared" ref="AL100" si="1466">AL99/AL95</f>
        <v>0.3114362129094182</v>
      </c>
      <c r="AM100" s="13">
        <f t="shared" ref="AM100" si="1467">AM99/AM95</f>
        <v>1.5018310070538796</v>
      </c>
      <c r="AN100" s="13">
        <f t="shared" ref="AN100" si="1468">AN99/AN95</f>
        <v>11.583333333333334</v>
      </c>
      <c r="AO100" s="160">
        <f t="shared" ref="AO100" si="1469">AO99/AO95</f>
        <v>0.38993448078942361</v>
      </c>
      <c r="AP100" s="13" t="e">
        <f t="shared" ref="AP100" si="1470">AP99/AP95</f>
        <v>#DIV/0!</v>
      </c>
      <c r="AQ100" s="160" t="e">
        <f t="shared" ref="AQ100" si="1471">AQ99/AQ95</f>
        <v>#DIV/0!</v>
      </c>
      <c r="AR100" s="13" t="e">
        <f t="shared" ref="AR100" si="1472">AR99/AR95</f>
        <v>#DIV/0!</v>
      </c>
      <c r="AS100" s="13" t="e">
        <f t="shared" ref="AS100" si="1473">AS99/AS95</f>
        <v>#DIV/0!</v>
      </c>
      <c r="AT100" s="13" t="e">
        <f t="shared" ref="AT100" si="1474">AT99/AT95</f>
        <v>#DIV/0!</v>
      </c>
      <c r="AU100" s="13" t="e">
        <f t="shared" ref="AU100" si="1475">AU99/AU95</f>
        <v>#DIV/0!</v>
      </c>
      <c r="AV100" s="13" t="e">
        <f t="shared" ref="AV100" si="1476">AV99/AV95</f>
        <v>#DIV/0!</v>
      </c>
      <c r="AW100" s="13">
        <f t="shared" ref="AW100" si="1477">AW99/AW95</f>
        <v>-0.96536558548653106</v>
      </c>
      <c r="AX100" s="13">
        <f t="shared" ref="AX100" si="1478">AX99/AX95</f>
        <v>0.94814814814814818</v>
      </c>
      <c r="AY100" s="13">
        <f t="shared" ref="AY100" si="1479">AY99/AY95</f>
        <v>-0.53597122302158273</v>
      </c>
      <c r="AZ100" s="13" t="e">
        <f t="shared" ref="AZ100" si="1480">AZ99/AZ95</f>
        <v>#DIV/0!</v>
      </c>
      <c r="BA100" s="13" t="e">
        <f t="shared" ref="BA100" si="1481">BA99/BA95</f>
        <v>#DIV/0!</v>
      </c>
      <c r="BB100" s="160" t="e">
        <f t="shared" ref="BB100" si="1482">BB99/BB95</f>
        <v>#DIV/0!</v>
      </c>
      <c r="BC100" s="13">
        <f t="shared" ref="BC100" si="1483">BC99/BC95</f>
        <v>0.45635692915444276</v>
      </c>
      <c r="BD100" s="13">
        <f t="shared" ref="BD100" si="1484">BD99/BD95</f>
        <v>0.4576271186440678</v>
      </c>
      <c r="BE100" s="13" t="e">
        <f t="shared" ref="BE100" si="1485">BE99/BE95</f>
        <v>#DIV/0!</v>
      </c>
      <c r="BF100" s="13">
        <f t="shared" ref="BF100" si="1486">BF99/BF95</f>
        <v>0.15591397849462366</v>
      </c>
      <c r="BG100" s="13">
        <f t="shared" ref="BG100:BH100" si="1487">BG99/BG95</f>
        <v>1.4961295155651739</v>
      </c>
      <c r="BH100" s="160">
        <f t="shared" si="1487"/>
        <v>0.48506648294174443</v>
      </c>
      <c r="BI100" s="160">
        <f t="shared" ref="BI100" si="1488">BI99/BI95</f>
        <v>0.25733900884964317</v>
      </c>
      <c r="BJ100" s="13">
        <f t="shared" ref="BJ100:BK100" si="1489">BJ99/BJ95</f>
        <v>-1</v>
      </c>
      <c r="BK100" s="50">
        <f t="shared" si="1489"/>
        <v>0.25734996251513065</v>
      </c>
      <c r="BM100" s="14">
        <f t="shared" ref="BM100" si="1490">BM99/BM95</f>
        <v>0.48513370113508919</v>
      </c>
    </row>
    <row r="101" spans="1:65">
      <c r="A101" s="128"/>
      <c r="B101" s="5" t="s">
        <v>340</v>
      </c>
      <c r="C101" s="126">
        <f>C96/C93</f>
        <v>0.91020216503787366</v>
      </c>
      <c r="D101" s="126">
        <f t="shared" ref="D101:BK101" si="1491">D96/D93</f>
        <v>0.89610097900105734</v>
      </c>
      <c r="E101" s="126">
        <f t="shared" si="1491"/>
        <v>0.81090008257638313</v>
      </c>
      <c r="F101" s="126">
        <f t="shared" si="1491"/>
        <v>0.91070046198027221</v>
      </c>
      <c r="G101" s="126">
        <f t="shared" si="1491"/>
        <v>0.87575392038600719</v>
      </c>
      <c r="H101" s="126" t="e">
        <f t="shared" si="1491"/>
        <v>#DIV/0!</v>
      </c>
      <c r="I101" s="126" t="e">
        <f t="shared" si="1491"/>
        <v>#DIV/0!</v>
      </c>
      <c r="J101" s="126" t="e">
        <f t="shared" si="1491"/>
        <v>#DIV/0!</v>
      </c>
      <c r="K101" s="126">
        <f t="shared" si="1491"/>
        <v>0.50831353919239908</v>
      </c>
      <c r="L101" s="126">
        <f t="shared" si="1491"/>
        <v>0.75471074380165293</v>
      </c>
      <c r="M101" s="126">
        <f t="shared" si="1491"/>
        <v>0.83979603782665813</v>
      </c>
      <c r="N101" s="126">
        <f t="shared" si="1491"/>
        <v>0.64308965143089647</v>
      </c>
      <c r="O101" s="126">
        <f t="shared" si="1491"/>
        <v>1.1757884972170687</v>
      </c>
      <c r="P101" s="126">
        <f t="shared" si="1491"/>
        <v>0.82618510158013547</v>
      </c>
      <c r="Q101" s="126" t="e">
        <f t="shared" si="1491"/>
        <v>#DIV/0!</v>
      </c>
      <c r="R101" s="126">
        <f t="shared" si="1491"/>
        <v>0.70568070519098924</v>
      </c>
      <c r="S101" s="126">
        <f t="shared" si="1491"/>
        <v>1.0184011064104745</v>
      </c>
      <c r="T101" s="126">
        <f t="shared" si="1491"/>
        <v>0.97454917189749857</v>
      </c>
      <c r="U101" s="126" t="e">
        <f t="shared" si="1491"/>
        <v>#DIV/0!</v>
      </c>
      <c r="V101" s="175" t="e">
        <f t="shared" si="1491"/>
        <v>#DIV/0!</v>
      </c>
      <c r="W101" s="126" t="e">
        <f t="shared" si="1491"/>
        <v>#DIV/0!</v>
      </c>
      <c r="X101" s="126" t="e">
        <f t="shared" si="1491"/>
        <v>#DIV/0!</v>
      </c>
      <c r="Y101" s="126">
        <f t="shared" si="1491"/>
        <v>1.8287769784172663</v>
      </c>
      <c r="Z101" s="126">
        <f t="shared" si="1491"/>
        <v>1.9293478260869565</v>
      </c>
      <c r="AA101" s="126">
        <f t="shared" si="1491"/>
        <v>1.1346938775510205</v>
      </c>
      <c r="AB101" s="126">
        <f t="shared" ref="AB101" si="1492">AB96/AB93</f>
        <v>6.8870523415977963E-4</v>
      </c>
      <c r="AC101" s="175" t="e">
        <f t="shared" si="1491"/>
        <v>#DIV/0!</v>
      </c>
      <c r="AD101" s="218">
        <f t="shared" si="1491"/>
        <v>0.95727530231246116</v>
      </c>
      <c r="AE101" s="126">
        <f t="shared" si="1491"/>
        <v>0.99115044247787609</v>
      </c>
      <c r="AF101" s="126">
        <f t="shared" si="1491"/>
        <v>0.72289156626506024</v>
      </c>
      <c r="AG101" s="126">
        <f t="shared" si="1491"/>
        <v>1.1103055411703779</v>
      </c>
      <c r="AH101" s="126" t="e">
        <f t="shared" si="1491"/>
        <v>#DIV/0!</v>
      </c>
      <c r="AI101" s="126" t="e">
        <f t="shared" si="1491"/>
        <v>#DIV/0!</v>
      </c>
      <c r="AJ101" s="126">
        <f t="shared" si="1491"/>
        <v>3.2162162162162162</v>
      </c>
      <c r="AK101" s="126">
        <f t="shared" si="1491"/>
        <v>0.81115879828326176</v>
      </c>
      <c r="AL101" s="126">
        <f t="shared" si="1491"/>
        <v>0.93870565511845672</v>
      </c>
      <c r="AM101" s="126">
        <f t="shared" si="1491"/>
        <v>1.8349808462859407</v>
      </c>
      <c r="AN101" s="126">
        <f t="shared" si="1491"/>
        <v>6.291666666666667</v>
      </c>
      <c r="AO101" s="175">
        <f t="shared" si="1491"/>
        <v>1.0340542849376773</v>
      </c>
      <c r="AP101" s="126" t="e">
        <f t="shared" si="1491"/>
        <v>#DIV/0!</v>
      </c>
      <c r="AQ101" s="175" t="e">
        <f t="shared" si="1491"/>
        <v>#DIV/0!</v>
      </c>
      <c r="AR101" s="126" t="e">
        <f t="shared" si="1491"/>
        <v>#DIV/0!</v>
      </c>
      <c r="AS101" s="126" t="e">
        <f t="shared" si="1491"/>
        <v>#DIV/0!</v>
      </c>
      <c r="AT101" s="126" t="e">
        <f t="shared" si="1491"/>
        <v>#DIV/0!</v>
      </c>
      <c r="AU101" s="126" t="e">
        <f t="shared" si="1491"/>
        <v>#DIV/0!</v>
      </c>
      <c r="AV101" s="126" t="e">
        <f t="shared" si="1491"/>
        <v>#DIV/0!</v>
      </c>
      <c r="AW101" s="126" t="e">
        <f t="shared" si="1491"/>
        <v>#DIV/0!</v>
      </c>
      <c r="AX101" s="126">
        <f t="shared" si="1491"/>
        <v>0.51467710371819964</v>
      </c>
      <c r="AY101" s="126">
        <f t="shared" si="1491"/>
        <v>0.68891855807743663</v>
      </c>
      <c r="AZ101" s="126" t="e">
        <f t="shared" si="1491"/>
        <v>#DIV/0!</v>
      </c>
      <c r="BA101" s="126" t="e">
        <f t="shared" si="1491"/>
        <v>#DIV/0!</v>
      </c>
      <c r="BB101" s="175" t="e">
        <f t="shared" si="1491"/>
        <v>#DIV/0!</v>
      </c>
      <c r="BC101" s="126">
        <f t="shared" si="1491"/>
        <v>1.2071846483519129</v>
      </c>
      <c r="BD101" s="126">
        <f t="shared" si="1491"/>
        <v>1.2082901554404144</v>
      </c>
      <c r="BE101" s="126">
        <f t="shared" si="1491"/>
        <v>0</v>
      </c>
      <c r="BF101" s="126">
        <f t="shared" si="1491"/>
        <v>0.90541564895140236</v>
      </c>
      <c r="BG101" s="126">
        <f t="shared" si="1491"/>
        <v>-1.2876956437726774</v>
      </c>
      <c r="BH101" s="175">
        <f t="shared" si="1491"/>
        <v>1.1892026308821591</v>
      </c>
      <c r="BI101" s="175">
        <f t="shared" si="1491"/>
        <v>1.001687669027167</v>
      </c>
      <c r="BJ101" s="126">
        <f t="shared" si="1491"/>
        <v>0</v>
      </c>
      <c r="BK101" s="126">
        <f t="shared" si="1491"/>
        <v>1.0016946211683053</v>
      </c>
      <c r="BM101" s="126" t="e">
        <f t="shared" ref="BM101" si="1493">BM96/BM93</f>
        <v>#DIV/0!</v>
      </c>
    </row>
    <row r="102" spans="1:65" s="178" customFormat="1">
      <c r="A102" s="128"/>
      <c r="B102" s="5" t="s">
        <v>341</v>
      </c>
      <c r="C102" s="11">
        <f>C93-C96</f>
        <v>71331</v>
      </c>
      <c r="D102" s="11">
        <f t="shared" ref="D102:BK102" si="1494">D93-D96</f>
        <v>37930</v>
      </c>
      <c r="E102" s="11">
        <f t="shared" si="1494"/>
        <v>5954</v>
      </c>
      <c r="F102" s="11">
        <f t="shared" si="1494"/>
        <v>7152</v>
      </c>
      <c r="G102" s="11">
        <f t="shared" si="1494"/>
        <v>7313</v>
      </c>
      <c r="H102" s="11">
        <f t="shared" si="1494"/>
        <v>0</v>
      </c>
      <c r="I102" s="11">
        <f t="shared" si="1494"/>
        <v>0</v>
      </c>
      <c r="J102" s="11">
        <f t="shared" si="1494"/>
        <v>-11</v>
      </c>
      <c r="K102" s="11">
        <f t="shared" si="1494"/>
        <v>621</v>
      </c>
      <c r="L102" s="11">
        <f t="shared" si="1494"/>
        <v>742</v>
      </c>
      <c r="M102" s="11">
        <f t="shared" si="1494"/>
        <v>12316</v>
      </c>
      <c r="N102" s="11">
        <f t="shared" si="1494"/>
        <v>5263</v>
      </c>
      <c r="O102" s="11">
        <f t="shared" si="1494"/>
        <v>-379</v>
      </c>
      <c r="P102" s="11">
        <f t="shared" si="1494"/>
        <v>2310</v>
      </c>
      <c r="Q102" s="11">
        <f t="shared" si="1494"/>
        <v>0</v>
      </c>
      <c r="R102" s="11">
        <f t="shared" si="1494"/>
        <v>1202</v>
      </c>
      <c r="S102" s="11">
        <f t="shared" si="1494"/>
        <v>-18055</v>
      </c>
      <c r="T102" s="11">
        <f t="shared" si="1494"/>
        <v>44913</v>
      </c>
      <c r="U102" s="11">
        <f t="shared" si="1494"/>
        <v>0</v>
      </c>
      <c r="V102" s="11">
        <f t="shared" si="1494"/>
        <v>0</v>
      </c>
      <c r="W102" s="11">
        <f t="shared" si="1494"/>
        <v>-96</v>
      </c>
      <c r="X102" s="11">
        <f t="shared" si="1494"/>
        <v>0</v>
      </c>
      <c r="Y102" s="11">
        <f t="shared" si="1494"/>
        <v>-576</v>
      </c>
      <c r="Z102" s="11">
        <f t="shared" si="1494"/>
        <v>-171</v>
      </c>
      <c r="AA102" s="11">
        <f t="shared" si="1494"/>
        <v>-33</v>
      </c>
      <c r="AB102" s="11">
        <f t="shared" si="1494"/>
        <v>1451</v>
      </c>
      <c r="AC102" s="11">
        <f t="shared" si="1494"/>
        <v>0</v>
      </c>
      <c r="AD102" s="11">
        <f t="shared" si="1494"/>
        <v>179177</v>
      </c>
      <c r="AE102" s="11">
        <f t="shared" si="1494"/>
        <v>5</v>
      </c>
      <c r="AF102" s="11">
        <f t="shared" si="1494"/>
        <v>46</v>
      </c>
      <c r="AG102" s="11">
        <f t="shared" si="1494"/>
        <v>-213</v>
      </c>
      <c r="AH102" s="11">
        <f t="shared" si="1494"/>
        <v>0</v>
      </c>
      <c r="AI102" s="11">
        <f t="shared" si="1494"/>
        <v>0</v>
      </c>
      <c r="AJ102" s="11">
        <f t="shared" si="1494"/>
        <v>-82</v>
      </c>
      <c r="AK102" s="11">
        <f t="shared" si="1494"/>
        <v>616</v>
      </c>
      <c r="AL102" s="11">
        <f t="shared" si="1494"/>
        <v>25070</v>
      </c>
      <c r="AM102" s="11">
        <f t="shared" si="1494"/>
        <v>-75853</v>
      </c>
      <c r="AN102" s="11">
        <f t="shared" si="1494"/>
        <v>-127</v>
      </c>
      <c r="AO102" s="11">
        <f t="shared" si="1494"/>
        <v>-14909</v>
      </c>
      <c r="AP102" s="11">
        <f t="shared" si="1494"/>
        <v>-278</v>
      </c>
      <c r="AQ102" s="11">
        <f t="shared" si="1494"/>
        <v>0</v>
      </c>
      <c r="AR102" s="11">
        <f t="shared" si="1494"/>
        <v>0</v>
      </c>
      <c r="AS102" s="11">
        <f t="shared" si="1494"/>
        <v>0</v>
      </c>
      <c r="AT102" s="11">
        <f t="shared" si="1494"/>
        <v>0</v>
      </c>
      <c r="AU102" s="11">
        <f t="shared" si="1494"/>
        <v>0</v>
      </c>
      <c r="AV102" s="11">
        <f t="shared" si="1494"/>
        <v>0</v>
      </c>
      <c r="AW102" s="11">
        <f t="shared" si="1494"/>
        <v>-63</v>
      </c>
      <c r="AX102" s="11">
        <f t="shared" si="1494"/>
        <v>248</v>
      </c>
      <c r="AY102" s="11">
        <f t="shared" si="1494"/>
        <v>233</v>
      </c>
      <c r="AZ102" s="11">
        <f t="shared" si="1494"/>
        <v>0</v>
      </c>
      <c r="BA102" s="11">
        <f t="shared" si="1494"/>
        <v>0</v>
      </c>
      <c r="BB102" s="11">
        <f t="shared" si="1494"/>
        <v>0</v>
      </c>
      <c r="BC102" s="11">
        <f t="shared" si="1494"/>
        <v>-8605</v>
      </c>
      <c r="BD102" s="11">
        <f t="shared" si="1494"/>
        <v>-8643</v>
      </c>
      <c r="BE102" s="11">
        <f t="shared" si="1494"/>
        <v>55</v>
      </c>
      <c r="BF102" s="11">
        <f t="shared" si="1494"/>
        <v>1123</v>
      </c>
      <c r="BG102" s="11">
        <f t="shared" si="1494"/>
        <v>-106554</v>
      </c>
      <c r="BH102" s="11">
        <f t="shared" si="1494"/>
        <v>-187931</v>
      </c>
      <c r="BI102" s="11">
        <f t="shared" si="1494"/>
        <v>-8754</v>
      </c>
      <c r="BJ102" s="11">
        <f t="shared" si="1494"/>
        <v>36</v>
      </c>
      <c r="BK102" s="11">
        <f t="shared" si="1494"/>
        <v>-8790</v>
      </c>
      <c r="BL102" s="11">
        <f t="shared" ref="BL102:BM102" si="1495">BL96-BL93</f>
        <v>5195789</v>
      </c>
      <c r="BM102" s="11">
        <f t="shared" si="1495"/>
        <v>1181210</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9"/>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9"/>
      <c r="BJ103" s="5"/>
      <c r="BK103" s="48"/>
    </row>
    <row r="104" spans="1:65" s="266" customFormat="1">
      <c r="A104" s="15" t="s">
        <v>40</v>
      </c>
      <c r="B104" s="11" t="s">
        <v>336</v>
      </c>
      <c r="C104" s="267">
        <v>1784748</v>
      </c>
      <c r="D104" s="120">
        <v>821104</v>
      </c>
      <c r="E104" s="120">
        <v>26364</v>
      </c>
      <c r="F104" s="120">
        <v>184116</v>
      </c>
      <c r="G104" s="120">
        <v>116346</v>
      </c>
      <c r="H104" s="120"/>
      <c r="I104" s="120"/>
      <c r="J104" s="120"/>
      <c r="K104" s="120"/>
      <c r="L104" s="120">
        <v>1445</v>
      </c>
      <c r="M104" s="120">
        <v>192338</v>
      </c>
      <c r="N104" s="120">
        <v>1810</v>
      </c>
      <c r="O104" s="120">
        <v>14912</v>
      </c>
      <c r="P104" s="120">
        <v>192774</v>
      </c>
      <c r="Q104" s="120"/>
      <c r="R104" s="120">
        <v>5932</v>
      </c>
      <c r="S104" s="120"/>
      <c r="T104" s="120"/>
      <c r="U104" s="120"/>
      <c r="V104" s="268"/>
      <c r="W104" s="120"/>
      <c r="X104" s="120">
        <v>2000</v>
      </c>
      <c r="Y104" s="120">
        <v>5965</v>
      </c>
      <c r="Z104" s="120">
        <v>1873</v>
      </c>
      <c r="AA104" s="120">
        <v>1978</v>
      </c>
      <c r="AB104" s="120">
        <v>513</v>
      </c>
      <c r="AC104" s="268">
        <v>0</v>
      </c>
      <c r="AD104" s="121">
        <f t="shared" ref="AD104:AD105" si="1496">SUM(C104:AC104)</f>
        <v>3354218</v>
      </c>
      <c r="AE104" s="120">
        <v>6321</v>
      </c>
      <c r="AF104" s="120">
        <v>639</v>
      </c>
      <c r="AG104" s="120">
        <v>117</v>
      </c>
      <c r="AH104" s="120"/>
      <c r="AI104" s="120"/>
      <c r="AJ104" s="120">
        <v>396</v>
      </c>
      <c r="AK104" s="120">
        <v>5951</v>
      </c>
      <c r="AL104" s="120">
        <v>15816</v>
      </c>
      <c r="AM104" s="120">
        <v>299</v>
      </c>
      <c r="AN104" s="120">
        <v>941</v>
      </c>
      <c r="AO104" s="268">
        <v>150011</v>
      </c>
      <c r="AP104" s="120">
        <v>340463</v>
      </c>
      <c r="AQ104" s="268"/>
      <c r="AR104" s="120"/>
      <c r="AS104" s="120"/>
      <c r="AT104" s="120"/>
      <c r="AU104" s="120"/>
      <c r="AV104" s="120"/>
      <c r="AW104" s="120">
        <v>1751</v>
      </c>
      <c r="AX104" s="120">
        <v>1715</v>
      </c>
      <c r="AY104" s="120">
        <v>129</v>
      </c>
      <c r="AZ104" s="120"/>
      <c r="BA104" s="120"/>
      <c r="BB104" s="268"/>
      <c r="BC104" s="120">
        <v>2952</v>
      </c>
      <c r="BD104" s="120">
        <v>2952</v>
      </c>
      <c r="BE104" s="120">
        <v>50</v>
      </c>
      <c r="BF104" s="120">
        <v>4603</v>
      </c>
      <c r="BG104" s="270">
        <v>1691839</v>
      </c>
      <c r="BH104" s="120">
        <f t="shared" ref="BH104" si="1497">SUM(AE104:BG104)</f>
        <v>2226945</v>
      </c>
      <c r="BI104" s="125">
        <f t="shared" ref="BI104:BI105" si="1498">AD104+BH104</f>
        <v>5581163</v>
      </c>
      <c r="BJ104" s="269">
        <v>0</v>
      </c>
      <c r="BK104" s="124">
        <f t="shared" ref="BK104" si="1499">BI104-BJ104</f>
        <v>5581163</v>
      </c>
    </row>
    <row r="105" spans="1:65" s="41" customFormat="1">
      <c r="A105" s="134" t="s">
        <v>40</v>
      </c>
      <c r="B105" s="210" t="s">
        <v>429</v>
      </c>
      <c r="C105" s="267">
        <v>1633840</v>
      </c>
      <c r="D105" s="120">
        <v>737368</v>
      </c>
      <c r="E105" s="120">
        <v>26101</v>
      </c>
      <c r="F105" s="120">
        <v>168653</v>
      </c>
      <c r="G105" s="120">
        <v>105995</v>
      </c>
      <c r="H105" s="120"/>
      <c r="I105" s="120"/>
      <c r="J105" s="120"/>
      <c r="K105" s="120"/>
      <c r="L105" s="120">
        <v>1224</v>
      </c>
      <c r="M105" s="120">
        <v>172623</v>
      </c>
      <c r="N105" s="120">
        <v>1552</v>
      </c>
      <c r="O105" s="120">
        <v>14912</v>
      </c>
      <c r="P105" s="120">
        <v>173978</v>
      </c>
      <c r="Q105" s="120"/>
      <c r="R105" s="120">
        <v>5828</v>
      </c>
      <c r="S105" s="120"/>
      <c r="T105" s="120"/>
      <c r="U105" s="120"/>
      <c r="V105" s="268"/>
      <c r="W105" s="120"/>
      <c r="X105" s="120">
        <v>1500</v>
      </c>
      <c r="Y105" s="120">
        <v>5344</v>
      </c>
      <c r="Z105" s="120">
        <v>1697</v>
      </c>
      <c r="AA105" s="120">
        <v>1569</v>
      </c>
      <c r="AB105" s="120">
        <v>469</v>
      </c>
      <c r="AC105" s="268"/>
      <c r="AD105" s="121">
        <f t="shared" si="1496"/>
        <v>3052653</v>
      </c>
      <c r="AE105" s="120">
        <v>5201</v>
      </c>
      <c r="AF105" s="120">
        <v>582</v>
      </c>
      <c r="AG105" s="120">
        <v>117</v>
      </c>
      <c r="AH105" s="120"/>
      <c r="AI105" s="120"/>
      <c r="AJ105" s="120">
        <v>329</v>
      </c>
      <c r="AK105" s="120">
        <v>4993</v>
      </c>
      <c r="AL105" s="120">
        <v>15031</v>
      </c>
      <c r="AM105" s="120">
        <v>282</v>
      </c>
      <c r="AN105" s="120">
        <v>814</v>
      </c>
      <c r="AO105" s="268">
        <v>138178</v>
      </c>
      <c r="AP105" s="120">
        <v>316281</v>
      </c>
      <c r="AQ105" s="268"/>
      <c r="AR105" s="120"/>
      <c r="AS105" s="120"/>
      <c r="AT105" s="120"/>
      <c r="AU105" s="120"/>
      <c r="AV105" s="120"/>
      <c r="AW105" s="120">
        <v>1314</v>
      </c>
      <c r="AX105" s="120">
        <v>1506</v>
      </c>
      <c r="AY105" s="120">
        <v>96</v>
      </c>
      <c r="AZ105" s="120"/>
      <c r="BA105" s="120"/>
      <c r="BB105" s="268"/>
      <c r="BC105" s="120">
        <v>2952</v>
      </c>
      <c r="BD105" s="120">
        <v>2952</v>
      </c>
      <c r="BE105" s="120">
        <v>46</v>
      </c>
      <c r="BF105" s="120">
        <v>4065</v>
      </c>
      <c r="BG105" s="270">
        <v>1507097</v>
      </c>
      <c r="BH105" s="10">
        <f>SUM(AE105:BG105)</f>
        <v>2001836</v>
      </c>
      <c r="BI105" s="249">
        <f t="shared" si="1498"/>
        <v>5054489</v>
      </c>
      <c r="BJ105" s="269">
        <v>0</v>
      </c>
      <c r="BK105" s="10">
        <f t="shared" ref="BK105" si="1500">BI105-BJ105</f>
        <v>5054489</v>
      </c>
      <c r="BM105" s="211"/>
    </row>
    <row r="106" spans="1:65">
      <c r="A106" s="128"/>
      <c r="B106" s="12" t="s">
        <v>430</v>
      </c>
      <c r="C106" s="9">
        <f>IF('Upto Month COPPY'!$K$4="",0,'Upto Month COPPY'!$K$4)</f>
        <v>1677254</v>
      </c>
      <c r="D106" s="9">
        <f>IF('Upto Month COPPY'!$K$5="",0,'Upto Month COPPY'!$K$5)</f>
        <v>555199</v>
      </c>
      <c r="E106" s="9">
        <f>IF('Upto Month COPPY'!$K$6="",0,'Upto Month COPPY'!$K$6)</f>
        <v>26816</v>
      </c>
      <c r="F106" s="9">
        <f>IF('Upto Month COPPY'!$K$7="",0,'Upto Month COPPY'!$K$7)</f>
        <v>159548</v>
      </c>
      <c r="G106" s="9">
        <f>IF('Upto Month COPPY'!$K$8="",0,'Upto Month COPPY'!$K$8)</f>
        <v>94689</v>
      </c>
      <c r="H106" s="9">
        <f>IF('Upto Month COPPY'!$K$9="",0,'Upto Month COPPY'!$K$9)</f>
        <v>0</v>
      </c>
      <c r="I106" s="9">
        <f>IF('Upto Month COPPY'!$K$10="",0,'Upto Month COPPY'!$K$10)</f>
        <v>0</v>
      </c>
      <c r="J106" s="9">
        <f>IF('Upto Month COPPY'!$K$11="",0,'Upto Month COPPY'!$K$11)</f>
        <v>-8</v>
      </c>
      <c r="K106" s="9">
        <f>IF('Upto Month COPPY'!$K$12="",0,'Upto Month COPPY'!$K$12)</f>
        <v>0</v>
      </c>
      <c r="L106" s="9">
        <f>IF('Upto Month COPPY'!$K$13="",0,'Upto Month COPPY'!$K$13)</f>
        <v>884</v>
      </c>
      <c r="M106" s="9">
        <f>IF('Upto Month COPPY'!$K$14="",0,'Upto Month COPPY'!$K$14)</f>
        <v>166204</v>
      </c>
      <c r="N106" s="9">
        <f>IF('Upto Month COPPY'!$K$15="",0,'Upto Month COPPY'!$K$15)</f>
        <v>364</v>
      </c>
      <c r="O106" s="9">
        <f>IF('Upto Month COPPY'!$K$16="",0,'Upto Month COPPY'!$K$16)</f>
        <v>15411</v>
      </c>
      <c r="P106" s="9">
        <f>IF('Upto Month COPPY'!$K$17="",0,'Upto Month COPPY'!$K$17)</f>
        <v>167625</v>
      </c>
      <c r="Q106" s="9">
        <f>IF('Upto Month COPPY'!$K$18="",0,'Upto Month COPPY'!$K$18)</f>
        <v>0</v>
      </c>
      <c r="R106" s="9">
        <f>IF('Upto Month COPPY'!$K$21="",0,'Upto Month COPPY'!$K$21)</f>
        <v>4944</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3149</v>
      </c>
      <c r="Z106" s="9">
        <f>IF('Upto Month COPPY'!$K$43="",0,'Upto Month COPPY'!$K$43)</f>
        <v>1322</v>
      </c>
      <c r="AA106" s="9">
        <f>IF('Upto Month COPPY'!$K$44="",0,'Upto Month COPPY'!$K$44)</f>
        <v>693</v>
      </c>
      <c r="AB106" s="9">
        <f>IF('Upto Month COPPY'!$K$48="",0,'Upto Month COPPY'!$K$48)</f>
        <v>34</v>
      </c>
      <c r="AC106" s="9">
        <f>IF('Upto Month COPPY'!$K$51="",0,'Upto Month COPPY'!$K$51)</f>
        <v>0</v>
      </c>
      <c r="AD106" s="221">
        <f t="shared" ref="AD106:AD107" si="1501">SUM(C106:AC106)</f>
        <v>2874128</v>
      </c>
      <c r="AE106" s="9">
        <f>IF('Upto Month COPPY'!$K$19="",0,'Upto Month COPPY'!$K$19)</f>
        <v>5511</v>
      </c>
      <c r="AF106" s="9">
        <f>IF('Upto Month COPPY'!$K$20="",0,'Upto Month COPPY'!$K$20)</f>
        <v>556</v>
      </c>
      <c r="AG106" s="9">
        <f>IF('Upto Month COPPY'!$K$22="",0,'Upto Month COPPY'!$K$22)</f>
        <v>104</v>
      </c>
      <c r="AH106" s="9">
        <f>IF('Upto Month COPPY'!$K$23="",0,'Upto Month COPPY'!$K$23)</f>
        <v>0</v>
      </c>
      <c r="AI106" s="9">
        <f>IF('Upto Month COPPY'!$K$24="",0,'Upto Month COPPY'!$K$24)</f>
        <v>0</v>
      </c>
      <c r="AJ106" s="9">
        <f>IF('Upto Month COPPY'!$K$25="",0,'Upto Month COPPY'!$K$25)</f>
        <v>110</v>
      </c>
      <c r="AK106" s="9">
        <f>IF('Upto Month COPPY'!$K$28="",0,'Upto Month COPPY'!$K$28)</f>
        <v>716</v>
      </c>
      <c r="AL106" s="9">
        <f>IF('Upto Month COPPY'!$K$29="",0,'Upto Month COPPY'!$K$29)</f>
        <v>16295</v>
      </c>
      <c r="AM106" s="9">
        <f>IF('Upto Month COPPY'!$K$31="",0,'Upto Month COPPY'!$K$31)</f>
        <v>252</v>
      </c>
      <c r="AN106" s="9">
        <f>IF('Upto Month COPPY'!$K$32="",0,'Upto Month COPPY'!$K$32)</f>
        <v>656</v>
      </c>
      <c r="AO106" s="9">
        <f>IF('Upto Month COPPY'!$K$33="",0,'Upto Month COPPY'!$K$33)</f>
        <v>94259</v>
      </c>
      <c r="AP106" s="9">
        <f>IF('Upto Month COPPY'!$K$34="",0,'Upto Month COPPY'!$K$34)</f>
        <v>247284</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1621</v>
      </c>
      <c r="AX106" s="9">
        <f>IF('Upto Month COPPY'!$K$46="",0,'Upto Month COPPY'!$K$46)</f>
        <v>1313</v>
      </c>
      <c r="AY106" s="9">
        <f>IF('Upto Month COPPY'!$K$47="",0,'Upto Month COPPY'!$K$47)</f>
        <v>261</v>
      </c>
      <c r="AZ106" s="9">
        <f>IF('Upto Month COPPY'!$K$49="",0,'Upto Month COPPY'!$K$49)</f>
        <v>0</v>
      </c>
      <c r="BA106" s="9">
        <f>IF('Upto Month COPPY'!$K$50="",0,'Upto Month COPPY'!$K$50)</f>
        <v>0</v>
      </c>
      <c r="BB106" s="9">
        <f>IF('Upto Month COPPY'!$K$52="",0,'Upto Month COPPY'!$K$52)</f>
        <v>0</v>
      </c>
      <c r="BC106" s="9">
        <f>IF('Upto Month COPPY'!$K$53="",0,'Upto Month COPPY'!$K$53)</f>
        <v>2474</v>
      </c>
      <c r="BD106" s="9">
        <f>IF('Upto Month COPPY'!$K$54="",0,'Upto Month COPPY'!$K$54)</f>
        <v>2474</v>
      </c>
      <c r="BE106" s="9">
        <f>IF('Upto Month COPPY'!$K$55="",0,'Upto Month COPPY'!$K$55)</f>
        <v>0</v>
      </c>
      <c r="BF106" s="9">
        <f>IF('Upto Month COPPY'!$K$56="",0,'Upto Month COPPY'!$K$56)</f>
        <v>4079</v>
      </c>
      <c r="BG106" s="9">
        <f>IF('Upto Month COPPY'!$K$58="",0,'Upto Month COPPY'!$K$58)</f>
        <v>1408395</v>
      </c>
      <c r="BH106" s="9">
        <f>SUM(AE106:BG106)</f>
        <v>1786360</v>
      </c>
      <c r="BI106" s="275">
        <f>AD106+BH106</f>
        <v>4660488</v>
      </c>
      <c r="BJ106" s="9">
        <f>IF('Upto Month COPPY'!$K$60="",0,'Upto Month COPPY'!$K$60)</f>
        <v>31</v>
      </c>
      <c r="BK106" s="49">
        <f t="shared" ref="BK106:BK107" si="1502">BI106-BJ106</f>
        <v>4660457</v>
      </c>
      <c r="BL106">
        <f>'Upto Month COPPY'!$K$61</f>
        <v>4660455</v>
      </c>
      <c r="BM106" s="30">
        <f t="shared" ref="BM106:BM110" si="1503">BK106-AD106</f>
        <v>1786329</v>
      </c>
    </row>
    <row r="107" spans="1:65">
      <c r="A107" s="128"/>
      <c r="B107" s="180" t="s">
        <v>431</v>
      </c>
      <c r="C107" s="9">
        <f>IF('Upto Month Current'!$K$4="",0,'Upto Month Current'!$K$4)</f>
        <v>1615197</v>
      </c>
      <c r="D107" s="9">
        <f>IF('Upto Month Current'!$K$5="",0,'Upto Month Current'!$K$5)</f>
        <v>714890</v>
      </c>
      <c r="E107" s="9">
        <f>IF('Upto Month Current'!$K$6="",0,'Upto Month Current'!$K$6)</f>
        <v>24571</v>
      </c>
      <c r="F107" s="9">
        <f>IF('Upto Month Current'!$K$7="",0,'Upto Month Current'!$K$7)</f>
        <v>160352</v>
      </c>
      <c r="G107" s="9">
        <f>IF('Upto Month Current'!$K$8="",0,'Upto Month Current'!$K$8)</f>
        <v>97152</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2386</v>
      </c>
      <c r="M107" s="9">
        <f>IF('Upto Month Current'!$K$14="",0,'Upto Month Current'!$K$14)</f>
        <v>146844</v>
      </c>
      <c r="N107" s="9">
        <f>IF('Upto Month Current'!$K$15="",0,'Upto Month Current'!$K$15)</f>
        <v>558</v>
      </c>
      <c r="O107" s="9">
        <f>IF('Upto Month Current'!$K$16="",0,'Upto Month Current'!$K$16)</f>
        <v>15170</v>
      </c>
      <c r="P107" s="9">
        <f>IF('Upto Month Current'!$K$17="",0,'Upto Month Current'!$K$17)</f>
        <v>167699</v>
      </c>
      <c r="Q107" s="9">
        <f>IF('Upto Month Current'!$K$18="",0,'Upto Month Current'!$K$18)</f>
        <v>0</v>
      </c>
      <c r="R107" s="9">
        <f>IF('Upto Month Current'!$K$21="",0,'Upto Month Current'!$K$21)</f>
        <v>7093</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37</v>
      </c>
      <c r="X107" s="9">
        <f>IF('Upto Month Current'!$K$40="",0,'Upto Month Current'!$K$40)</f>
        <v>0</v>
      </c>
      <c r="Y107" s="9">
        <f>IF('Upto Month Current'!$K$42="",0,'Upto Month Current'!$K$42)</f>
        <v>8661</v>
      </c>
      <c r="Z107" s="9">
        <f>IF('Upto Month Current'!$K$43="",0,'Upto Month Current'!$K$43)</f>
        <v>2240</v>
      </c>
      <c r="AA107" s="9">
        <f>IF('Upto Month Current'!$K$44="",0,'Upto Month Current'!$K$44)</f>
        <v>1897</v>
      </c>
      <c r="AB107" s="9">
        <f>IF('Upto Month Current'!$K$48="",0,'Upto Month Current'!$K$48)</f>
        <v>61</v>
      </c>
      <c r="AC107" s="9">
        <f>IF('Upto Month Current'!$K$51="",0,'Upto Month Current'!$K$51)</f>
        <v>0</v>
      </c>
      <c r="AD107" s="221">
        <f t="shared" si="1501"/>
        <v>2964808</v>
      </c>
      <c r="AE107" s="9">
        <f>IF('Upto Month Current'!$K$19="",0,'Upto Month Current'!$K$19)</f>
        <v>6585</v>
      </c>
      <c r="AF107" s="9">
        <f>IF('Upto Month Current'!$K$20="",0,'Upto Month Current'!$K$20)</f>
        <v>514</v>
      </c>
      <c r="AG107" s="9">
        <f>IF('Upto Month Current'!$K$22="",0,'Upto Month Current'!$K$22)</f>
        <v>0</v>
      </c>
      <c r="AH107" s="9">
        <f>IF('Upto Month Current'!$K$23="",0,'Upto Month Current'!$K$23)</f>
        <v>0</v>
      </c>
      <c r="AI107" s="9">
        <f>IF('Upto Month Current'!$K$24="",0,'Upto Month Current'!$K$24)</f>
        <v>0</v>
      </c>
      <c r="AJ107" s="9">
        <f>IF('Upto Month Current'!$K$25="",0,'Upto Month Current'!$K$25)</f>
        <v>112</v>
      </c>
      <c r="AK107" s="9">
        <f>IF('Upto Month Current'!$K$28="",0,'Upto Month Current'!$K$28)</f>
        <v>5728</v>
      </c>
      <c r="AL107" s="9">
        <f>IF('Upto Month Current'!$K$29="",0,'Upto Month Current'!$K$29)</f>
        <v>24778</v>
      </c>
      <c r="AM107" s="9">
        <f>IF('Upto Month Current'!$K$31="",0,'Upto Month Current'!$K$31)</f>
        <v>214</v>
      </c>
      <c r="AN107" s="9">
        <f>IF('Upto Month Current'!$K$32="",0,'Upto Month Current'!$K$32)</f>
        <v>706</v>
      </c>
      <c r="AO107" s="9">
        <f>IF('Upto Month Current'!$K$33="",0,'Upto Month Current'!$K$33)</f>
        <v>139298</v>
      </c>
      <c r="AP107" s="9">
        <f>IF('Upto Month Current'!$K$34="",0,'Upto Month Current'!$K$34)</f>
        <v>236024</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2341</v>
      </c>
      <c r="AX107" s="9">
        <f>IF('Upto Month Current'!$K$46="",0,'Upto Month Current'!$K$46)</f>
        <v>1147</v>
      </c>
      <c r="AY107" s="9">
        <f>IF('Upto Month Current'!$K$47="",0,'Upto Month Current'!$K$47)</f>
        <v>174</v>
      </c>
      <c r="AZ107" s="9">
        <f>IF('Upto Month Current'!$K$49="",0,'Upto Month Current'!$K$49)</f>
        <v>0</v>
      </c>
      <c r="BA107" s="9">
        <f>IF('Upto Month Current'!$K$50="",0,'Upto Month Current'!$K$50)</f>
        <v>0</v>
      </c>
      <c r="BB107" s="9">
        <f>IF('Upto Month Current'!$K$52="",0,'Upto Month Current'!$K$52)</f>
        <v>0</v>
      </c>
      <c r="BC107" s="9">
        <f>IF('Upto Month Current'!$K$53="",0,'Upto Month Current'!$K$53)</f>
        <v>3375</v>
      </c>
      <c r="BD107" s="9">
        <f>IF('Upto Month Current'!$K$54="",0,'Upto Month Current'!$K$54)</f>
        <v>3372</v>
      </c>
      <c r="BE107" s="9">
        <f>IF('Upto Month Current'!$K$55="",0,'Upto Month Current'!$K$55)</f>
        <v>3</v>
      </c>
      <c r="BF107" s="9">
        <f>IF('Upto Month Current'!$K$56="",0,'Upto Month Current'!$K$56)</f>
        <v>2397</v>
      </c>
      <c r="BG107" s="9">
        <f>IF('Upto Month Current'!$K$58="",0,'Upto Month Current'!$K$58)</f>
        <v>1239773</v>
      </c>
      <c r="BH107" s="9">
        <f>SUM(AE107:BG107)</f>
        <v>1666541</v>
      </c>
      <c r="BI107" s="275">
        <f>AD107+BH107</f>
        <v>4631349</v>
      </c>
      <c r="BJ107" s="9">
        <f>IF('Upto Month Current'!$K$60="",0,'Upto Month Current'!$K$60)</f>
        <v>65</v>
      </c>
      <c r="BK107" s="49">
        <f t="shared" si="1502"/>
        <v>4631284</v>
      </c>
      <c r="BL107">
        <f>'Upto Month Current'!$K$61</f>
        <v>4631283</v>
      </c>
      <c r="BM107" s="30">
        <f t="shared" si="1503"/>
        <v>1666476</v>
      </c>
    </row>
    <row r="108" spans="1:65">
      <c r="A108" s="128"/>
      <c r="B108" s="5" t="s">
        <v>130</v>
      </c>
      <c r="C108" s="11">
        <f>C107-C105</f>
        <v>-18643</v>
      </c>
      <c r="D108" s="11">
        <f t="shared" ref="D108" si="1504">D107-D105</f>
        <v>-22478</v>
      </c>
      <c r="E108" s="11">
        <f t="shared" ref="E108" si="1505">E107-E105</f>
        <v>-1530</v>
      </c>
      <c r="F108" s="11">
        <f t="shared" ref="F108" si="1506">F107-F105</f>
        <v>-8301</v>
      </c>
      <c r="G108" s="11">
        <f t="shared" ref="G108" si="1507">G107-G105</f>
        <v>-8843</v>
      </c>
      <c r="H108" s="11">
        <f t="shared" ref="H108" si="1508">H107-H105</f>
        <v>0</v>
      </c>
      <c r="I108" s="11">
        <f t="shared" ref="I108" si="1509">I107-I105</f>
        <v>0</v>
      </c>
      <c r="J108" s="11">
        <f t="shared" ref="J108" si="1510">J107-J105</f>
        <v>0</v>
      </c>
      <c r="K108" s="11">
        <f t="shared" ref="K108" si="1511">K107-K105</f>
        <v>0</v>
      </c>
      <c r="L108" s="11">
        <f t="shared" ref="L108" si="1512">L107-L105</f>
        <v>1162</v>
      </c>
      <c r="M108" s="11">
        <f t="shared" ref="M108" si="1513">M107-M105</f>
        <v>-25779</v>
      </c>
      <c r="N108" s="11">
        <f t="shared" ref="N108" si="1514">N107-N105</f>
        <v>-994</v>
      </c>
      <c r="O108" s="11">
        <f t="shared" ref="O108" si="1515">O107-O105</f>
        <v>258</v>
      </c>
      <c r="P108" s="11">
        <f t="shared" ref="P108" si="1516">P107-P105</f>
        <v>-6279</v>
      </c>
      <c r="Q108" s="11">
        <f t="shared" ref="Q108" si="1517">Q107-Q105</f>
        <v>0</v>
      </c>
      <c r="R108" s="11">
        <f t="shared" ref="R108" si="1518">R107-R105</f>
        <v>1265</v>
      </c>
      <c r="S108" s="11">
        <f t="shared" ref="S108" si="1519">S107-S105</f>
        <v>0</v>
      </c>
      <c r="T108" s="11">
        <f t="shared" ref="T108:U108" si="1520">T107-T105</f>
        <v>0</v>
      </c>
      <c r="U108" s="11">
        <f t="shared" si="1520"/>
        <v>0</v>
      </c>
      <c r="V108" s="9">
        <f t="shared" ref="V108" si="1521">V107-V105</f>
        <v>0</v>
      </c>
      <c r="W108" s="11">
        <f t="shared" ref="W108" si="1522">W107-W105</f>
        <v>37</v>
      </c>
      <c r="X108" s="11">
        <f t="shared" ref="X108" si="1523">X107-X105</f>
        <v>-1500</v>
      </c>
      <c r="Y108" s="11">
        <f t="shared" ref="Y108" si="1524">Y107-Y105</f>
        <v>3317</v>
      </c>
      <c r="Z108" s="11">
        <f t="shared" ref="Z108" si="1525">Z107-Z105</f>
        <v>543</v>
      </c>
      <c r="AA108" s="11">
        <f t="shared" ref="AA108:AD108" si="1526">AA107-AA105</f>
        <v>328</v>
      </c>
      <c r="AB108" s="11">
        <f t="shared" ref="AB108" si="1527">AB107-AB105</f>
        <v>-408</v>
      </c>
      <c r="AC108" s="9">
        <f t="shared" si="1526"/>
        <v>0</v>
      </c>
      <c r="AD108" s="216">
        <f t="shared" si="1526"/>
        <v>-87845</v>
      </c>
      <c r="AE108" s="11">
        <f t="shared" ref="AE108" si="1528">AE107-AE105</f>
        <v>1384</v>
      </c>
      <c r="AF108" s="11">
        <f t="shared" ref="AF108" si="1529">AF107-AF105</f>
        <v>-68</v>
      </c>
      <c r="AG108" s="11">
        <f t="shared" ref="AG108" si="1530">AG107-AG105</f>
        <v>-117</v>
      </c>
      <c r="AH108" s="11">
        <f t="shared" ref="AH108" si="1531">AH107-AH105</f>
        <v>0</v>
      </c>
      <c r="AI108" s="11">
        <f t="shared" ref="AI108" si="1532">AI107-AI105</f>
        <v>0</v>
      </c>
      <c r="AJ108" s="11">
        <f t="shared" ref="AJ108" si="1533">AJ107-AJ105</f>
        <v>-217</v>
      </c>
      <c r="AK108" s="11">
        <f t="shared" ref="AK108" si="1534">AK107-AK105</f>
        <v>735</v>
      </c>
      <c r="AL108" s="11">
        <f t="shared" ref="AL108" si="1535">AL107-AL105</f>
        <v>9747</v>
      </c>
      <c r="AM108" s="11">
        <f t="shared" ref="AM108" si="1536">AM107-AM105</f>
        <v>-68</v>
      </c>
      <c r="AN108" s="11">
        <f t="shared" ref="AN108" si="1537">AN107-AN105</f>
        <v>-108</v>
      </c>
      <c r="AO108" s="9">
        <f t="shared" ref="AO108" si="1538">AO107-AO105</f>
        <v>1120</v>
      </c>
      <c r="AP108" s="11">
        <f t="shared" ref="AP108" si="1539">AP107-AP105</f>
        <v>-80257</v>
      </c>
      <c r="AQ108" s="9">
        <f t="shared" ref="AQ108" si="1540">AQ107-AQ105</f>
        <v>0</v>
      </c>
      <c r="AR108" s="11">
        <f t="shared" ref="AR108" si="1541">AR107-AR105</f>
        <v>0</v>
      </c>
      <c r="AS108" s="11">
        <f t="shared" ref="AS108" si="1542">AS107-AS105</f>
        <v>0</v>
      </c>
      <c r="AT108" s="11">
        <f t="shared" ref="AT108" si="1543">AT107-AT105</f>
        <v>0</v>
      </c>
      <c r="AU108" s="11">
        <f t="shared" ref="AU108" si="1544">AU107-AU105</f>
        <v>0</v>
      </c>
      <c r="AV108" s="11">
        <f t="shared" ref="AV108" si="1545">AV107-AV105</f>
        <v>0</v>
      </c>
      <c r="AW108" s="11">
        <f t="shared" ref="AW108" si="1546">AW107-AW105</f>
        <v>1027</v>
      </c>
      <c r="AX108" s="11">
        <f t="shared" ref="AX108" si="1547">AX107-AX105</f>
        <v>-359</v>
      </c>
      <c r="AY108" s="11">
        <f t="shared" ref="AY108" si="1548">AY107-AY105</f>
        <v>78</v>
      </c>
      <c r="AZ108" s="11">
        <f t="shared" ref="AZ108" si="1549">AZ107-AZ105</f>
        <v>0</v>
      </c>
      <c r="BA108" s="11">
        <f t="shared" ref="BA108" si="1550">BA107-BA105</f>
        <v>0</v>
      </c>
      <c r="BB108" s="9">
        <f t="shared" ref="BB108" si="1551">BB107-BB105</f>
        <v>0</v>
      </c>
      <c r="BC108" s="11">
        <f t="shared" ref="BC108" si="1552">BC107-BC105</f>
        <v>423</v>
      </c>
      <c r="BD108" s="11">
        <f t="shared" ref="BD108" si="1553">BD107-BD105</f>
        <v>420</v>
      </c>
      <c r="BE108" s="11">
        <f t="shared" ref="BE108" si="1554">BE107-BE105</f>
        <v>-43</v>
      </c>
      <c r="BF108" s="11">
        <f t="shared" ref="BF108" si="1555">BF107-BF105</f>
        <v>-1668</v>
      </c>
      <c r="BG108" s="11">
        <f t="shared" ref="BG108:BH108" si="1556">BG107-BG105</f>
        <v>-267324</v>
      </c>
      <c r="BH108" s="9">
        <f t="shared" si="1556"/>
        <v>-335295</v>
      </c>
      <c r="BI108" s="9">
        <f t="shared" ref="BI108" si="1557">BI107-BI105</f>
        <v>-423140</v>
      </c>
      <c r="BJ108" s="11">
        <f t="shared" ref="BJ108:BK108" si="1558">BJ107-BJ105</f>
        <v>65</v>
      </c>
      <c r="BK108" s="49">
        <f t="shared" si="1558"/>
        <v>-423205</v>
      </c>
      <c r="BM108" s="30">
        <f t="shared" si="1503"/>
        <v>-335360</v>
      </c>
    </row>
    <row r="109" spans="1:65">
      <c r="A109" s="128"/>
      <c r="B109" s="5" t="s">
        <v>131</v>
      </c>
      <c r="C109" s="13">
        <f>C108/C105</f>
        <v>-1.1410542035939872E-2</v>
      </c>
      <c r="D109" s="13">
        <f t="shared" ref="D109" si="1559">D108/D105</f>
        <v>-3.0484100205053651E-2</v>
      </c>
      <c r="E109" s="13">
        <f t="shared" ref="E109" si="1560">E108/E105</f>
        <v>-5.8618443737787823E-2</v>
      </c>
      <c r="F109" s="13">
        <f t="shared" ref="F109" si="1561">F108/F105</f>
        <v>-4.9219403153219925E-2</v>
      </c>
      <c r="G109" s="13">
        <f t="shared" ref="G109" si="1562">G108/G105</f>
        <v>-8.3428463606773903E-2</v>
      </c>
      <c r="H109" s="13" t="e">
        <f t="shared" ref="H109" si="1563">H108/H105</f>
        <v>#DIV/0!</v>
      </c>
      <c r="I109" s="13" t="e">
        <f t="shared" ref="I109" si="1564">I108/I105</f>
        <v>#DIV/0!</v>
      </c>
      <c r="J109" s="13" t="e">
        <f t="shared" ref="J109" si="1565">J108/J105</f>
        <v>#DIV/0!</v>
      </c>
      <c r="K109" s="13" t="e">
        <f t="shared" ref="K109" si="1566">K108/K105</f>
        <v>#DIV/0!</v>
      </c>
      <c r="L109" s="13">
        <f t="shared" ref="L109" si="1567">L108/L105</f>
        <v>0.94934640522875813</v>
      </c>
      <c r="M109" s="13">
        <f t="shared" ref="M109" si="1568">M108/M105</f>
        <v>-0.14933699449088475</v>
      </c>
      <c r="N109" s="13">
        <f t="shared" ref="N109" si="1569">N108/N105</f>
        <v>-0.64046391752577314</v>
      </c>
      <c r="O109" s="13">
        <f t="shared" ref="O109" si="1570">O108/O105</f>
        <v>1.7301502145922746E-2</v>
      </c>
      <c r="P109" s="13">
        <f t="shared" ref="P109" si="1571">P108/P105</f>
        <v>-3.6090770097368635E-2</v>
      </c>
      <c r="Q109" s="13" t="e">
        <f t="shared" ref="Q109" si="1572">Q108/Q105</f>
        <v>#DIV/0!</v>
      </c>
      <c r="R109" s="13">
        <f t="shared" ref="R109" si="1573">R108/R105</f>
        <v>0.21705559368565547</v>
      </c>
      <c r="S109" s="13" t="e">
        <f t="shared" ref="S109" si="1574">S108/S105</f>
        <v>#DIV/0!</v>
      </c>
      <c r="T109" s="13" t="e">
        <f t="shared" ref="T109:U109" si="1575">T108/T105</f>
        <v>#DIV/0!</v>
      </c>
      <c r="U109" s="13" t="e">
        <f t="shared" si="1575"/>
        <v>#DIV/0!</v>
      </c>
      <c r="V109" s="160" t="e">
        <f t="shared" ref="V109" si="1576">V108/V105</f>
        <v>#DIV/0!</v>
      </c>
      <c r="W109" s="13" t="e">
        <f t="shared" ref="W109" si="1577">W108/W105</f>
        <v>#DIV/0!</v>
      </c>
      <c r="X109" s="13">
        <f t="shared" ref="X109" si="1578">X108/X105</f>
        <v>-1</v>
      </c>
      <c r="Y109" s="13">
        <f t="shared" ref="Y109" si="1579">Y108/Y105</f>
        <v>0.62069610778443118</v>
      </c>
      <c r="Z109" s="13">
        <f t="shared" ref="Z109" si="1580">Z108/Z105</f>
        <v>0.31997642899233941</v>
      </c>
      <c r="AA109" s="13">
        <f t="shared" ref="AA109:AD109" si="1581">AA108/AA105</f>
        <v>0.20905035054174634</v>
      </c>
      <c r="AB109" s="13">
        <f t="shared" ref="AB109" si="1582">AB108/AB105</f>
        <v>-0.86993603411513865</v>
      </c>
      <c r="AC109" s="160" t="e">
        <f t="shared" si="1581"/>
        <v>#DIV/0!</v>
      </c>
      <c r="AD109" s="217">
        <f t="shared" si="1581"/>
        <v>-2.8776608412420277E-2</v>
      </c>
      <c r="AE109" s="13">
        <f t="shared" ref="AE109" si="1583">AE108/AE105</f>
        <v>0.26610267256296866</v>
      </c>
      <c r="AF109" s="13">
        <f t="shared" ref="AF109" si="1584">AF108/AF105</f>
        <v>-0.11683848797250859</v>
      </c>
      <c r="AG109" s="13">
        <f t="shared" ref="AG109" si="1585">AG108/AG105</f>
        <v>-1</v>
      </c>
      <c r="AH109" s="13" t="e">
        <f t="shared" ref="AH109" si="1586">AH108/AH105</f>
        <v>#DIV/0!</v>
      </c>
      <c r="AI109" s="13" t="e">
        <f t="shared" ref="AI109" si="1587">AI108/AI105</f>
        <v>#DIV/0!</v>
      </c>
      <c r="AJ109" s="13">
        <f t="shared" ref="AJ109" si="1588">AJ108/AJ105</f>
        <v>-0.65957446808510634</v>
      </c>
      <c r="AK109" s="13">
        <f t="shared" ref="AK109" si="1589">AK108/AK105</f>
        <v>0.14720608852393352</v>
      </c>
      <c r="AL109" s="13">
        <f t="shared" ref="AL109" si="1590">AL108/AL105</f>
        <v>0.64845984964406889</v>
      </c>
      <c r="AM109" s="13">
        <f t="shared" ref="AM109" si="1591">AM108/AM105</f>
        <v>-0.24113475177304963</v>
      </c>
      <c r="AN109" s="13">
        <f t="shared" ref="AN109" si="1592">AN108/AN105</f>
        <v>-0.13267813267813267</v>
      </c>
      <c r="AO109" s="160">
        <f t="shared" ref="AO109" si="1593">AO108/AO105</f>
        <v>8.1054871253021469E-3</v>
      </c>
      <c r="AP109" s="13">
        <f t="shared" ref="AP109" si="1594">AP108/AP105</f>
        <v>-0.25375220136524168</v>
      </c>
      <c r="AQ109" s="160" t="e">
        <f t="shared" ref="AQ109" si="1595">AQ108/AQ105</f>
        <v>#DIV/0!</v>
      </c>
      <c r="AR109" s="13" t="e">
        <f t="shared" ref="AR109" si="1596">AR108/AR105</f>
        <v>#DIV/0!</v>
      </c>
      <c r="AS109" s="13" t="e">
        <f t="shared" ref="AS109" si="1597">AS108/AS105</f>
        <v>#DIV/0!</v>
      </c>
      <c r="AT109" s="13" t="e">
        <f t="shared" ref="AT109" si="1598">AT108/AT105</f>
        <v>#DIV/0!</v>
      </c>
      <c r="AU109" s="13" t="e">
        <f t="shared" ref="AU109" si="1599">AU108/AU105</f>
        <v>#DIV/0!</v>
      </c>
      <c r="AV109" s="13" t="e">
        <f t="shared" ref="AV109" si="1600">AV108/AV105</f>
        <v>#DIV/0!</v>
      </c>
      <c r="AW109" s="13">
        <f t="shared" ref="AW109" si="1601">AW108/AW105</f>
        <v>0.78158295281582957</v>
      </c>
      <c r="AX109" s="13">
        <f t="shared" ref="AX109" si="1602">AX108/AX105</f>
        <v>-0.23837981407702524</v>
      </c>
      <c r="AY109" s="13">
        <f t="shared" ref="AY109" si="1603">AY108/AY105</f>
        <v>0.8125</v>
      </c>
      <c r="AZ109" s="13" t="e">
        <f t="shared" ref="AZ109" si="1604">AZ108/AZ105</f>
        <v>#DIV/0!</v>
      </c>
      <c r="BA109" s="13" t="e">
        <f t="shared" ref="BA109" si="1605">BA108/BA105</f>
        <v>#DIV/0!</v>
      </c>
      <c r="BB109" s="160" t="e">
        <f t="shared" ref="BB109" si="1606">BB108/BB105</f>
        <v>#DIV/0!</v>
      </c>
      <c r="BC109" s="13">
        <f t="shared" ref="BC109" si="1607">BC108/BC105</f>
        <v>0.14329268292682926</v>
      </c>
      <c r="BD109" s="13">
        <f t="shared" ref="BD109" si="1608">BD108/BD105</f>
        <v>0.14227642276422764</v>
      </c>
      <c r="BE109" s="13">
        <f t="shared" ref="BE109" si="1609">BE108/BE105</f>
        <v>-0.93478260869565222</v>
      </c>
      <c r="BF109" s="13">
        <f t="shared" ref="BF109" si="1610">BF108/BF105</f>
        <v>-0.4103321033210332</v>
      </c>
      <c r="BG109" s="13">
        <f t="shared" ref="BG109:BH109" si="1611">BG108/BG105</f>
        <v>-0.17737677136906252</v>
      </c>
      <c r="BH109" s="160">
        <f t="shared" si="1611"/>
        <v>-0.16749374074599518</v>
      </c>
      <c r="BI109" s="160">
        <f t="shared" ref="BI109" si="1612">BI108/BI105</f>
        <v>-8.3715683227325255E-2</v>
      </c>
      <c r="BJ109" s="13" t="e">
        <f t="shared" ref="BJ109:BK110" si="1613">BJ108/BJ105</f>
        <v>#DIV/0!</v>
      </c>
      <c r="BK109" s="50">
        <f t="shared" si="1613"/>
        <v>-8.3728543083188028E-2</v>
      </c>
      <c r="BM109" s="160" t="e">
        <f t="shared" ref="BM109" si="1614">BM108/BM105</f>
        <v>#DIV/0!</v>
      </c>
    </row>
    <row r="110" spans="1:65">
      <c r="A110" s="128"/>
      <c r="B110" s="5" t="s">
        <v>132</v>
      </c>
      <c r="C110" s="11">
        <f>C107-C106</f>
        <v>-62057</v>
      </c>
      <c r="D110" s="11">
        <f t="shared" ref="D110:BK110" si="1615">D107-D106</f>
        <v>159691</v>
      </c>
      <c r="E110" s="11">
        <f t="shared" si="1615"/>
        <v>-2245</v>
      </c>
      <c r="F110" s="11">
        <f t="shared" si="1615"/>
        <v>804</v>
      </c>
      <c r="G110" s="11">
        <f t="shared" si="1615"/>
        <v>2463</v>
      </c>
      <c r="H110" s="11">
        <f t="shared" si="1615"/>
        <v>0</v>
      </c>
      <c r="I110" s="11">
        <f t="shared" si="1615"/>
        <v>0</v>
      </c>
      <c r="J110" s="11">
        <f t="shared" si="1615"/>
        <v>8</v>
      </c>
      <c r="K110" s="11">
        <f t="shared" si="1615"/>
        <v>0</v>
      </c>
      <c r="L110" s="11">
        <f t="shared" si="1615"/>
        <v>1502</v>
      </c>
      <c r="M110" s="11">
        <f t="shared" si="1615"/>
        <v>-19360</v>
      </c>
      <c r="N110" s="11">
        <f t="shared" si="1615"/>
        <v>194</v>
      </c>
      <c r="O110" s="11">
        <f t="shared" si="1615"/>
        <v>-241</v>
      </c>
      <c r="P110" s="11">
        <f t="shared" si="1615"/>
        <v>74</v>
      </c>
      <c r="Q110" s="11">
        <f t="shared" si="1615"/>
        <v>0</v>
      </c>
      <c r="R110" s="11">
        <f t="shared" si="1615"/>
        <v>2149</v>
      </c>
      <c r="S110" s="11">
        <f t="shared" si="1615"/>
        <v>0</v>
      </c>
      <c r="T110" s="11">
        <f t="shared" si="1615"/>
        <v>0</v>
      </c>
      <c r="U110" s="11">
        <f t="shared" ref="U110" si="1616">U107-U106</f>
        <v>0</v>
      </c>
      <c r="V110" s="9">
        <f t="shared" si="1615"/>
        <v>0</v>
      </c>
      <c r="W110" s="11">
        <f t="shared" si="1615"/>
        <v>37</v>
      </c>
      <c r="X110" s="11">
        <f t="shared" si="1615"/>
        <v>0</v>
      </c>
      <c r="Y110" s="11">
        <f t="shared" si="1615"/>
        <v>5512</v>
      </c>
      <c r="Z110" s="11">
        <f t="shared" si="1615"/>
        <v>918</v>
      </c>
      <c r="AA110" s="11">
        <f t="shared" si="1615"/>
        <v>1204</v>
      </c>
      <c r="AB110" s="11">
        <f t="shared" ref="AB110" si="1617">AB107-AB106</f>
        <v>27</v>
      </c>
      <c r="AC110" s="9">
        <f t="shared" ref="AC110:AD110" si="1618">AC107-AC106</f>
        <v>0</v>
      </c>
      <c r="AD110" s="216">
        <f t="shared" si="1618"/>
        <v>90680</v>
      </c>
      <c r="AE110" s="11">
        <f t="shared" si="1615"/>
        <v>1074</v>
      </c>
      <c r="AF110" s="11">
        <f t="shared" si="1615"/>
        <v>-42</v>
      </c>
      <c r="AG110" s="11">
        <f t="shared" si="1615"/>
        <v>-104</v>
      </c>
      <c r="AH110" s="11">
        <f t="shared" si="1615"/>
        <v>0</v>
      </c>
      <c r="AI110" s="11">
        <f t="shared" si="1615"/>
        <v>0</v>
      </c>
      <c r="AJ110" s="11">
        <f t="shared" si="1615"/>
        <v>2</v>
      </c>
      <c r="AK110" s="11">
        <f t="shared" si="1615"/>
        <v>5012</v>
      </c>
      <c r="AL110" s="11">
        <f t="shared" si="1615"/>
        <v>8483</v>
      </c>
      <c r="AM110" s="11">
        <f t="shared" si="1615"/>
        <v>-38</v>
      </c>
      <c r="AN110" s="11">
        <f t="shared" si="1615"/>
        <v>50</v>
      </c>
      <c r="AO110" s="9">
        <f t="shared" si="1615"/>
        <v>45039</v>
      </c>
      <c r="AP110" s="11">
        <f t="shared" si="1615"/>
        <v>-11260</v>
      </c>
      <c r="AQ110" s="9">
        <f t="shared" si="1615"/>
        <v>0</v>
      </c>
      <c r="AR110" s="11">
        <f t="shared" si="1615"/>
        <v>0</v>
      </c>
      <c r="AS110" s="11">
        <f t="shared" si="1615"/>
        <v>0</v>
      </c>
      <c r="AT110" s="11">
        <f t="shared" si="1615"/>
        <v>0</v>
      </c>
      <c r="AU110" s="11">
        <f t="shared" si="1615"/>
        <v>0</v>
      </c>
      <c r="AV110" s="11">
        <f t="shared" si="1615"/>
        <v>0</v>
      </c>
      <c r="AW110" s="11">
        <f t="shared" si="1615"/>
        <v>720</v>
      </c>
      <c r="AX110" s="11">
        <f t="shared" si="1615"/>
        <v>-166</v>
      </c>
      <c r="AY110" s="11">
        <f t="shared" si="1615"/>
        <v>-87</v>
      </c>
      <c r="AZ110" s="11">
        <f t="shared" si="1615"/>
        <v>0</v>
      </c>
      <c r="BA110" s="11">
        <f t="shared" si="1615"/>
        <v>0</v>
      </c>
      <c r="BB110" s="9">
        <f t="shared" si="1615"/>
        <v>0</v>
      </c>
      <c r="BC110" s="11">
        <f t="shared" si="1615"/>
        <v>901</v>
      </c>
      <c r="BD110" s="11">
        <f t="shared" si="1615"/>
        <v>898</v>
      </c>
      <c r="BE110" s="11">
        <f t="shared" si="1615"/>
        <v>3</v>
      </c>
      <c r="BF110" s="11">
        <f t="shared" si="1615"/>
        <v>-1682</v>
      </c>
      <c r="BG110" s="11">
        <f t="shared" si="1615"/>
        <v>-168622</v>
      </c>
      <c r="BH110" s="9">
        <f t="shared" si="1615"/>
        <v>-119819</v>
      </c>
      <c r="BI110" s="9">
        <f t="shared" si="1615"/>
        <v>-29139</v>
      </c>
      <c r="BJ110" s="13" t="e">
        <f t="shared" si="1613"/>
        <v>#DIV/0!</v>
      </c>
      <c r="BK110" s="49">
        <f t="shared" si="1615"/>
        <v>-29173</v>
      </c>
      <c r="BM110" s="30">
        <f t="shared" si="1503"/>
        <v>-119853</v>
      </c>
    </row>
    <row r="111" spans="1:65">
      <c r="A111" s="128"/>
      <c r="B111" s="5" t="s">
        <v>133</v>
      </c>
      <c r="C111" s="13">
        <f>C110/C106</f>
        <v>-3.6999166494758692E-2</v>
      </c>
      <c r="D111" s="13">
        <f t="shared" ref="D111" si="1619">D110/D106</f>
        <v>0.28762839990706035</v>
      </c>
      <c r="E111" s="13">
        <f t="shared" ref="E111" si="1620">E110/E106</f>
        <v>-8.3718675417661093E-2</v>
      </c>
      <c r="F111" s="13">
        <f t="shared" ref="F111" si="1621">F110/F106</f>
        <v>5.0392358412515359E-3</v>
      </c>
      <c r="G111" s="13">
        <f t="shared" ref="G111" si="1622">G110/G106</f>
        <v>2.601146912524158E-2</v>
      </c>
      <c r="H111" s="13" t="e">
        <f t="shared" ref="H111" si="1623">H110/H106</f>
        <v>#DIV/0!</v>
      </c>
      <c r="I111" s="13" t="e">
        <f t="shared" ref="I111" si="1624">I110/I106</f>
        <v>#DIV/0!</v>
      </c>
      <c r="J111" s="13">
        <f t="shared" ref="J111" si="1625">J110/J106</f>
        <v>-1</v>
      </c>
      <c r="K111" s="13" t="e">
        <f t="shared" ref="K111" si="1626">K110/K106</f>
        <v>#DIV/0!</v>
      </c>
      <c r="L111" s="13">
        <f t="shared" ref="L111" si="1627">L110/L106</f>
        <v>1.6990950226244343</v>
      </c>
      <c r="M111" s="13">
        <f t="shared" ref="M111" si="1628">M110/M106</f>
        <v>-0.11648335780125629</v>
      </c>
      <c r="N111" s="13">
        <f t="shared" ref="N111" si="1629">N110/N106</f>
        <v>0.53296703296703296</v>
      </c>
      <c r="O111" s="13">
        <f t="shared" ref="O111" si="1630">O110/O106</f>
        <v>-1.56381805204075E-2</v>
      </c>
      <c r="P111" s="13">
        <f t="shared" ref="P111" si="1631">P110/P106</f>
        <v>4.4146159582401191E-4</v>
      </c>
      <c r="Q111" s="13" t="e">
        <f t="shared" ref="Q111" si="1632">Q110/Q106</f>
        <v>#DIV/0!</v>
      </c>
      <c r="R111" s="13">
        <f t="shared" ref="R111" si="1633">R110/R106</f>
        <v>0.43466828478964403</v>
      </c>
      <c r="S111" s="13" t="e">
        <f t="shared" ref="S111" si="1634">S110/S106</f>
        <v>#DIV/0!</v>
      </c>
      <c r="T111" s="13" t="e">
        <f t="shared" ref="T111:U111" si="1635">T110/T106</f>
        <v>#DIV/0!</v>
      </c>
      <c r="U111" s="13" t="e">
        <f t="shared" si="1635"/>
        <v>#DIV/0!</v>
      </c>
      <c r="V111" s="160" t="e">
        <f t="shared" ref="V111" si="1636">V110/V106</f>
        <v>#DIV/0!</v>
      </c>
      <c r="W111" s="13" t="e">
        <f t="shared" ref="W111" si="1637">W110/W106</f>
        <v>#DIV/0!</v>
      </c>
      <c r="X111" s="13" t="e">
        <f t="shared" ref="X111" si="1638">X110/X106</f>
        <v>#DIV/0!</v>
      </c>
      <c r="Y111" s="13">
        <f t="shared" ref="Y111" si="1639">Y110/Y106</f>
        <v>1.750396951413147</v>
      </c>
      <c r="Z111" s="13">
        <f t="shared" ref="Z111" si="1640">Z110/Z106</f>
        <v>0.69440242057488655</v>
      </c>
      <c r="AA111" s="13">
        <f t="shared" ref="AA111:AD111" si="1641">AA110/AA106</f>
        <v>1.7373737373737375</v>
      </c>
      <c r="AB111" s="13">
        <f t="shared" ref="AB111" si="1642">AB110/AB106</f>
        <v>0.79411764705882348</v>
      </c>
      <c r="AC111" s="160" t="e">
        <f t="shared" si="1641"/>
        <v>#DIV/0!</v>
      </c>
      <c r="AD111" s="217">
        <f t="shared" si="1641"/>
        <v>3.1550438950526907E-2</v>
      </c>
      <c r="AE111" s="13">
        <f t="shared" ref="AE111" si="1643">AE110/AE106</f>
        <v>0.19488296135002722</v>
      </c>
      <c r="AF111" s="13">
        <f t="shared" ref="AF111" si="1644">AF110/AF106</f>
        <v>-7.5539568345323743E-2</v>
      </c>
      <c r="AG111" s="13">
        <f t="shared" ref="AG111" si="1645">AG110/AG106</f>
        <v>-1</v>
      </c>
      <c r="AH111" s="13" t="e">
        <f t="shared" ref="AH111" si="1646">AH110/AH106</f>
        <v>#DIV/0!</v>
      </c>
      <c r="AI111" s="13" t="e">
        <f t="shared" ref="AI111" si="1647">AI110/AI106</f>
        <v>#DIV/0!</v>
      </c>
      <c r="AJ111" s="13">
        <f t="shared" ref="AJ111" si="1648">AJ110/AJ106</f>
        <v>1.8181818181818181E-2</v>
      </c>
      <c r="AK111" s="13">
        <f t="shared" ref="AK111" si="1649">AK110/AK106</f>
        <v>7</v>
      </c>
      <c r="AL111" s="13">
        <f t="shared" ref="AL111" si="1650">AL110/AL106</f>
        <v>0.52058913777232285</v>
      </c>
      <c r="AM111" s="13">
        <f t="shared" ref="AM111" si="1651">AM110/AM106</f>
        <v>-0.15079365079365079</v>
      </c>
      <c r="AN111" s="13">
        <f t="shared" ref="AN111" si="1652">AN110/AN106</f>
        <v>7.621951219512195E-2</v>
      </c>
      <c r="AO111" s="160">
        <f t="shared" ref="AO111" si="1653">AO110/AO106</f>
        <v>0.47782174646452857</v>
      </c>
      <c r="AP111" s="13">
        <f t="shared" ref="AP111" si="1654">AP110/AP106</f>
        <v>-4.5534688859772569E-2</v>
      </c>
      <c r="AQ111" s="160" t="e">
        <f t="shared" ref="AQ111" si="1655">AQ110/AQ106</f>
        <v>#DIV/0!</v>
      </c>
      <c r="AR111" s="13" t="e">
        <f t="shared" ref="AR111" si="1656">AR110/AR106</f>
        <v>#DIV/0!</v>
      </c>
      <c r="AS111" s="13" t="e">
        <f t="shared" ref="AS111" si="1657">AS110/AS106</f>
        <v>#DIV/0!</v>
      </c>
      <c r="AT111" s="13" t="e">
        <f t="shared" ref="AT111" si="1658">AT110/AT106</f>
        <v>#DIV/0!</v>
      </c>
      <c r="AU111" s="13" t="e">
        <f t="shared" ref="AU111" si="1659">AU110/AU106</f>
        <v>#DIV/0!</v>
      </c>
      <c r="AV111" s="13" t="e">
        <f t="shared" ref="AV111" si="1660">AV110/AV106</f>
        <v>#DIV/0!</v>
      </c>
      <c r="AW111" s="13">
        <f t="shared" ref="AW111" si="1661">AW110/AW106</f>
        <v>0.44417026526835285</v>
      </c>
      <c r="AX111" s="13">
        <f t="shared" ref="AX111" si="1662">AX110/AX106</f>
        <v>-0.12642802741812642</v>
      </c>
      <c r="AY111" s="13">
        <f t="shared" ref="AY111" si="1663">AY110/AY106</f>
        <v>-0.33333333333333331</v>
      </c>
      <c r="AZ111" s="13" t="e">
        <f t="shared" ref="AZ111" si="1664">AZ110/AZ106</f>
        <v>#DIV/0!</v>
      </c>
      <c r="BA111" s="13" t="e">
        <f t="shared" ref="BA111" si="1665">BA110/BA106</f>
        <v>#DIV/0!</v>
      </c>
      <c r="BB111" s="160" t="e">
        <f t="shared" ref="BB111" si="1666">BB110/BB106</f>
        <v>#DIV/0!</v>
      </c>
      <c r="BC111" s="13">
        <f t="shared" ref="BC111" si="1667">BC110/BC106</f>
        <v>0.36418755052546481</v>
      </c>
      <c r="BD111" s="13">
        <f t="shared" ref="BD111" si="1668">BD110/BD106</f>
        <v>0.3629749393694422</v>
      </c>
      <c r="BE111" s="13" t="e">
        <f t="shared" ref="BE111" si="1669">BE110/BE106</f>
        <v>#DIV/0!</v>
      </c>
      <c r="BF111" s="13">
        <f t="shared" ref="BF111" si="1670">BF110/BF106</f>
        <v>-0.41235596960039228</v>
      </c>
      <c r="BG111" s="13">
        <f t="shared" ref="BG111:BH111" si="1671">BG110/BG106</f>
        <v>-0.11972635517734727</v>
      </c>
      <c r="BH111" s="160">
        <f t="shared" si="1671"/>
        <v>-6.7074385902057818E-2</v>
      </c>
      <c r="BI111" s="160">
        <f t="shared" ref="BI111" si="1672">BI110/BI106</f>
        <v>-6.2523495393615432E-3</v>
      </c>
      <c r="BJ111" s="13" t="e">
        <f t="shared" ref="BJ111:BK111" si="1673">BJ110/BJ106</f>
        <v>#DIV/0!</v>
      </c>
      <c r="BK111" s="50">
        <f t="shared" si="1673"/>
        <v>-6.2596865500529238E-3</v>
      </c>
      <c r="BM111" s="14">
        <f t="shared" ref="BM111" si="1674">BM110/BM106</f>
        <v>-6.7094583360623933E-2</v>
      </c>
    </row>
    <row r="112" spans="1:65">
      <c r="A112" s="128"/>
      <c r="B112" s="5" t="s">
        <v>340</v>
      </c>
      <c r="C112" s="126">
        <f>C107/C104</f>
        <v>0.90500003361819148</v>
      </c>
      <c r="D112" s="126">
        <f t="shared" ref="D112:BK112" si="1675">D107/D104</f>
        <v>0.87064488785829808</v>
      </c>
      <c r="E112" s="126">
        <f t="shared" si="1675"/>
        <v>0.93199059323319677</v>
      </c>
      <c r="F112" s="126">
        <f t="shared" si="1675"/>
        <v>0.87092919681070624</v>
      </c>
      <c r="G112" s="126">
        <f t="shared" si="1675"/>
        <v>0.83502655871280496</v>
      </c>
      <c r="H112" s="126" t="e">
        <f t="shared" si="1675"/>
        <v>#DIV/0!</v>
      </c>
      <c r="I112" s="126" t="e">
        <f t="shared" si="1675"/>
        <v>#DIV/0!</v>
      </c>
      <c r="J112" s="126" t="e">
        <f t="shared" si="1675"/>
        <v>#DIV/0!</v>
      </c>
      <c r="K112" s="126" t="e">
        <f t="shared" si="1675"/>
        <v>#DIV/0!</v>
      </c>
      <c r="L112" s="126">
        <f t="shared" si="1675"/>
        <v>1.6512110726643598</v>
      </c>
      <c r="M112" s="126">
        <f t="shared" si="1675"/>
        <v>0.76346847736796686</v>
      </c>
      <c r="N112" s="126">
        <f t="shared" si="1675"/>
        <v>0.30828729281767958</v>
      </c>
      <c r="O112" s="126">
        <f t="shared" si="1675"/>
        <v>1.0173015021459229</v>
      </c>
      <c r="P112" s="126">
        <f t="shared" si="1675"/>
        <v>0.86992540487825121</v>
      </c>
      <c r="Q112" s="126" t="e">
        <f t="shared" si="1675"/>
        <v>#DIV/0!</v>
      </c>
      <c r="R112" s="126">
        <f t="shared" si="1675"/>
        <v>1.1957181389076197</v>
      </c>
      <c r="S112" s="126" t="e">
        <f t="shared" si="1675"/>
        <v>#DIV/0!</v>
      </c>
      <c r="T112" s="126" t="e">
        <f t="shared" si="1675"/>
        <v>#DIV/0!</v>
      </c>
      <c r="U112" s="126" t="e">
        <f t="shared" si="1675"/>
        <v>#DIV/0!</v>
      </c>
      <c r="V112" s="175" t="e">
        <f t="shared" si="1675"/>
        <v>#DIV/0!</v>
      </c>
      <c r="W112" s="126" t="e">
        <f t="shared" si="1675"/>
        <v>#DIV/0!</v>
      </c>
      <c r="X112" s="126">
        <f t="shared" si="1675"/>
        <v>0</v>
      </c>
      <c r="Y112" s="126">
        <f t="shared" si="1675"/>
        <v>1.4519698239731769</v>
      </c>
      <c r="Z112" s="126">
        <f t="shared" si="1675"/>
        <v>1.1959423384943941</v>
      </c>
      <c r="AA112" s="126">
        <f t="shared" si="1675"/>
        <v>0.95904954499494444</v>
      </c>
      <c r="AB112" s="126">
        <f t="shared" ref="AB112" si="1676">AB107/AB104</f>
        <v>0.1189083820662768</v>
      </c>
      <c r="AC112" s="175" t="e">
        <f t="shared" si="1675"/>
        <v>#DIV/0!</v>
      </c>
      <c r="AD112" s="218">
        <f t="shared" si="1675"/>
        <v>0.88390438546331818</v>
      </c>
      <c r="AE112" s="126">
        <f t="shared" si="1675"/>
        <v>1.041765543426673</v>
      </c>
      <c r="AF112" s="126">
        <f t="shared" si="1675"/>
        <v>0.80438184663536771</v>
      </c>
      <c r="AG112" s="126">
        <f t="shared" si="1675"/>
        <v>0</v>
      </c>
      <c r="AH112" s="126" t="e">
        <f t="shared" si="1675"/>
        <v>#DIV/0!</v>
      </c>
      <c r="AI112" s="126" t="e">
        <f t="shared" si="1675"/>
        <v>#DIV/0!</v>
      </c>
      <c r="AJ112" s="126">
        <f t="shared" si="1675"/>
        <v>0.28282828282828282</v>
      </c>
      <c r="AK112" s="126">
        <f t="shared" si="1675"/>
        <v>0.96252730633506978</v>
      </c>
      <c r="AL112" s="126">
        <f t="shared" si="1675"/>
        <v>1.5666413758219524</v>
      </c>
      <c r="AM112" s="126">
        <f t="shared" si="1675"/>
        <v>0.71571906354515047</v>
      </c>
      <c r="AN112" s="126">
        <f t="shared" si="1675"/>
        <v>0.75026567481402762</v>
      </c>
      <c r="AO112" s="175">
        <f t="shared" si="1675"/>
        <v>0.92858523708261398</v>
      </c>
      <c r="AP112" s="126">
        <f t="shared" si="1675"/>
        <v>0.69324419981025842</v>
      </c>
      <c r="AQ112" s="175" t="e">
        <f t="shared" si="1675"/>
        <v>#DIV/0!</v>
      </c>
      <c r="AR112" s="126" t="e">
        <f t="shared" si="1675"/>
        <v>#DIV/0!</v>
      </c>
      <c r="AS112" s="126" t="e">
        <f t="shared" si="1675"/>
        <v>#DIV/0!</v>
      </c>
      <c r="AT112" s="126" t="e">
        <f t="shared" si="1675"/>
        <v>#DIV/0!</v>
      </c>
      <c r="AU112" s="126" t="e">
        <f t="shared" si="1675"/>
        <v>#DIV/0!</v>
      </c>
      <c r="AV112" s="126" t="e">
        <f t="shared" si="1675"/>
        <v>#DIV/0!</v>
      </c>
      <c r="AW112" s="126">
        <f t="shared" si="1675"/>
        <v>1.3369503141062251</v>
      </c>
      <c r="AX112" s="126">
        <f t="shared" si="1675"/>
        <v>0.66880466472303202</v>
      </c>
      <c r="AY112" s="126">
        <f t="shared" si="1675"/>
        <v>1.3488372093023255</v>
      </c>
      <c r="AZ112" s="126" t="e">
        <f t="shared" si="1675"/>
        <v>#DIV/0!</v>
      </c>
      <c r="BA112" s="126" t="e">
        <f t="shared" si="1675"/>
        <v>#DIV/0!</v>
      </c>
      <c r="BB112" s="175" t="e">
        <f t="shared" si="1675"/>
        <v>#DIV/0!</v>
      </c>
      <c r="BC112" s="126">
        <f t="shared" si="1675"/>
        <v>1.1432926829268293</v>
      </c>
      <c r="BD112" s="126">
        <f t="shared" si="1675"/>
        <v>1.1422764227642277</v>
      </c>
      <c r="BE112" s="126">
        <f t="shared" si="1675"/>
        <v>0.06</v>
      </c>
      <c r="BF112" s="126">
        <f t="shared" si="1675"/>
        <v>0.52074733869215728</v>
      </c>
      <c r="BG112" s="126">
        <f t="shared" si="1675"/>
        <v>0.73279608757098047</v>
      </c>
      <c r="BH112" s="175">
        <f t="shared" si="1675"/>
        <v>0.74835301275963262</v>
      </c>
      <c r="BI112" s="175">
        <f t="shared" si="1675"/>
        <v>0.82981790712795878</v>
      </c>
      <c r="BJ112" s="126" t="e">
        <f t="shared" si="1675"/>
        <v>#DIV/0!</v>
      </c>
      <c r="BK112" s="126">
        <f t="shared" si="1675"/>
        <v>0.82980626080979891</v>
      </c>
      <c r="BM112" s="126" t="e">
        <f t="shared" ref="BM112" si="1677">BM107/BM104</f>
        <v>#DIV/0!</v>
      </c>
    </row>
    <row r="113" spans="1:118" s="178" customFormat="1">
      <c r="A113" s="128"/>
      <c r="B113" s="5" t="s">
        <v>341</v>
      </c>
      <c r="C113" s="11">
        <f>C104-C107</f>
        <v>169551</v>
      </c>
      <c r="D113" s="11">
        <f t="shared" ref="D113:BK113" si="1678">D104-D107</f>
        <v>106214</v>
      </c>
      <c r="E113" s="11">
        <f t="shared" si="1678"/>
        <v>1793</v>
      </c>
      <c r="F113" s="11">
        <f t="shared" si="1678"/>
        <v>23764</v>
      </c>
      <c r="G113" s="11">
        <f t="shared" si="1678"/>
        <v>19194</v>
      </c>
      <c r="H113" s="11">
        <f t="shared" si="1678"/>
        <v>0</v>
      </c>
      <c r="I113" s="11">
        <f t="shared" si="1678"/>
        <v>0</v>
      </c>
      <c r="J113" s="11">
        <f t="shared" si="1678"/>
        <v>0</v>
      </c>
      <c r="K113" s="11">
        <f t="shared" si="1678"/>
        <v>0</v>
      </c>
      <c r="L113" s="11">
        <f t="shared" si="1678"/>
        <v>-941</v>
      </c>
      <c r="M113" s="11">
        <f t="shared" si="1678"/>
        <v>45494</v>
      </c>
      <c r="N113" s="11">
        <f t="shared" si="1678"/>
        <v>1252</v>
      </c>
      <c r="O113" s="11">
        <f t="shared" si="1678"/>
        <v>-258</v>
      </c>
      <c r="P113" s="11">
        <f t="shared" si="1678"/>
        <v>25075</v>
      </c>
      <c r="Q113" s="11">
        <f t="shared" si="1678"/>
        <v>0</v>
      </c>
      <c r="R113" s="11">
        <f t="shared" si="1678"/>
        <v>-1161</v>
      </c>
      <c r="S113" s="11">
        <f t="shared" si="1678"/>
        <v>0</v>
      </c>
      <c r="T113" s="11">
        <f t="shared" si="1678"/>
        <v>0</v>
      </c>
      <c r="U113" s="11">
        <f t="shared" si="1678"/>
        <v>0</v>
      </c>
      <c r="V113" s="11">
        <f t="shared" si="1678"/>
        <v>0</v>
      </c>
      <c r="W113" s="11">
        <f t="shared" si="1678"/>
        <v>-37</v>
      </c>
      <c r="X113" s="11">
        <f t="shared" si="1678"/>
        <v>2000</v>
      </c>
      <c r="Y113" s="11">
        <f t="shared" si="1678"/>
        <v>-2696</v>
      </c>
      <c r="Z113" s="11">
        <f t="shared" si="1678"/>
        <v>-367</v>
      </c>
      <c r="AA113" s="11">
        <f t="shared" si="1678"/>
        <v>81</v>
      </c>
      <c r="AB113" s="11">
        <f t="shared" si="1678"/>
        <v>452</v>
      </c>
      <c r="AC113" s="11">
        <f t="shared" si="1678"/>
        <v>0</v>
      </c>
      <c r="AD113" s="11">
        <f t="shared" si="1678"/>
        <v>389410</v>
      </c>
      <c r="AE113" s="11">
        <f t="shared" si="1678"/>
        <v>-264</v>
      </c>
      <c r="AF113" s="11">
        <f t="shared" si="1678"/>
        <v>125</v>
      </c>
      <c r="AG113" s="11">
        <f t="shared" si="1678"/>
        <v>117</v>
      </c>
      <c r="AH113" s="11">
        <f t="shared" si="1678"/>
        <v>0</v>
      </c>
      <c r="AI113" s="11">
        <f t="shared" si="1678"/>
        <v>0</v>
      </c>
      <c r="AJ113" s="11">
        <f t="shared" si="1678"/>
        <v>284</v>
      </c>
      <c r="AK113" s="11">
        <f t="shared" si="1678"/>
        <v>223</v>
      </c>
      <c r="AL113" s="11">
        <f t="shared" si="1678"/>
        <v>-8962</v>
      </c>
      <c r="AM113" s="11">
        <f t="shared" si="1678"/>
        <v>85</v>
      </c>
      <c r="AN113" s="11">
        <f t="shared" si="1678"/>
        <v>235</v>
      </c>
      <c r="AO113" s="11">
        <f t="shared" si="1678"/>
        <v>10713</v>
      </c>
      <c r="AP113" s="11">
        <f t="shared" si="1678"/>
        <v>104439</v>
      </c>
      <c r="AQ113" s="11">
        <f t="shared" si="1678"/>
        <v>0</v>
      </c>
      <c r="AR113" s="11">
        <f t="shared" si="1678"/>
        <v>0</v>
      </c>
      <c r="AS113" s="11">
        <f t="shared" si="1678"/>
        <v>0</v>
      </c>
      <c r="AT113" s="11">
        <f t="shared" si="1678"/>
        <v>0</v>
      </c>
      <c r="AU113" s="11">
        <f t="shared" si="1678"/>
        <v>0</v>
      </c>
      <c r="AV113" s="11">
        <f t="shared" si="1678"/>
        <v>0</v>
      </c>
      <c r="AW113" s="11">
        <f t="shared" si="1678"/>
        <v>-590</v>
      </c>
      <c r="AX113" s="11">
        <f t="shared" si="1678"/>
        <v>568</v>
      </c>
      <c r="AY113" s="11">
        <f t="shared" si="1678"/>
        <v>-45</v>
      </c>
      <c r="AZ113" s="11">
        <f t="shared" si="1678"/>
        <v>0</v>
      </c>
      <c r="BA113" s="11">
        <f t="shared" si="1678"/>
        <v>0</v>
      </c>
      <c r="BB113" s="11">
        <f t="shared" si="1678"/>
        <v>0</v>
      </c>
      <c r="BC113" s="11">
        <f t="shared" si="1678"/>
        <v>-423</v>
      </c>
      <c r="BD113" s="11">
        <f t="shared" si="1678"/>
        <v>-420</v>
      </c>
      <c r="BE113" s="11">
        <f t="shared" si="1678"/>
        <v>47</v>
      </c>
      <c r="BF113" s="11">
        <f t="shared" si="1678"/>
        <v>2206</v>
      </c>
      <c r="BG113" s="11">
        <f t="shared" si="1678"/>
        <v>452066</v>
      </c>
      <c r="BH113" s="11">
        <f t="shared" si="1678"/>
        <v>560404</v>
      </c>
      <c r="BI113" s="11">
        <f t="shared" si="1678"/>
        <v>949814</v>
      </c>
      <c r="BJ113" s="11">
        <f t="shared" si="1678"/>
        <v>-65</v>
      </c>
      <c r="BK113" s="11">
        <f t="shared" si="1678"/>
        <v>949879</v>
      </c>
      <c r="BL113" s="11">
        <f t="shared" ref="BL113:BM113" si="1679">BL107-BL104</f>
        <v>4631283</v>
      </c>
      <c r="BM113" s="11">
        <f t="shared" si="1679"/>
        <v>1666476</v>
      </c>
    </row>
    <row r="114" spans="1:118"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9"/>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9"/>
      <c r="BJ114" s="5"/>
      <c r="BK114" s="48"/>
    </row>
    <row r="115" spans="1:118" s="256" customFormat="1">
      <c r="A115" s="15" t="s">
        <v>141</v>
      </c>
      <c r="B115" s="11" t="s">
        <v>336</v>
      </c>
      <c r="C115" s="267"/>
      <c r="D115" s="120"/>
      <c r="E115" s="120"/>
      <c r="F115" s="120"/>
      <c r="G115" s="120"/>
      <c r="H115" s="120">
        <v>3801955</v>
      </c>
      <c r="I115" s="120"/>
      <c r="J115" s="120"/>
      <c r="K115" s="120"/>
      <c r="L115" s="120"/>
      <c r="M115" s="120"/>
      <c r="N115" s="120"/>
      <c r="O115" s="120"/>
      <c r="P115" s="120"/>
      <c r="Q115" s="120"/>
      <c r="R115" s="120"/>
      <c r="S115" s="120"/>
      <c r="T115" s="120"/>
      <c r="U115" s="120"/>
      <c r="V115" s="268"/>
      <c r="W115" s="120"/>
      <c r="X115" s="120"/>
      <c r="Y115" s="120"/>
      <c r="Z115" s="120"/>
      <c r="AA115" s="120"/>
      <c r="AB115" s="121"/>
      <c r="AC115" s="120"/>
      <c r="AD115" s="121">
        <f t="shared" ref="AD115" si="1680">SUM(C115:AC115)</f>
        <v>3801955</v>
      </c>
      <c r="AE115" s="120"/>
      <c r="AF115" s="120"/>
      <c r="AG115" s="120"/>
      <c r="AH115" s="120"/>
      <c r="AI115" s="120"/>
      <c r="AJ115" s="120"/>
      <c r="AK115" s="120"/>
      <c r="AL115" s="120"/>
      <c r="AM115" s="268"/>
      <c r="AN115" s="120"/>
      <c r="AO115" s="268"/>
      <c r="AP115" s="120"/>
      <c r="AQ115" s="120"/>
      <c r="AR115" s="120"/>
      <c r="AS115" s="120"/>
      <c r="AT115" s="120"/>
      <c r="AU115" s="120"/>
      <c r="AV115" s="120"/>
      <c r="AW115" s="268"/>
      <c r="AX115" s="268"/>
      <c r="AY115" s="120"/>
      <c r="AZ115" s="120"/>
      <c r="BA115" s="120"/>
      <c r="BB115" s="120"/>
      <c r="BC115" s="120"/>
      <c r="BD115" s="125"/>
      <c r="BE115" s="269"/>
      <c r="BF115" s="124"/>
      <c r="BG115" s="272">
        <v>79812459</v>
      </c>
      <c r="BH115" s="273">
        <f t="shared" ref="BH115" si="1681">SUM(AE115:BG115)</f>
        <v>79812459</v>
      </c>
      <c r="BI115" s="125">
        <f t="shared" ref="BI115" si="1682">AD115+BH115</f>
        <v>83614414</v>
      </c>
      <c r="BJ115" s="174">
        <v>79801414</v>
      </c>
      <c r="BK115" s="124">
        <f t="shared" ref="BK115" si="1683">BI115-BJ115</f>
        <v>3813000</v>
      </c>
      <c r="CI115" s="271"/>
      <c r="DK115" s="2"/>
      <c r="DM115" s="2"/>
      <c r="DN115" s="271"/>
    </row>
    <row r="116" spans="1:118" s="41" customFormat="1">
      <c r="A116" s="134" t="s">
        <v>141</v>
      </c>
      <c r="B116" s="210" t="s">
        <v>429</v>
      </c>
      <c r="C116" s="267"/>
      <c r="D116" s="120"/>
      <c r="E116" s="120"/>
      <c r="F116" s="120"/>
      <c r="G116" s="120"/>
      <c r="H116" s="120">
        <v>3488446</v>
      </c>
      <c r="I116" s="120"/>
      <c r="J116" s="120"/>
      <c r="K116" s="120"/>
      <c r="L116" s="120"/>
      <c r="M116" s="120"/>
      <c r="N116" s="120"/>
      <c r="O116" s="120"/>
      <c r="P116" s="120"/>
      <c r="Q116" s="120"/>
      <c r="R116" s="120"/>
      <c r="S116" s="120"/>
      <c r="T116" s="120"/>
      <c r="U116" s="120"/>
      <c r="V116" s="268"/>
      <c r="W116" s="120"/>
      <c r="X116" s="120"/>
      <c r="Y116" s="120"/>
      <c r="Z116" s="120"/>
      <c r="AA116" s="120"/>
      <c r="AB116" s="121"/>
      <c r="AC116" s="120"/>
      <c r="AD116" s="121">
        <f t="shared" ref="AD116" si="1684">SUM(C116:AC116)</f>
        <v>3488446</v>
      </c>
      <c r="AE116" s="120"/>
      <c r="AF116" s="120"/>
      <c r="AG116" s="120"/>
      <c r="AH116" s="120"/>
      <c r="AI116" s="120"/>
      <c r="AJ116" s="120"/>
      <c r="AK116" s="120"/>
      <c r="AL116" s="120"/>
      <c r="AM116" s="268"/>
      <c r="AN116" s="120"/>
      <c r="AO116" s="268"/>
      <c r="AP116" s="120"/>
      <c r="AQ116" s="120"/>
      <c r="AR116" s="120"/>
      <c r="AS116" s="120"/>
      <c r="AT116" s="120"/>
      <c r="AU116" s="120"/>
      <c r="AV116" s="120"/>
      <c r="AW116" s="268"/>
      <c r="AX116" s="268"/>
      <c r="AY116" s="120"/>
      <c r="AZ116" s="120"/>
      <c r="BA116" s="120"/>
      <c r="BB116" s="120"/>
      <c r="BC116" s="120"/>
      <c r="BD116" s="125"/>
      <c r="BE116" s="269"/>
      <c r="BF116" s="124"/>
      <c r="BG116" s="272">
        <v>10462</v>
      </c>
      <c r="BH116" s="10">
        <f>SUM(AE116:BG116)</f>
        <v>10462</v>
      </c>
      <c r="BI116" s="249">
        <f>AD116+BH116</f>
        <v>3498908</v>
      </c>
      <c r="BJ116" s="174">
        <v>0</v>
      </c>
      <c r="BK116" s="10">
        <f t="shared" ref="BK116" si="1685">BI116-BJ116</f>
        <v>3498908</v>
      </c>
      <c r="BM116" s="211"/>
      <c r="BQ116" s="41" t="s">
        <v>334</v>
      </c>
    </row>
    <row r="117" spans="1:118">
      <c r="A117" s="128"/>
      <c r="B117" s="12" t="s">
        <v>430</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3063320</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21">
        <f t="shared" ref="AD117:AD118" si="1686">SUM(C117:AC117)</f>
        <v>3063320</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70798896</v>
      </c>
      <c r="BH117" s="9">
        <f>SUM(AE117:BG117)</f>
        <v>70798896</v>
      </c>
      <c r="BI117" s="275">
        <f>AD117+BH117</f>
        <v>73862216</v>
      </c>
      <c r="BJ117" s="9">
        <f>IF('Upto Month COPPY'!$L$60="",0,'Upto Month COPPY'!$L$60)</f>
        <v>70792413</v>
      </c>
      <c r="BK117" s="49">
        <f t="shared" ref="BK117:BK118" si="1687">BI117-BJ117</f>
        <v>3069803</v>
      </c>
      <c r="BL117">
        <f>'Upto Month COPPY'!$L$61</f>
        <v>3069803</v>
      </c>
      <c r="BM117" s="30">
        <f t="shared" ref="BM117:BM121" si="1688">BK117-AD117</f>
        <v>6483</v>
      </c>
    </row>
    <row r="118" spans="1:118">
      <c r="A118" s="128"/>
      <c r="B118" s="180" t="s">
        <v>431</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3549910</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21">
        <f t="shared" si="1686"/>
        <v>3549910</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77065117</v>
      </c>
      <c r="BH118" s="9">
        <f>SUM(AE118:BG118)</f>
        <v>77065117</v>
      </c>
      <c r="BI118" s="275">
        <f>AD118+BH118</f>
        <v>80615027</v>
      </c>
      <c r="BJ118" s="9">
        <f>IF('Upto Month Current'!$L$60="",0,'Upto Month Current'!$L$60)</f>
        <v>77057670</v>
      </c>
      <c r="BK118" s="49">
        <f t="shared" si="1687"/>
        <v>3557357</v>
      </c>
      <c r="BL118">
        <f>'Upto Month Current'!$L$61</f>
        <v>3557357</v>
      </c>
      <c r="BM118" s="30">
        <f t="shared" si="1688"/>
        <v>7447</v>
      </c>
    </row>
    <row r="119" spans="1:118">
      <c r="A119" s="128"/>
      <c r="B119" s="5" t="s">
        <v>130</v>
      </c>
      <c r="C119" s="11">
        <f>C118-C116</f>
        <v>0</v>
      </c>
      <c r="D119" s="11">
        <f t="shared" ref="D119" si="1689">D118-D116</f>
        <v>0</v>
      </c>
      <c r="E119" s="11">
        <f t="shared" ref="E119" si="1690">E118-E116</f>
        <v>0</v>
      </c>
      <c r="F119" s="11">
        <f t="shared" ref="F119" si="1691">F118-F116</f>
        <v>0</v>
      </c>
      <c r="G119" s="11">
        <f t="shared" ref="G119" si="1692">G118-G116</f>
        <v>0</v>
      </c>
      <c r="H119" s="11">
        <f t="shared" ref="H119" si="1693">H118-H116</f>
        <v>61464</v>
      </c>
      <c r="I119" s="11">
        <f t="shared" ref="I119" si="1694">I118-I116</f>
        <v>0</v>
      </c>
      <c r="J119" s="11">
        <f t="shared" ref="J119" si="1695">J118-J116</f>
        <v>0</v>
      </c>
      <c r="K119" s="11">
        <f t="shared" ref="K119" si="1696">K118-K116</f>
        <v>0</v>
      </c>
      <c r="L119" s="11">
        <f t="shared" ref="L119" si="1697">L118-L116</f>
        <v>0</v>
      </c>
      <c r="M119" s="11">
        <f t="shared" ref="M119" si="1698">M118-M116</f>
        <v>0</v>
      </c>
      <c r="N119" s="11">
        <f t="shared" ref="N119" si="1699">N118-N116</f>
        <v>0</v>
      </c>
      <c r="O119" s="11">
        <f t="shared" ref="O119" si="1700">O118-O116</f>
        <v>0</v>
      </c>
      <c r="P119" s="11">
        <f t="shared" ref="P119" si="1701">P118-P116</f>
        <v>0</v>
      </c>
      <c r="Q119" s="11">
        <f t="shared" ref="Q119" si="1702">Q118-Q116</f>
        <v>0</v>
      </c>
      <c r="R119" s="11">
        <f t="shared" ref="R119" si="1703">R118-R116</f>
        <v>0</v>
      </c>
      <c r="S119" s="11">
        <f t="shared" ref="S119" si="1704">S118-S116</f>
        <v>0</v>
      </c>
      <c r="T119" s="11">
        <f t="shared" ref="T119:U119" si="1705">T118-T116</f>
        <v>0</v>
      </c>
      <c r="U119" s="11">
        <f t="shared" si="1705"/>
        <v>0</v>
      </c>
      <c r="V119" s="9">
        <f t="shared" ref="V119" si="1706">V118-V116</f>
        <v>0</v>
      </c>
      <c r="W119" s="11">
        <f t="shared" ref="W119" si="1707">W118-W116</f>
        <v>0</v>
      </c>
      <c r="X119" s="11">
        <f t="shared" ref="X119" si="1708">X118-X116</f>
        <v>0</v>
      </c>
      <c r="Y119" s="11">
        <f t="shared" ref="Y119" si="1709">Y118-Y116</f>
        <v>0</v>
      </c>
      <c r="Z119" s="11">
        <f t="shared" ref="Z119" si="1710">Z118-Z116</f>
        <v>0</v>
      </c>
      <c r="AA119" s="11">
        <f t="shared" ref="AA119:AD119" si="1711">AA118-AA116</f>
        <v>0</v>
      </c>
      <c r="AB119" s="11">
        <f t="shared" ref="AB119" si="1712">AB118-AB116</f>
        <v>0</v>
      </c>
      <c r="AC119" s="9">
        <f t="shared" si="1711"/>
        <v>0</v>
      </c>
      <c r="AD119" s="216">
        <f t="shared" si="1711"/>
        <v>61464</v>
      </c>
      <c r="AE119" s="11">
        <f t="shared" ref="AE119" si="1713">AE118-AE116</f>
        <v>0</v>
      </c>
      <c r="AF119" s="11">
        <f t="shared" ref="AF119" si="1714">AF118-AF116</f>
        <v>0</v>
      </c>
      <c r="AG119" s="11">
        <f t="shared" ref="AG119" si="1715">AG118-AG116</f>
        <v>0</v>
      </c>
      <c r="AH119" s="11">
        <f t="shared" ref="AH119" si="1716">AH118-AH116</f>
        <v>0</v>
      </c>
      <c r="AI119" s="11">
        <f t="shared" ref="AI119" si="1717">AI118-AI116</f>
        <v>0</v>
      </c>
      <c r="AJ119" s="11">
        <f t="shared" ref="AJ119" si="1718">AJ118-AJ116</f>
        <v>0</v>
      </c>
      <c r="AK119" s="11">
        <f t="shared" ref="AK119" si="1719">AK118-AK116</f>
        <v>0</v>
      </c>
      <c r="AL119" s="11">
        <f t="shared" ref="AL119" si="1720">AL118-AL116</f>
        <v>0</v>
      </c>
      <c r="AM119" s="11">
        <f t="shared" ref="AM119" si="1721">AM118-AM116</f>
        <v>0</v>
      </c>
      <c r="AN119" s="11">
        <f t="shared" ref="AN119" si="1722">AN118-AN116</f>
        <v>0</v>
      </c>
      <c r="AO119" s="9">
        <f t="shared" ref="AO119" si="1723">AO118-AO116</f>
        <v>0</v>
      </c>
      <c r="AP119" s="11">
        <f t="shared" ref="AP119" si="1724">AP118-AP116</f>
        <v>0</v>
      </c>
      <c r="AQ119" s="9">
        <f t="shared" ref="AQ119" si="1725">AQ118-AQ116</f>
        <v>0</v>
      </c>
      <c r="AR119" s="11">
        <f t="shared" ref="AR119" si="1726">AR118-AR116</f>
        <v>0</v>
      </c>
      <c r="AS119" s="11">
        <f t="shared" ref="AS119" si="1727">AS118-AS116</f>
        <v>0</v>
      </c>
      <c r="AT119" s="11">
        <f t="shared" ref="AT119" si="1728">AT118-AT116</f>
        <v>0</v>
      </c>
      <c r="AU119" s="11">
        <f t="shared" ref="AU119" si="1729">AU118-AU116</f>
        <v>0</v>
      </c>
      <c r="AV119" s="11">
        <f t="shared" ref="AV119" si="1730">AV118-AV116</f>
        <v>0</v>
      </c>
      <c r="AW119" s="11">
        <f t="shared" ref="AW119" si="1731">AW118-AW116</f>
        <v>0</v>
      </c>
      <c r="AX119" s="11">
        <f t="shared" ref="AX119" si="1732">AX118-AX116</f>
        <v>0</v>
      </c>
      <c r="AY119" s="11">
        <f t="shared" ref="AY119" si="1733">AY118-AY116</f>
        <v>0</v>
      </c>
      <c r="AZ119" s="11">
        <f t="shared" ref="AZ119" si="1734">AZ118-AZ116</f>
        <v>0</v>
      </c>
      <c r="BA119" s="11">
        <f t="shared" ref="BA119" si="1735">BA118-BA116</f>
        <v>0</v>
      </c>
      <c r="BB119" s="9">
        <f t="shared" ref="BB119" si="1736">BB118-BB116</f>
        <v>0</v>
      </c>
      <c r="BC119" s="11">
        <f t="shared" ref="BC119" si="1737">BC118-BC116</f>
        <v>0</v>
      </c>
      <c r="BD119" s="11">
        <f t="shared" ref="BD119" si="1738">BD118-BD116</f>
        <v>0</v>
      </c>
      <c r="BE119" s="11">
        <f t="shared" ref="BE119" si="1739">BE118-BE116</f>
        <v>0</v>
      </c>
      <c r="BF119" s="11">
        <f t="shared" ref="BF119" si="1740">BF118-BF116</f>
        <v>0</v>
      </c>
      <c r="BG119" s="11">
        <f t="shared" ref="BG119:BH119" si="1741">BG118-BG116</f>
        <v>77054655</v>
      </c>
      <c r="BH119" s="9">
        <f t="shared" si="1741"/>
        <v>77054655</v>
      </c>
      <c r="BI119" s="9">
        <f t="shared" ref="BI119" si="1742">BI118-BI116</f>
        <v>77116119</v>
      </c>
      <c r="BJ119" s="11">
        <f t="shared" ref="BJ119:BK119" si="1743">BJ118-BJ116</f>
        <v>77057670</v>
      </c>
      <c r="BK119" s="49">
        <f t="shared" si="1743"/>
        <v>58449</v>
      </c>
      <c r="BM119" s="30">
        <f t="shared" si="1688"/>
        <v>-3015</v>
      </c>
    </row>
    <row r="120" spans="1:118">
      <c r="A120" s="128"/>
      <c r="B120" s="5" t="s">
        <v>131</v>
      </c>
      <c r="C120" s="13" t="e">
        <f>C119/C116</f>
        <v>#DIV/0!</v>
      </c>
      <c r="D120" s="13" t="e">
        <f t="shared" ref="D120" si="1744">D119/D116</f>
        <v>#DIV/0!</v>
      </c>
      <c r="E120" s="13" t="e">
        <f t="shared" ref="E120" si="1745">E119/E116</f>
        <v>#DIV/0!</v>
      </c>
      <c r="F120" s="13" t="e">
        <f t="shared" ref="F120" si="1746">F119/F116</f>
        <v>#DIV/0!</v>
      </c>
      <c r="G120" s="13" t="e">
        <f t="shared" ref="G120" si="1747">G119/G116</f>
        <v>#DIV/0!</v>
      </c>
      <c r="H120" s="13">
        <f t="shared" ref="H120" si="1748">H119/H116</f>
        <v>1.761930670562193E-2</v>
      </c>
      <c r="I120" s="13" t="e">
        <f t="shared" ref="I120" si="1749">I119/I116</f>
        <v>#DIV/0!</v>
      </c>
      <c r="J120" s="13" t="e">
        <f t="shared" ref="J120" si="1750">J119/J116</f>
        <v>#DIV/0!</v>
      </c>
      <c r="K120" s="13" t="e">
        <f t="shared" ref="K120" si="1751">K119/K116</f>
        <v>#DIV/0!</v>
      </c>
      <c r="L120" s="13" t="e">
        <f t="shared" ref="L120" si="1752">L119/L116</f>
        <v>#DIV/0!</v>
      </c>
      <c r="M120" s="13" t="e">
        <f t="shared" ref="M120" si="1753">M119/M116</f>
        <v>#DIV/0!</v>
      </c>
      <c r="N120" s="13" t="e">
        <f t="shared" ref="N120" si="1754">N119/N116</f>
        <v>#DIV/0!</v>
      </c>
      <c r="O120" s="13" t="e">
        <f t="shared" ref="O120" si="1755">O119/O116</f>
        <v>#DIV/0!</v>
      </c>
      <c r="P120" s="13" t="e">
        <f t="shared" ref="P120" si="1756">P119/P116</f>
        <v>#DIV/0!</v>
      </c>
      <c r="Q120" s="13" t="e">
        <f t="shared" ref="Q120" si="1757">Q119/Q116</f>
        <v>#DIV/0!</v>
      </c>
      <c r="R120" s="13" t="e">
        <f t="shared" ref="R120" si="1758">R119/R116</f>
        <v>#DIV/0!</v>
      </c>
      <c r="S120" s="13" t="e">
        <f t="shared" ref="S120" si="1759">S119/S116</f>
        <v>#DIV/0!</v>
      </c>
      <c r="T120" s="13" t="e">
        <f t="shared" ref="T120:U120" si="1760">T119/T116</f>
        <v>#DIV/0!</v>
      </c>
      <c r="U120" s="13" t="e">
        <f t="shared" si="1760"/>
        <v>#DIV/0!</v>
      </c>
      <c r="V120" s="160" t="e">
        <f t="shared" ref="V120" si="1761">V119/V116</f>
        <v>#DIV/0!</v>
      </c>
      <c r="W120" s="13" t="e">
        <f t="shared" ref="W120" si="1762">W119/W116</f>
        <v>#DIV/0!</v>
      </c>
      <c r="X120" s="13" t="e">
        <f t="shared" ref="X120" si="1763">X119/X116</f>
        <v>#DIV/0!</v>
      </c>
      <c r="Y120" s="13" t="e">
        <f t="shared" ref="Y120" si="1764">Y119/Y116</f>
        <v>#DIV/0!</v>
      </c>
      <c r="Z120" s="13" t="e">
        <f t="shared" ref="Z120" si="1765">Z119/Z116</f>
        <v>#DIV/0!</v>
      </c>
      <c r="AA120" s="13" t="e">
        <f t="shared" ref="AA120:AD120" si="1766">AA119/AA116</f>
        <v>#DIV/0!</v>
      </c>
      <c r="AB120" s="13" t="e">
        <f t="shared" ref="AB120" si="1767">AB119/AB116</f>
        <v>#DIV/0!</v>
      </c>
      <c r="AC120" s="160" t="e">
        <f t="shared" si="1766"/>
        <v>#DIV/0!</v>
      </c>
      <c r="AD120" s="217">
        <f t="shared" si="1766"/>
        <v>1.761930670562193E-2</v>
      </c>
      <c r="AE120" s="13" t="e">
        <f t="shared" ref="AE120" si="1768">AE119/AE116</f>
        <v>#DIV/0!</v>
      </c>
      <c r="AF120" s="13" t="e">
        <f t="shared" ref="AF120" si="1769">AF119/AF116</f>
        <v>#DIV/0!</v>
      </c>
      <c r="AG120" s="13" t="e">
        <f t="shared" ref="AG120" si="1770">AG119/AG116</f>
        <v>#DIV/0!</v>
      </c>
      <c r="AH120" s="13" t="e">
        <f t="shared" ref="AH120" si="1771">AH119/AH116</f>
        <v>#DIV/0!</v>
      </c>
      <c r="AI120" s="13" t="e">
        <f t="shared" ref="AI120" si="1772">AI119/AI116</f>
        <v>#DIV/0!</v>
      </c>
      <c r="AJ120" s="13" t="e">
        <f t="shared" ref="AJ120" si="1773">AJ119/AJ116</f>
        <v>#DIV/0!</v>
      </c>
      <c r="AK120" s="13" t="e">
        <f t="shared" ref="AK120" si="1774">AK119/AK116</f>
        <v>#DIV/0!</v>
      </c>
      <c r="AL120" s="13" t="e">
        <f t="shared" ref="AL120" si="1775">AL119/AL116</f>
        <v>#DIV/0!</v>
      </c>
      <c r="AM120" s="13" t="e">
        <f t="shared" ref="AM120" si="1776">AM119/AM116</f>
        <v>#DIV/0!</v>
      </c>
      <c r="AN120" s="13" t="e">
        <f t="shared" ref="AN120" si="1777">AN119/AN116</f>
        <v>#DIV/0!</v>
      </c>
      <c r="AO120" s="160" t="e">
        <f t="shared" ref="AO120" si="1778">AO119/AO116</f>
        <v>#DIV/0!</v>
      </c>
      <c r="AP120" s="13" t="e">
        <f t="shared" ref="AP120" si="1779">AP119/AP116</f>
        <v>#DIV/0!</v>
      </c>
      <c r="AQ120" s="160" t="e">
        <f t="shared" ref="AQ120" si="1780">AQ119/AQ116</f>
        <v>#DIV/0!</v>
      </c>
      <c r="AR120" s="13" t="e">
        <f t="shared" ref="AR120" si="1781">AR119/AR116</f>
        <v>#DIV/0!</v>
      </c>
      <c r="AS120" s="13" t="e">
        <f t="shared" ref="AS120" si="1782">AS119/AS116</f>
        <v>#DIV/0!</v>
      </c>
      <c r="AT120" s="13" t="e">
        <f t="shared" ref="AT120" si="1783">AT119/AT116</f>
        <v>#DIV/0!</v>
      </c>
      <c r="AU120" s="13" t="e">
        <f t="shared" ref="AU120" si="1784">AU119/AU116</f>
        <v>#DIV/0!</v>
      </c>
      <c r="AV120" s="13" t="e">
        <f t="shared" ref="AV120" si="1785">AV119/AV116</f>
        <v>#DIV/0!</v>
      </c>
      <c r="AW120" s="13" t="e">
        <f t="shared" ref="AW120" si="1786">AW119/AW116</f>
        <v>#DIV/0!</v>
      </c>
      <c r="AX120" s="13" t="e">
        <f t="shared" ref="AX120" si="1787">AX119/AX116</f>
        <v>#DIV/0!</v>
      </c>
      <c r="AY120" s="13" t="e">
        <f t="shared" ref="AY120" si="1788">AY119/AY116</f>
        <v>#DIV/0!</v>
      </c>
      <c r="AZ120" s="13" t="e">
        <f t="shared" ref="AZ120" si="1789">AZ119/AZ116</f>
        <v>#DIV/0!</v>
      </c>
      <c r="BA120" s="13" t="e">
        <f t="shared" ref="BA120" si="1790">BA119/BA116</f>
        <v>#DIV/0!</v>
      </c>
      <c r="BB120" s="160" t="e">
        <f t="shared" ref="BB120" si="1791">BB119/BB116</f>
        <v>#DIV/0!</v>
      </c>
      <c r="BC120" s="13" t="e">
        <f t="shared" ref="BC120" si="1792">BC119/BC116</f>
        <v>#DIV/0!</v>
      </c>
      <c r="BD120" s="13" t="e">
        <f t="shared" ref="BD120" si="1793">BD119/BD116</f>
        <v>#DIV/0!</v>
      </c>
      <c r="BE120" s="13" t="e">
        <f t="shared" ref="BE120" si="1794">BE119/BE116</f>
        <v>#DIV/0!</v>
      </c>
      <c r="BF120" s="13" t="e">
        <f t="shared" ref="BF120" si="1795">BF119/BF116</f>
        <v>#DIV/0!</v>
      </c>
      <c r="BG120" s="13">
        <f t="shared" ref="BG120:BH120" si="1796">BG119/BG116</f>
        <v>7365.1935576371634</v>
      </c>
      <c r="BH120" s="160">
        <f t="shared" si="1796"/>
        <v>7365.1935576371634</v>
      </c>
      <c r="BI120" s="160">
        <f t="shared" ref="BI120" si="1797">BI119/BI116</f>
        <v>22.04005335378924</v>
      </c>
      <c r="BJ120" s="13" t="e">
        <f t="shared" ref="BJ120:BK120" si="1798">BJ119/BJ116</f>
        <v>#DIV/0!</v>
      </c>
      <c r="BK120" s="50">
        <f t="shared" si="1798"/>
        <v>1.6704926222695766E-2</v>
      </c>
      <c r="BM120" s="160" t="e">
        <f t="shared" ref="BM120" si="1799">BM119/BM116</f>
        <v>#DIV/0!</v>
      </c>
    </row>
    <row r="121" spans="1:118">
      <c r="A121" s="128"/>
      <c r="B121" s="5" t="s">
        <v>132</v>
      </c>
      <c r="C121" s="11">
        <f>C118-C117</f>
        <v>0</v>
      </c>
      <c r="D121" s="11">
        <f t="shared" ref="D121:BK121" si="1800">D118-D117</f>
        <v>0</v>
      </c>
      <c r="E121" s="11">
        <f t="shared" si="1800"/>
        <v>0</v>
      </c>
      <c r="F121" s="11">
        <f t="shared" si="1800"/>
        <v>0</v>
      </c>
      <c r="G121" s="11">
        <f t="shared" si="1800"/>
        <v>0</v>
      </c>
      <c r="H121" s="11">
        <f t="shared" si="1800"/>
        <v>486590</v>
      </c>
      <c r="I121" s="11">
        <f t="shared" si="1800"/>
        <v>0</v>
      </c>
      <c r="J121" s="11">
        <f t="shared" si="1800"/>
        <v>0</v>
      </c>
      <c r="K121" s="11">
        <f t="shared" si="1800"/>
        <v>0</v>
      </c>
      <c r="L121" s="11">
        <f t="shared" si="1800"/>
        <v>0</v>
      </c>
      <c r="M121" s="11">
        <f t="shared" si="1800"/>
        <v>0</v>
      </c>
      <c r="N121" s="11">
        <f t="shared" si="1800"/>
        <v>0</v>
      </c>
      <c r="O121" s="11">
        <f t="shared" si="1800"/>
        <v>0</v>
      </c>
      <c r="P121" s="11">
        <f t="shared" si="1800"/>
        <v>0</v>
      </c>
      <c r="Q121" s="11">
        <f t="shared" si="1800"/>
        <v>0</v>
      </c>
      <c r="R121" s="11">
        <f t="shared" si="1800"/>
        <v>0</v>
      </c>
      <c r="S121" s="11">
        <f t="shared" si="1800"/>
        <v>0</v>
      </c>
      <c r="T121" s="11">
        <f t="shared" si="1800"/>
        <v>0</v>
      </c>
      <c r="U121" s="11">
        <f t="shared" ref="U121" si="1801">U118-U117</f>
        <v>0</v>
      </c>
      <c r="V121" s="9">
        <f t="shared" si="1800"/>
        <v>0</v>
      </c>
      <c r="W121" s="11">
        <f t="shared" si="1800"/>
        <v>0</v>
      </c>
      <c r="X121" s="11">
        <f t="shared" si="1800"/>
        <v>0</v>
      </c>
      <c r="Y121" s="11">
        <f t="shared" si="1800"/>
        <v>0</v>
      </c>
      <c r="Z121" s="11">
        <f t="shared" si="1800"/>
        <v>0</v>
      </c>
      <c r="AA121" s="11">
        <f t="shared" si="1800"/>
        <v>0</v>
      </c>
      <c r="AB121" s="11">
        <f t="shared" ref="AB121" si="1802">AB118-AB117</f>
        <v>0</v>
      </c>
      <c r="AC121" s="9">
        <f t="shared" ref="AC121:AD121" si="1803">AC118-AC117</f>
        <v>0</v>
      </c>
      <c r="AD121" s="216">
        <f t="shared" si="1803"/>
        <v>486590</v>
      </c>
      <c r="AE121" s="11">
        <f t="shared" si="1800"/>
        <v>0</v>
      </c>
      <c r="AF121" s="11">
        <f t="shared" si="1800"/>
        <v>0</v>
      </c>
      <c r="AG121" s="11">
        <f t="shared" si="1800"/>
        <v>0</v>
      </c>
      <c r="AH121" s="11">
        <f t="shared" si="1800"/>
        <v>0</v>
      </c>
      <c r="AI121" s="11">
        <f t="shared" si="1800"/>
        <v>0</v>
      </c>
      <c r="AJ121" s="11">
        <f t="shared" si="1800"/>
        <v>0</v>
      </c>
      <c r="AK121" s="11">
        <f t="shared" si="1800"/>
        <v>0</v>
      </c>
      <c r="AL121" s="11">
        <f t="shared" si="1800"/>
        <v>0</v>
      </c>
      <c r="AM121" s="11">
        <f t="shared" si="1800"/>
        <v>0</v>
      </c>
      <c r="AN121" s="11">
        <f t="shared" si="1800"/>
        <v>0</v>
      </c>
      <c r="AO121" s="9">
        <f t="shared" si="1800"/>
        <v>0</v>
      </c>
      <c r="AP121" s="11">
        <f t="shared" si="1800"/>
        <v>0</v>
      </c>
      <c r="AQ121" s="9">
        <f t="shared" si="1800"/>
        <v>0</v>
      </c>
      <c r="AR121" s="11">
        <f t="shared" si="1800"/>
        <v>0</v>
      </c>
      <c r="AS121" s="11">
        <f t="shared" si="1800"/>
        <v>0</v>
      </c>
      <c r="AT121" s="11">
        <f t="shared" si="1800"/>
        <v>0</v>
      </c>
      <c r="AU121" s="11">
        <f t="shared" si="1800"/>
        <v>0</v>
      </c>
      <c r="AV121" s="11">
        <f t="shared" si="1800"/>
        <v>0</v>
      </c>
      <c r="AW121" s="11">
        <f t="shared" si="1800"/>
        <v>0</v>
      </c>
      <c r="AX121" s="11">
        <f t="shared" si="1800"/>
        <v>0</v>
      </c>
      <c r="AY121" s="11">
        <f t="shared" si="1800"/>
        <v>0</v>
      </c>
      <c r="AZ121" s="11">
        <f t="shared" si="1800"/>
        <v>0</v>
      </c>
      <c r="BA121" s="11">
        <f t="shared" si="1800"/>
        <v>0</v>
      </c>
      <c r="BB121" s="9">
        <f t="shared" si="1800"/>
        <v>0</v>
      </c>
      <c r="BC121" s="11">
        <f t="shared" si="1800"/>
        <v>0</v>
      </c>
      <c r="BD121" s="11">
        <f t="shared" si="1800"/>
        <v>0</v>
      </c>
      <c r="BE121" s="11">
        <f t="shared" si="1800"/>
        <v>0</v>
      </c>
      <c r="BF121" s="11">
        <f t="shared" si="1800"/>
        <v>0</v>
      </c>
      <c r="BG121" s="11">
        <f t="shared" si="1800"/>
        <v>6266221</v>
      </c>
      <c r="BH121" s="9">
        <f t="shared" si="1800"/>
        <v>6266221</v>
      </c>
      <c r="BI121" s="9">
        <f t="shared" si="1800"/>
        <v>6752811</v>
      </c>
      <c r="BJ121" s="11">
        <f t="shared" si="1800"/>
        <v>6265257</v>
      </c>
      <c r="BK121" s="49">
        <f t="shared" si="1800"/>
        <v>487554</v>
      </c>
      <c r="BM121" s="30">
        <f t="shared" si="1688"/>
        <v>964</v>
      </c>
    </row>
    <row r="122" spans="1:118">
      <c r="A122" s="128"/>
      <c r="B122" s="5" t="s">
        <v>133</v>
      </c>
      <c r="C122" s="13" t="e">
        <f>C121/C117</f>
        <v>#DIV/0!</v>
      </c>
      <c r="D122" s="13" t="e">
        <f t="shared" ref="D122" si="1804">D121/D117</f>
        <v>#DIV/0!</v>
      </c>
      <c r="E122" s="13" t="e">
        <f t="shared" ref="E122" si="1805">E121/E117</f>
        <v>#DIV/0!</v>
      </c>
      <c r="F122" s="13" t="e">
        <f t="shared" ref="F122" si="1806">F121/F117</f>
        <v>#DIV/0!</v>
      </c>
      <c r="G122" s="13" t="e">
        <f t="shared" ref="G122" si="1807">G121/G117</f>
        <v>#DIV/0!</v>
      </c>
      <c r="H122" s="13">
        <f t="shared" ref="H122" si="1808">H121/H117</f>
        <v>0.15884399932099813</v>
      </c>
      <c r="I122" s="13" t="e">
        <f t="shared" ref="I122" si="1809">I121/I117</f>
        <v>#DIV/0!</v>
      </c>
      <c r="J122" s="13" t="e">
        <f t="shared" ref="J122" si="1810">J121/J117</f>
        <v>#DIV/0!</v>
      </c>
      <c r="K122" s="13" t="e">
        <f t="shared" ref="K122" si="1811">K121/K117</f>
        <v>#DIV/0!</v>
      </c>
      <c r="L122" s="13" t="e">
        <f t="shared" ref="L122" si="1812">L121/L117</f>
        <v>#DIV/0!</v>
      </c>
      <c r="M122" s="13" t="e">
        <f t="shared" ref="M122" si="1813">M121/M117</f>
        <v>#DIV/0!</v>
      </c>
      <c r="N122" s="13" t="e">
        <f t="shared" ref="N122" si="1814">N121/N117</f>
        <v>#DIV/0!</v>
      </c>
      <c r="O122" s="13" t="e">
        <f t="shared" ref="O122" si="1815">O121/O117</f>
        <v>#DIV/0!</v>
      </c>
      <c r="P122" s="13" t="e">
        <f t="shared" ref="P122" si="1816">P121/P117</f>
        <v>#DIV/0!</v>
      </c>
      <c r="Q122" s="13" t="e">
        <f t="shared" ref="Q122" si="1817">Q121/Q117</f>
        <v>#DIV/0!</v>
      </c>
      <c r="R122" s="13" t="e">
        <f t="shared" ref="R122" si="1818">R121/R117</f>
        <v>#DIV/0!</v>
      </c>
      <c r="S122" s="13" t="e">
        <f t="shared" ref="S122" si="1819">S121/S117</f>
        <v>#DIV/0!</v>
      </c>
      <c r="T122" s="13" t="e">
        <f t="shared" ref="T122:U122" si="1820">T121/T117</f>
        <v>#DIV/0!</v>
      </c>
      <c r="U122" s="13" t="e">
        <f t="shared" si="1820"/>
        <v>#DIV/0!</v>
      </c>
      <c r="V122" s="160" t="e">
        <f t="shared" ref="V122" si="1821">V121/V117</f>
        <v>#DIV/0!</v>
      </c>
      <c r="W122" s="13" t="e">
        <f t="shared" ref="W122" si="1822">W121/W117</f>
        <v>#DIV/0!</v>
      </c>
      <c r="X122" s="13" t="e">
        <f t="shared" ref="X122" si="1823">X121/X117</f>
        <v>#DIV/0!</v>
      </c>
      <c r="Y122" s="13" t="e">
        <f t="shared" ref="Y122" si="1824">Y121/Y117</f>
        <v>#DIV/0!</v>
      </c>
      <c r="Z122" s="13" t="e">
        <f t="shared" ref="Z122" si="1825">Z121/Z117</f>
        <v>#DIV/0!</v>
      </c>
      <c r="AA122" s="13" t="e">
        <f t="shared" ref="AA122:AD122" si="1826">AA121/AA117</f>
        <v>#DIV/0!</v>
      </c>
      <c r="AB122" s="13" t="e">
        <f t="shared" ref="AB122" si="1827">AB121/AB117</f>
        <v>#DIV/0!</v>
      </c>
      <c r="AC122" s="160" t="e">
        <f t="shared" si="1826"/>
        <v>#DIV/0!</v>
      </c>
      <c r="AD122" s="217">
        <f t="shared" si="1826"/>
        <v>0.15884399932099813</v>
      </c>
      <c r="AE122" s="13" t="e">
        <f t="shared" ref="AE122" si="1828">AE121/AE117</f>
        <v>#DIV/0!</v>
      </c>
      <c r="AF122" s="13" t="e">
        <f t="shared" ref="AF122" si="1829">AF121/AF117</f>
        <v>#DIV/0!</v>
      </c>
      <c r="AG122" s="13" t="e">
        <f t="shared" ref="AG122" si="1830">AG121/AG117</f>
        <v>#DIV/0!</v>
      </c>
      <c r="AH122" s="13" t="e">
        <f t="shared" ref="AH122" si="1831">AH121/AH117</f>
        <v>#DIV/0!</v>
      </c>
      <c r="AI122" s="13" t="e">
        <f t="shared" ref="AI122" si="1832">AI121/AI117</f>
        <v>#DIV/0!</v>
      </c>
      <c r="AJ122" s="13" t="e">
        <f t="shared" ref="AJ122" si="1833">AJ121/AJ117</f>
        <v>#DIV/0!</v>
      </c>
      <c r="AK122" s="13" t="e">
        <f t="shared" ref="AK122" si="1834">AK121/AK117</f>
        <v>#DIV/0!</v>
      </c>
      <c r="AL122" s="13" t="e">
        <f t="shared" ref="AL122" si="1835">AL121/AL117</f>
        <v>#DIV/0!</v>
      </c>
      <c r="AM122" s="13" t="e">
        <f t="shared" ref="AM122" si="1836">AM121/AM117</f>
        <v>#DIV/0!</v>
      </c>
      <c r="AN122" s="13" t="e">
        <f t="shared" ref="AN122" si="1837">AN121/AN117</f>
        <v>#DIV/0!</v>
      </c>
      <c r="AO122" s="160" t="e">
        <f t="shared" ref="AO122" si="1838">AO121/AO117</f>
        <v>#DIV/0!</v>
      </c>
      <c r="AP122" s="13" t="e">
        <f t="shared" ref="AP122" si="1839">AP121/AP117</f>
        <v>#DIV/0!</v>
      </c>
      <c r="AQ122" s="160" t="e">
        <f t="shared" ref="AQ122" si="1840">AQ121/AQ117</f>
        <v>#DIV/0!</v>
      </c>
      <c r="AR122" s="13" t="e">
        <f t="shared" ref="AR122" si="1841">AR121/AR117</f>
        <v>#DIV/0!</v>
      </c>
      <c r="AS122" s="13" t="e">
        <f t="shared" ref="AS122" si="1842">AS121/AS117</f>
        <v>#DIV/0!</v>
      </c>
      <c r="AT122" s="13" t="e">
        <f t="shared" ref="AT122" si="1843">AT121/AT117</f>
        <v>#DIV/0!</v>
      </c>
      <c r="AU122" s="13" t="e">
        <f t="shared" ref="AU122" si="1844">AU121/AU117</f>
        <v>#DIV/0!</v>
      </c>
      <c r="AV122" s="13" t="e">
        <f t="shared" ref="AV122" si="1845">AV121/AV117</f>
        <v>#DIV/0!</v>
      </c>
      <c r="AW122" s="13" t="e">
        <f t="shared" ref="AW122" si="1846">AW121/AW117</f>
        <v>#DIV/0!</v>
      </c>
      <c r="AX122" s="13" t="e">
        <f t="shared" ref="AX122" si="1847">AX121/AX117</f>
        <v>#DIV/0!</v>
      </c>
      <c r="AY122" s="13" t="e">
        <f t="shared" ref="AY122" si="1848">AY121/AY117</f>
        <v>#DIV/0!</v>
      </c>
      <c r="AZ122" s="13" t="e">
        <f t="shared" ref="AZ122" si="1849">AZ121/AZ117</f>
        <v>#DIV/0!</v>
      </c>
      <c r="BA122" s="13" t="e">
        <f t="shared" ref="BA122" si="1850">BA121/BA117</f>
        <v>#DIV/0!</v>
      </c>
      <c r="BB122" s="160" t="e">
        <f t="shared" ref="BB122" si="1851">BB121/BB117</f>
        <v>#DIV/0!</v>
      </c>
      <c r="BC122" s="13" t="e">
        <f t="shared" ref="BC122" si="1852">BC121/BC117</f>
        <v>#DIV/0!</v>
      </c>
      <c r="BD122" s="13" t="e">
        <f t="shared" ref="BD122" si="1853">BD121/BD117</f>
        <v>#DIV/0!</v>
      </c>
      <c r="BE122" s="13" t="e">
        <f t="shared" ref="BE122" si="1854">BE121/BE117</f>
        <v>#DIV/0!</v>
      </c>
      <c r="BF122" s="13" t="e">
        <f t="shared" ref="BF122" si="1855">BF121/BF117</f>
        <v>#DIV/0!</v>
      </c>
      <c r="BG122" s="13">
        <f t="shared" ref="BG122:BH122" si="1856">BG121/BG117</f>
        <v>8.8507326441926437E-2</v>
      </c>
      <c r="BH122" s="160">
        <f t="shared" si="1856"/>
        <v>8.8507326441926437E-2</v>
      </c>
      <c r="BI122" s="160">
        <f t="shared" ref="BI122" si="1857">BI121/BI117</f>
        <v>9.1424430049593969E-2</v>
      </c>
      <c r="BJ122" s="13">
        <f t="shared" ref="BJ122:BK122" si="1858">BJ121/BJ117</f>
        <v>8.8501814452913191E-2</v>
      </c>
      <c r="BK122" s="50">
        <f t="shared" si="1858"/>
        <v>0.15882256939614692</v>
      </c>
      <c r="BM122" s="14">
        <f t="shared" ref="BM122" si="1859">BM121/BM117</f>
        <v>0.14869659108437452</v>
      </c>
    </row>
    <row r="123" spans="1:118">
      <c r="A123" s="128"/>
      <c r="B123" s="5" t="s">
        <v>340</v>
      </c>
      <c r="C123" s="126" t="e">
        <f>C118/C115</f>
        <v>#DIV/0!</v>
      </c>
      <c r="D123" s="126" t="e">
        <f t="shared" ref="D123:BK123" si="1860">D118/D115</f>
        <v>#DIV/0!</v>
      </c>
      <c r="E123" s="126" t="e">
        <f t="shared" si="1860"/>
        <v>#DIV/0!</v>
      </c>
      <c r="F123" s="126" t="e">
        <f t="shared" si="1860"/>
        <v>#DIV/0!</v>
      </c>
      <c r="G123" s="126" t="e">
        <f t="shared" si="1860"/>
        <v>#DIV/0!</v>
      </c>
      <c r="H123" s="126">
        <f t="shared" si="1860"/>
        <v>0.93370647469525547</v>
      </c>
      <c r="I123" s="126" t="e">
        <f t="shared" si="1860"/>
        <v>#DIV/0!</v>
      </c>
      <c r="J123" s="126" t="e">
        <f t="shared" si="1860"/>
        <v>#DIV/0!</v>
      </c>
      <c r="K123" s="126" t="e">
        <f t="shared" si="1860"/>
        <v>#DIV/0!</v>
      </c>
      <c r="L123" s="126" t="e">
        <f t="shared" si="1860"/>
        <v>#DIV/0!</v>
      </c>
      <c r="M123" s="126" t="e">
        <f t="shared" si="1860"/>
        <v>#DIV/0!</v>
      </c>
      <c r="N123" s="126" t="e">
        <f t="shared" si="1860"/>
        <v>#DIV/0!</v>
      </c>
      <c r="O123" s="126" t="e">
        <f t="shared" si="1860"/>
        <v>#DIV/0!</v>
      </c>
      <c r="P123" s="126" t="e">
        <f t="shared" si="1860"/>
        <v>#DIV/0!</v>
      </c>
      <c r="Q123" s="126" t="e">
        <f t="shared" si="1860"/>
        <v>#DIV/0!</v>
      </c>
      <c r="R123" s="126" t="e">
        <f t="shared" si="1860"/>
        <v>#DIV/0!</v>
      </c>
      <c r="S123" s="126" t="e">
        <f t="shared" si="1860"/>
        <v>#DIV/0!</v>
      </c>
      <c r="T123" s="126" t="e">
        <f t="shared" si="1860"/>
        <v>#DIV/0!</v>
      </c>
      <c r="U123" s="126" t="e">
        <f t="shared" si="1860"/>
        <v>#DIV/0!</v>
      </c>
      <c r="V123" s="175" t="e">
        <f t="shared" si="1860"/>
        <v>#DIV/0!</v>
      </c>
      <c r="W123" s="126" t="e">
        <f t="shared" si="1860"/>
        <v>#DIV/0!</v>
      </c>
      <c r="X123" s="126" t="e">
        <f t="shared" si="1860"/>
        <v>#DIV/0!</v>
      </c>
      <c r="Y123" s="126" t="e">
        <f t="shared" si="1860"/>
        <v>#DIV/0!</v>
      </c>
      <c r="Z123" s="126" t="e">
        <f t="shared" si="1860"/>
        <v>#DIV/0!</v>
      </c>
      <c r="AA123" s="126" t="e">
        <f t="shared" si="1860"/>
        <v>#DIV/0!</v>
      </c>
      <c r="AB123" s="126" t="e">
        <f t="shared" ref="AB123" si="1861">AB118/AB115</f>
        <v>#DIV/0!</v>
      </c>
      <c r="AC123" s="175" t="e">
        <f t="shared" si="1860"/>
        <v>#DIV/0!</v>
      </c>
      <c r="AD123" s="218">
        <f t="shared" si="1860"/>
        <v>0.93370647469525547</v>
      </c>
      <c r="AE123" s="126" t="e">
        <f t="shared" si="1860"/>
        <v>#DIV/0!</v>
      </c>
      <c r="AF123" s="126" t="e">
        <f t="shared" si="1860"/>
        <v>#DIV/0!</v>
      </c>
      <c r="AG123" s="126" t="e">
        <f t="shared" si="1860"/>
        <v>#DIV/0!</v>
      </c>
      <c r="AH123" s="126" t="e">
        <f t="shared" si="1860"/>
        <v>#DIV/0!</v>
      </c>
      <c r="AI123" s="126" t="e">
        <f t="shared" si="1860"/>
        <v>#DIV/0!</v>
      </c>
      <c r="AJ123" s="126" t="e">
        <f t="shared" si="1860"/>
        <v>#DIV/0!</v>
      </c>
      <c r="AK123" s="126" t="e">
        <f t="shared" si="1860"/>
        <v>#DIV/0!</v>
      </c>
      <c r="AL123" s="126" t="e">
        <f t="shared" si="1860"/>
        <v>#DIV/0!</v>
      </c>
      <c r="AM123" s="126" t="e">
        <f t="shared" si="1860"/>
        <v>#DIV/0!</v>
      </c>
      <c r="AN123" s="126" t="e">
        <f t="shared" si="1860"/>
        <v>#DIV/0!</v>
      </c>
      <c r="AO123" s="175" t="e">
        <f t="shared" si="1860"/>
        <v>#DIV/0!</v>
      </c>
      <c r="AP123" s="126" t="e">
        <f t="shared" si="1860"/>
        <v>#DIV/0!</v>
      </c>
      <c r="AQ123" s="175" t="e">
        <f t="shared" si="1860"/>
        <v>#DIV/0!</v>
      </c>
      <c r="AR123" s="126" t="e">
        <f t="shared" si="1860"/>
        <v>#DIV/0!</v>
      </c>
      <c r="AS123" s="126" t="e">
        <f t="shared" si="1860"/>
        <v>#DIV/0!</v>
      </c>
      <c r="AT123" s="126" t="e">
        <f t="shared" si="1860"/>
        <v>#DIV/0!</v>
      </c>
      <c r="AU123" s="126" t="e">
        <f t="shared" si="1860"/>
        <v>#DIV/0!</v>
      </c>
      <c r="AV123" s="126" t="e">
        <f t="shared" si="1860"/>
        <v>#DIV/0!</v>
      </c>
      <c r="AW123" s="126" t="e">
        <f t="shared" si="1860"/>
        <v>#DIV/0!</v>
      </c>
      <c r="AX123" s="126" t="e">
        <f t="shared" si="1860"/>
        <v>#DIV/0!</v>
      </c>
      <c r="AY123" s="126" t="e">
        <f t="shared" si="1860"/>
        <v>#DIV/0!</v>
      </c>
      <c r="AZ123" s="126" t="e">
        <f t="shared" si="1860"/>
        <v>#DIV/0!</v>
      </c>
      <c r="BA123" s="126" t="e">
        <f t="shared" si="1860"/>
        <v>#DIV/0!</v>
      </c>
      <c r="BB123" s="175" t="e">
        <f t="shared" si="1860"/>
        <v>#DIV/0!</v>
      </c>
      <c r="BC123" s="126" t="e">
        <f t="shared" si="1860"/>
        <v>#DIV/0!</v>
      </c>
      <c r="BD123" s="126" t="e">
        <f t="shared" si="1860"/>
        <v>#DIV/0!</v>
      </c>
      <c r="BE123" s="126" t="e">
        <f t="shared" si="1860"/>
        <v>#DIV/0!</v>
      </c>
      <c r="BF123" s="126" t="e">
        <f t="shared" si="1860"/>
        <v>#DIV/0!</v>
      </c>
      <c r="BG123" s="126">
        <f t="shared" si="1860"/>
        <v>0.96557752969370358</v>
      </c>
      <c r="BH123" s="175">
        <f t="shared" si="1860"/>
        <v>0.96557752969370358</v>
      </c>
      <c r="BI123" s="175">
        <f t="shared" si="1860"/>
        <v>0.96412834992780072</v>
      </c>
      <c r="BJ123" s="126">
        <f t="shared" si="1860"/>
        <v>0.96561785233529818</v>
      </c>
      <c r="BK123" s="126">
        <f t="shared" si="1860"/>
        <v>0.93295489116181485</v>
      </c>
      <c r="BM123" s="126" t="e">
        <f t="shared" ref="BM123" si="1862">BM118/BM115</f>
        <v>#DIV/0!</v>
      </c>
    </row>
    <row r="124" spans="1:118" s="178" customFormat="1">
      <c r="A124" s="128"/>
      <c r="B124" s="5" t="s">
        <v>341</v>
      </c>
      <c r="C124" s="11">
        <f>C115-C118</f>
        <v>0</v>
      </c>
      <c r="D124" s="11">
        <f t="shared" ref="D124:BK124" si="1863">D115-D118</f>
        <v>0</v>
      </c>
      <c r="E124" s="11">
        <f t="shared" si="1863"/>
        <v>0</v>
      </c>
      <c r="F124" s="11">
        <f t="shared" si="1863"/>
        <v>0</v>
      </c>
      <c r="G124" s="11">
        <f t="shared" si="1863"/>
        <v>0</v>
      </c>
      <c r="H124" s="11">
        <f t="shared" si="1863"/>
        <v>252045</v>
      </c>
      <c r="I124" s="11">
        <f t="shared" si="1863"/>
        <v>0</v>
      </c>
      <c r="J124" s="11">
        <f t="shared" si="1863"/>
        <v>0</v>
      </c>
      <c r="K124" s="11">
        <f t="shared" si="1863"/>
        <v>0</v>
      </c>
      <c r="L124" s="11">
        <f t="shared" si="1863"/>
        <v>0</v>
      </c>
      <c r="M124" s="11">
        <f t="shared" si="1863"/>
        <v>0</v>
      </c>
      <c r="N124" s="11">
        <f t="shared" si="1863"/>
        <v>0</v>
      </c>
      <c r="O124" s="11">
        <f t="shared" si="1863"/>
        <v>0</v>
      </c>
      <c r="P124" s="11">
        <f t="shared" si="1863"/>
        <v>0</v>
      </c>
      <c r="Q124" s="11">
        <f t="shared" si="1863"/>
        <v>0</v>
      </c>
      <c r="R124" s="11">
        <f t="shared" si="1863"/>
        <v>0</v>
      </c>
      <c r="S124" s="11">
        <f t="shared" si="1863"/>
        <v>0</v>
      </c>
      <c r="T124" s="11">
        <f t="shared" si="1863"/>
        <v>0</v>
      </c>
      <c r="U124" s="11">
        <f t="shared" si="1863"/>
        <v>0</v>
      </c>
      <c r="V124" s="11">
        <f t="shared" si="1863"/>
        <v>0</v>
      </c>
      <c r="W124" s="11">
        <f t="shared" si="1863"/>
        <v>0</v>
      </c>
      <c r="X124" s="11">
        <f t="shared" si="1863"/>
        <v>0</v>
      </c>
      <c r="Y124" s="11">
        <f t="shared" si="1863"/>
        <v>0</v>
      </c>
      <c r="Z124" s="11">
        <f t="shared" si="1863"/>
        <v>0</v>
      </c>
      <c r="AA124" s="11">
        <f t="shared" si="1863"/>
        <v>0</v>
      </c>
      <c r="AB124" s="11">
        <f t="shared" si="1863"/>
        <v>0</v>
      </c>
      <c r="AC124" s="11">
        <f t="shared" si="1863"/>
        <v>0</v>
      </c>
      <c r="AD124" s="11">
        <f t="shared" si="1863"/>
        <v>252045</v>
      </c>
      <c r="AE124" s="11">
        <f t="shared" si="1863"/>
        <v>0</v>
      </c>
      <c r="AF124" s="11">
        <f t="shared" si="1863"/>
        <v>0</v>
      </c>
      <c r="AG124" s="11">
        <f t="shared" si="1863"/>
        <v>0</v>
      </c>
      <c r="AH124" s="11">
        <f t="shared" si="1863"/>
        <v>0</v>
      </c>
      <c r="AI124" s="11">
        <f t="shared" si="1863"/>
        <v>0</v>
      </c>
      <c r="AJ124" s="11">
        <f t="shared" si="1863"/>
        <v>0</v>
      </c>
      <c r="AK124" s="11">
        <f t="shared" si="1863"/>
        <v>0</v>
      </c>
      <c r="AL124" s="11">
        <f t="shared" si="1863"/>
        <v>0</v>
      </c>
      <c r="AM124" s="11">
        <f t="shared" si="1863"/>
        <v>0</v>
      </c>
      <c r="AN124" s="11">
        <f t="shared" si="1863"/>
        <v>0</v>
      </c>
      <c r="AO124" s="11">
        <f t="shared" si="1863"/>
        <v>0</v>
      </c>
      <c r="AP124" s="11">
        <f t="shared" si="1863"/>
        <v>0</v>
      </c>
      <c r="AQ124" s="11">
        <f t="shared" si="1863"/>
        <v>0</v>
      </c>
      <c r="AR124" s="11">
        <f t="shared" si="1863"/>
        <v>0</v>
      </c>
      <c r="AS124" s="11">
        <f t="shared" si="1863"/>
        <v>0</v>
      </c>
      <c r="AT124" s="11">
        <f t="shared" si="1863"/>
        <v>0</v>
      </c>
      <c r="AU124" s="11">
        <f t="shared" si="1863"/>
        <v>0</v>
      </c>
      <c r="AV124" s="11">
        <f t="shared" si="1863"/>
        <v>0</v>
      </c>
      <c r="AW124" s="11">
        <f t="shared" si="1863"/>
        <v>0</v>
      </c>
      <c r="AX124" s="11">
        <f t="shared" si="1863"/>
        <v>0</v>
      </c>
      <c r="AY124" s="11">
        <f t="shared" si="1863"/>
        <v>0</v>
      </c>
      <c r="AZ124" s="11">
        <f t="shared" si="1863"/>
        <v>0</v>
      </c>
      <c r="BA124" s="11">
        <f t="shared" si="1863"/>
        <v>0</v>
      </c>
      <c r="BB124" s="11">
        <f t="shared" si="1863"/>
        <v>0</v>
      </c>
      <c r="BC124" s="11">
        <f t="shared" si="1863"/>
        <v>0</v>
      </c>
      <c r="BD124" s="11">
        <f t="shared" si="1863"/>
        <v>0</v>
      </c>
      <c r="BE124" s="11">
        <f t="shared" si="1863"/>
        <v>0</v>
      </c>
      <c r="BF124" s="11">
        <f t="shared" si="1863"/>
        <v>0</v>
      </c>
      <c r="BG124" s="11">
        <f t="shared" si="1863"/>
        <v>2747342</v>
      </c>
      <c r="BH124" s="11">
        <f t="shared" si="1863"/>
        <v>2747342</v>
      </c>
      <c r="BI124" s="11">
        <f t="shared" si="1863"/>
        <v>2999387</v>
      </c>
      <c r="BJ124" s="11">
        <f t="shared" si="1863"/>
        <v>2743744</v>
      </c>
      <c r="BK124" s="11">
        <f t="shared" si="1863"/>
        <v>255643</v>
      </c>
      <c r="BL124" s="11">
        <f t="shared" ref="BL124:BM124" si="1864">BL118-BL115</f>
        <v>3557357</v>
      </c>
      <c r="BM124" s="11">
        <f t="shared" si="1864"/>
        <v>7447</v>
      </c>
    </row>
    <row r="125" spans="1:118">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9"/>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9"/>
      <c r="BJ125" s="5"/>
      <c r="BK125" s="48"/>
    </row>
    <row r="126" spans="1:118">
      <c r="A126" s="128" t="s">
        <v>128</v>
      </c>
      <c r="B126" s="11" t="s">
        <v>336</v>
      </c>
      <c r="C126" s="9">
        <f t="shared" ref="C126:AC127" si="1865">C5+C16+C27+C38+C49+C60+C71+C82+C93+C104+C115</f>
        <v>26998702</v>
      </c>
      <c r="D126" s="9">
        <f t="shared" si="1865"/>
        <v>13147839</v>
      </c>
      <c r="E126" s="9">
        <f t="shared" si="1865"/>
        <v>1036482</v>
      </c>
      <c r="F126" s="9">
        <f t="shared" si="1865"/>
        <v>3382630</v>
      </c>
      <c r="G126" s="9">
        <f t="shared" si="1865"/>
        <v>1875394</v>
      </c>
      <c r="H126" s="9">
        <f t="shared" si="1865"/>
        <v>3801955</v>
      </c>
      <c r="I126" s="9">
        <f t="shared" si="1865"/>
        <v>0</v>
      </c>
      <c r="J126" s="9">
        <f t="shared" si="1865"/>
        <v>3082602</v>
      </c>
      <c r="K126" s="9">
        <f t="shared" si="1865"/>
        <v>201500</v>
      </c>
      <c r="L126" s="9">
        <f t="shared" si="1865"/>
        <v>865260</v>
      </c>
      <c r="M126" s="9">
        <f t="shared" si="1865"/>
        <v>1429560</v>
      </c>
      <c r="N126" s="9">
        <f t="shared" si="1865"/>
        <v>37231</v>
      </c>
      <c r="O126" s="9">
        <f t="shared" si="1865"/>
        <v>104999</v>
      </c>
      <c r="P126" s="9">
        <f t="shared" si="1865"/>
        <v>1271835</v>
      </c>
      <c r="Q126" s="9">
        <f t="shared" si="1865"/>
        <v>0</v>
      </c>
      <c r="R126" s="9">
        <f t="shared" si="1865"/>
        <v>98035</v>
      </c>
      <c r="S126" s="9">
        <f t="shared" si="1865"/>
        <v>981191</v>
      </c>
      <c r="T126" s="9">
        <f t="shared" si="1865"/>
        <v>1764697</v>
      </c>
      <c r="U126" s="9">
        <f t="shared" si="1865"/>
        <v>0</v>
      </c>
      <c r="V126" s="9">
        <f t="shared" si="1865"/>
        <v>817089</v>
      </c>
      <c r="W126" s="9">
        <f t="shared" si="1865"/>
        <v>1677</v>
      </c>
      <c r="X126" s="9">
        <f t="shared" si="1865"/>
        <v>2491</v>
      </c>
      <c r="Y126" s="9">
        <f t="shared" si="1865"/>
        <v>69006</v>
      </c>
      <c r="Z126" s="9">
        <f t="shared" si="1865"/>
        <v>24841</v>
      </c>
      <c r="AA126" s="9">
        <f t="shared" si="1865"/>
        <v>18187</v>
      </c>
      <c r="AB126" s="9">
        <f t="shared" si="1865"/>
        <v>21071</v>
      </c>
      <c r="AC126" s="9">
        <f t="shared" si="1865"/>
        <v>1783584</v>
      </c>
      <c r="AD126" s="221">
        <f t="shared" ref="AD126:AD129" si="1866">SUM(C126:AC126)</f>
        <v>62817858</v>
      </c>
      <c r="AE126" s="5">
        <f t="shared" ref="AE126:BH127" si="1867">AE5+AE16+AE27+AE38+AE49+AE60+AE71+AE82+AE93+AE104+AE115</f>
        <v>57158</v>
      </c>
      <c r="AF126" s="5">
        <f t="shared" si="1867"/>
        <v>25705</v>
      </c>
      <c r="AG126" s="5">
        <f t="shared" si="1867"/>
        <v>191838</v>
      </c>
      <c r="AH126" s="5">
        <f t="shared" si="1867"/>
        <v>0</v>
      </c>
      <c r="AI126" s="5">
        <f t="shared" si="1867"/>
        <v>0</v>
      </c>
      <c r="AJ126" s="5">
        <f t="shared" si="1867"/>
        <v>44171</v>
      </c>
      <c r="AK126" s="5">
        <f t="shared" si="1867"/>
        <v>2242238</v>
      </c>
      <c r="AL126" s="5">
        <f t="shared" si="1867"/>
        <v>1292222</v>
      </c>
      <c r="AM126" s="5">
        <f t="shared" si="1867"/>
        <v>17754603</v>
      </c>
      <c r="AN126" s="5">
        <f t="shared" si="1867"/>
        <v>483036</v>
      </c>
      <c r="AO126" s="16">
        <f t="shared" si="1867"/>
        <v>4228574</v>
      </c>
      <c r="AP126" s="5">
        <f t="shared" si="1867"/>
        <v>16683085</v>
      </c>
      <c r="AQ126" s="16">
        <f t="shared" si="1867"/>
        <v>857293</v>
      </c>
      <c r="AR126" s="5">
        <f t="shared" si="1867"/>
        <v>131990</v>
      </c>
      <c r="AS126" s="5">
        <f t="shared" si="1867"/>
        <v>0</v>
      </c>
      <c r="AT126" s="5">
        <f t="shared" si="1867"/>
        <v>0</v>
      </c>
      <c r="AU126" s="5">
        <f t="shared" si="1867"/>
        <v>100132</v>
      </c>
      <c r="AV126" s="5">
        <f t="shared" si="1867"/>
        <v>1</v>
      </c>
      <c r="AW126" s="5">
        <f t="shared" si="1867"/>
        <v>17185</v>
      </c>
      <c r="AX126" s="5">
        <f t="shared" si="1867"/>
        <v>36455</v>
      </c>
      <c r="AY126" s="5">
        <f t="shared" si="1867"/>
        <v>5766</v>
      </c>
      <c r="AZ126" s="5">
        <f t="shared" si="1867"/>
        <v>16819</v>
      </c>
      <c r="BA126" s="5">
        <f t="shared" si="1867"/>
        <v>1450000</v>
      </c>
      <c r="BB126" s="16">
        <f t="shared" si="1867"/>
        <v>1928326</v>
      </c>
      <c r="BC126" s="5">
        <f t="shared" si="1867"/>
        <v>224807</v>
      </c>
      <c r="BD126" s="5">
        <f t="shared" si="1867"/>
        <v>223462</v>
      </c>
      <c r="BE126" s="5">
        <f t="shared" si="1867"/>
        <v>115</v>
      </c>
      <c r="BF126" s="5">
        <f t="shared" si="1867"/>
        <v>298067</v>
      </c>
      <c r="BG126" s="11">
        <f t="shared" si="1867"/>
        <v>82901318</v>
      </c>
      <c r="BH126" s="16">
        <f t="shared" si="1867"/>
        <v>131194366</v>
      </c>
      <c r="BI126" s="220">
        <f>AD126+BH126</f>
        <v>194012224</v>
      </c>
      <c r="BJ126" s="5">
        <f t="shared" ref="BJ126:BK129" si="1868">BJ5+BJ16+BJ27+BJ38+BJ49+BJ60+BJ71+BJ82+BJ93+BJ104+BJ115</f>
        <v>80971061</v>
      </c>
      <c r="BK126" s="49">
        <f t="shared" si="1868"/>
        <v>113041163</v>
      </c>
      <c r="BM126" s="30">
        <f>BK126-AD126</f>
        <v>50223305</v>
      </c>
    </row>
    <row r="127" spans="1:118" s="41" customFormat="1">
      <c r="A127" s="134"/>
      <c r="B127" s="210" t="s">
        <v>429</v>
      </c>
      <c r="C127" s="10">
        <f t="shared" si="1865"/>
        <v>24720904</v>
      </c>
      <c r="D127" s="10">
        <f t="shared" si="1865"/>
        <v>11812363</v>
      </c>
      <c r="E127" s="10">
        <f t="shared" si="1865"/>
        <v>1024534</v>
      </c>
      <c r="F127" s="10">
        <f t="shared" si="1865"/>
        <v>3096744</v>
      </c>
      <c r="G127" s="10">
        <f t="shared" si="1865"/>
        <v>1724852</v>
      </c>
      <c r="H127" s="10">
        <f t="shared" si="1865"/>
        <v>3488446</v>
      </c>
      <c r="I127" s="10">
        <f t="shared" si="1865"/>
        <v>0</v>
      </c>
      <c r="J127" s="10">
        <f t="shared" si="1865"/>
        <v>2737782</v>
      </c>
      <c r="K127" s="10">
        <f t="shared" si="1865"/>
        <v>176345</v>
      </c>
      <c r="L127" s="10">
        <f t="shared" si="1865"/>
        <v>732162</v>
      </c>
      <c r="M127" s="10">
        <f t="shared" si="1865"/>
        <v>1304974</v>
      </c>
      <c r="N127" s="10">
        <f t="shared" si="1865"/>
        <v>33877</v>
      </c>
      <c r="O127" s="10">
        <f t="shared" si="1865"/>
        <v>91279</v>
      </c>
      <c r="P127" s="10">
        <f t="shared" si="1865"/>
        <v>1136966</v>
      </c>
      <c r="Q127" s="10">
        <f t="shared" si="1865"/>
        <v>0</v>
      </c>
      <c r="R127" s="10">
        <f t="shared" si="1865"/>
        <v>90890</v>
      </c>
      <c r="S127" s="10">
        <f t="shared" si="1865"/>
        <v>959398</v>
      </c>
      <c r="T127" s="10">
        <f t="shared" si="1865"/>
        <v>1506380</v>
      </c>
      <c r="U127" s="10">
        <f t="shared" si="1865"/>
        <v>0</v>
      </c>
      <c r="V127" s="10">
        <f t="shared" si="1865"/>
        <v>747750</v>
      </c>
      <c r="W127" s="10">
        <f t="shared" si="1865"/>
        <v>1494</v>
      </c>
      <c r="X127" s="10">
        <f t="shared" si="1865"/>
        <v>1950</v>
      </c>
      <c r="Y127" s="10">
        <f t="shared" si="1865"/>
        <v>66673</v>
      </c>
      <c r="Z127" s="10">
        <f t="shared" si="1865"/>
        <v>24542</v>
      </c>
      <c r="AA127" s="10">
        <f t="shared" si="1865"/>
        <v>15067</v>
      </c>
      <c r="AB127" s="10">
        <f t="shared" si="1865"/>
        <v>19544</v>
      </c>
      <c r="AC127" s="10">
        <f t="shared" si="1865"/>
        <v>1611087</v>
      </c>
      <c r="AD127" s="221">
        <f t="shared" si="1866"/>
        <v>57126003</v>
      </c>
      <c r="AE127" s="6">
        <f t="shared" ref="AE127:BG127" si="1869">AE6+AE17+AE28+AE39+AE50+AE61+AE72+AE83+AE94+AE105+AE116</f>
        <v>52056</v>
      </c>
      <c r="AF127" s="6">
        <f t="shared" si="1869"/>
        <v>24260</v>
      </c>
      <c r="AG127" s="6">
        <f t="shared" si="1869"/>
        <v>173662</v>
      </c>
      <c r="AH127" s="6">
        <f t="shared" si="1869"/>
        <v>0</v>
      </c>
      <c r="AI127" s="6">
        <f t="shared" si="1869"/>
        <v>0</v>
      </c>
      <c r="AJ127" s="6">
        <f t="shared" si="1869"/>
        <v>37684</v>
      </c>
      <c r="AK127" s="6">
        <f t="shared" si="1869"/>
        <v>1976274</v>
      </c>
      <c r="AL127" s="6">
        <f t="shared" si="1869"/>
        <v>1168757</v>
      </c>
      <c r="AM127" s="6">
        <f t="shared" si="1869"/>
        <v>16558715</v>
      </c>
      <c r="AN127" s="6">
        <f t="shared" si="1869"/>
        <v>413642</v>
      </c>
      <c r="AO127" s="6">
        <f t="shared" si="1869"/>
        <v>3821918</v>
      </c>
      <c r="AP127" s="6">
        <f t="shared" si="1869"/>
        <v>16051255</v>
      </c>
      <c r="AQ127" s="6">
        <f t="shared" si="1869"/>
        <v>754174</v>
      </c>
      <c r="AR127" s="6">
        <f t="shared" si="1869"/>
        <v>128781</v>
      </c>
      <c r="AS127" s="6">
        <f t="shared" si="1869"/>
        <v>0</v>
      </c>
      <c r="AT127" s="6">
        <f t="shared" si="1869"/>
        <v>0</v>
      </c>
      <c r="AU127" s="6">
        <f t="shared" si="1869"/>
        <v>84947</v>
      </c>
      <c r="AV127" s="6">
        <f t="shared" si="1869"/>
        <v>0</v>
      </c>
      <c r="AW127" s="6">
        <f t="shared" si="1869"/>
        <v>12891</v>
      </c>
      <c r="AX127" s="6">
        <f t="shared" si="1869"/>
        <v>30792</v>
      </c>
      <c r="AY127" s="6">
        <f t="shared" si="1869"/>
        <v>4325</v>
      </c>
      <c r="AZ127" s="10">
        <f t="shared" si="1869"/>
        <v>16819</v>
      </c>
      <c r="BA127" s="6">
        <f t="shared" si="1869"/>
        <v>1409252</v>
      </c>
      <c r="BB127" s="6">
        <f t="shared" si="1869"/>
        <v>1703751</v>
      </c>
      <c r="BC127" s="6">
        <f t="shared" si="1869"/>
        <v>203770</v>
      </c>
      <c r="BD127" s="6">
        <f t="shared" si="1869"/>
        <v>202543</v>
      </c>
      <c r="BE127" s="6">
        <f t="shared" si="1869"/>
        <v>106</v>
      </c>
      <c r="BF127" s="6">
        <f t="shared" si="1869"/>
        <v>254914</v>
      </c>
      <c r="BG127" s="10">
        <f t="shared" si="1869"/>
        <v>2630422</v>
      </c>
      <c r="BH127" s="6">
        <f t="shared" si="1867"/>
        <v>47715710</v>
      </c>
      <c r="BI127" s="274">
        <f>AD127+BH127</f>
        <v>104841713</v>
      </c>
      <c r="BJ127" s="6">
        <f t="shared" si="1868"/>
        <v>1058638</v>
      </c>
      <c r="BK127" s="10">
        <f t="shared" si="1868"/>
        <v>103783075</v>
      </c>
      <c r="BM127" s="211">
        <f t="shared" ref="BM127:BM132" si="1870">BK127-AD127</f>
        <v>46657072</v>
      </c>
    </row>
    <row r="128" spans="1:118">
      <c r="B128" s="12" t="s">
        <v>430</v>
      </c>
      <c r="C128" s="5">
        <f t="shared" ref="C128:AC128" si="1871">C7+C18+C29+C40+C51+C62+C73+C84+C95+C106+C117</f>
        <v>24102878</v>
      </c>
      <c r="D128" s="5">
        <f t="shared" si="1871"/>
        <v>9341969</v>
      </c>
      <c r="E128" s="5">
        <f t="shared" si="1871"/>
        <v>1018173</v>
      </c>
      <c r="F128" s="5">
        <f t="shared" si="1871"/>
        <v>2955669</v>
      </c>
      <c r="G128" s="5">
        <f t="shared" si="1871"/>
        <v>1557747</v>
      </c>
      <c r="H128" s="5">
        <f t="shared" si="1871"/>
        <v>3063320</v>
      </c>
      <c r="I128" s="5">
        <f t="shared" si="1871"/>
        <v>0</v>
      </c>
      <c r="J128" s="5">
        <f t="shared" si="1871"/>
        <v>2572325</v>
      </c>
      <c r="K128" s="5">
        <f t="shared" si="1871"/>
        <v>126688</v>
      </c>
      <c r="L128" s="5">
        <f t="shared" si="1871"/>
        <v>527616</v>
      </c>
      <c r="M128" s="5">
        <f t="shared" si="1871"/>
        <v>1254190</v>
      </c>
      <c r="N128" s="5">
        <f t="shared" si="1871"/>
        <v>14453</v>
      </c>
      <c r="O128" s="5">
        <f t="shared" si="1871"/>
        <v>78197</v>
      </c>
      <c r="P128" s="5">
        <f t="shared" si="1871"/>
        <v>1111034</v>
      </c>
      <c r="Q128" s="5">
        <f t="shared" si="1871"/>
        <v>0</v>
      </c>
      <c r="R128" s="5">
        <f t="shared" si="1871"/>
        <v>81585</v>
      </c>
      <c r="S128" s="5">
        <f t="shared" si="1871"/>
        <v>889988</v>
      </c>
      <c r="T128" s="5">
        <f t="shared" si="1871"/>
        <v>1153151</v>
      </c>
      <c r="U128" s="5">
        <f t="shared" si="1871"/>
        <v>0</v>
      </c>
      <c r="V128" s="16">
        <f t="shared" si="1871"/>
        <v>625296</v>
      </c>
      <c r="W128" s="5">
        <f t="shared" si="1871"/>
        <v>1293</v>
      </c>
      <c r="X128" s="5">
        <f t="shared" si="1871"/>
        <v>0</v>
      </c>
      <c r="Y128" s="5">
        <f t="shared" si="1871"/>
        <v>55755</v>
      </c>
      <c r="Z128" s="5">
        <f t="shared" si="1871"/>
        <v>29682</v>
      </c>
      <c r="AA128" s="5">
        <f t="shared" si="1871"/>
        <v>13544</v>
      </c>
      <c r="AB128" s="5">
        <f t="shared" si="1871"/>
        <v>1097</v>
      </c>
      <c r="AC128" s="16">
        <f t="shared" si="1871"/>
        <v>1602800</v>
      </c>
      <c r="AD128" s="221">
        <f t="shared" si="1866"/>
        <v>52178450</v>
      </c>
      <c r="AE128" s="5">
        <f t="shared" ref="AE128:BH128" si="1872">AE7+AE18+AE29+AE40+AE51+AE62+AE73+AE84+AE95+AE106+AE117</f>
        <v>51280</v>
      </c>
      <c r="AF128" s="5">
        <f t="shared" si="1872"/>
        <v>21004</v>
      </c>
      <c r="AG128" s="5">
        <f t="shared" si="1872"/>
        <v>164491</v>
      </c>
      <c r="AH128" s="5">
        <f t="shared" si="1872"/>
        <v>0</v>
      </c>
      <c r="AI128" s="5">
        <f t="shared" si="1872"/>
        <v>0</v>
      </c>
      <c r="AJ128" s="5">
        <f t="shared" si="1872"/>
        <v>30500</v>
      </c>
      <c r="AK128" s="5">
        <f t="shared" si="1872"/>
        <v>1932263</v>
      </c>
      <c r="AL128" s="5">
        <f t="shared" si="1872"/>
        <v>1244265</v>
      </c>
      <c r="AM128" s="5">
        <f t="shared" si="1872"/>
        <v>15263854</v>
      </c>
      <c r="AN128" s="5">
        <f t="shared" si="1872"/>
        <v>319037</v>
      </c>
      <c r="AO128" s="16">
        <f t="shared" si="1872"/>
        <v>3565116</v>
      </c>
      <c r="AP128" s="5">
        <f t="shared" si="1872"/>
        <v>17465444</v>
      </c>
      <c r="AQ128" s="16">
        <f t="shared" si="1872"/>
        <v>640168</v>
      </c>
      <c r="AR128" s="5">
        <f t="shared" si="1872"/>
        <v>115129</v>
      </c>
      <c r="AS128" s="5">
        <f t="shared" si="1872"/>
        <v>0</v>
      </c>
      <c r="AT128" s="5">
        <f t="shared" si="1872"/>
        <v>0</v>
      </c>
      <c r="AU128" s="5">
        <f t="shared" si="1872"/>
        <v>71012</v>
      </c>
      <c r="AV128" s="5">
        <f t="shared" si="1872"/>
        <v>0</v>
      </c>
      <c r="AW128" s="5">
        <f t="shared" si="1872"/>
        <v>21174</v>
      </c>
      <c r="AX128" s="5">
        <f t="shared" si="1872"/>
        <v>16286</v>
      </c>
      <c r="AY128" s="5">
        <f t="shared" si="1872"/>
        <v>7343</v>
      </c>
      <c r="AZ128" s="5">
        <f t="shared" si="1872"/>
        <v>391810</v>
      </c>
      <c r="BA128" s="5">
        <f t="shared" si="1872"/>
        <v>3154054</v>
      </c>
      <c r="BB128" s="16">
        <f t="shared" si="1872"/>
        <v>1644468</v>
      </c>
      <c r="BC128" s="5">
        <f t="shared" si="1872"/>
        <v>187052</v>
      </c>
      <c r="BD128" s="5">
        <f t="shared" si="1872"/>
        <v>185907</v>
      </c>
      <c r="BE128" s="5">
        <f t="shared" si="1872"/>
        <v>0</v>
      </c>
      <c r="BF128" s="5">
        <f t="shared" si="1872"/>
        <v>241240</v>
      </c>
      <c r="BG128" s="11">
        <f t="shared" si="1872"/>
        <v>73230519</v>
      </c>
      <c r="BH128" s="9">
        <f t="shared" si="1872"/>
        <v>119963416</v>
      </c>
      <c r="BI128" s="275">
        <f>AD128+BH128</f>
        <v>172141866</v>
      </c>
      <c r="BJ128" s="5">
        <f t="shared" si="1868"/>
        <v>71782666</v>
      </c>
      <c r="BK128" s="49">
        <f t="shared" si="1868"/>
        <v>100359200</v>
      </c>
      <c r="BL128" s="30">
        <f>'Upto Month COPPY'!N61-'Upto Month COPPY'!M61</f>
        <v>100359196</v>
      </c>
      <c r="BM128" s="30">
        <f t="shared" si="1870"/>
        <v>48180750</v>
      </c>
    </row>
    <row r="129" spans="1:65">
      <c r="A129" s="128"/>
      <c r="B129" s="180" t="s">
        <v>431</v>
      </c>
      <c r="C129" s="5">
        <f t="shared" ref="C129:AC129" si="1873">C8+C19+C30+C41+C52+C63+C74+C85+C96+C107+C118</f>
        <v>24946709</v>
      </c>
      <c r="D129" s="5">
        <f t="shared" si="1873"/>
        <v>11893955</v>
      </c>
      <c r="E129" s="5">
        <f t="shared" si="1873"/>
        <v>1012665</v>
      </c>
      <c r="F129" s="5">
        <f t="shared" si="1873"/>
        <v>3095362</v>
      </c>
      <c r="G129" s="5">
        <f t="shared" si="1873"/>
        <v>1719940</v>
      </c>
      <c r="H129" s="5">
        <f t="shared" si="1873"/>
        <v>3549910</v>
      </c>
      <c r="I129" s="5">
        <f t="shared" si="1873"/>
        <v>0</v>
      </c>
      <c r="J129" s="5">
        <f t="shared" si="1873"/>
        <v>2807906</v>
      </c>
      <c r="K129" s="5">
        <f t="shared" si="1873"/>
        <v>204072</v>
      </c>
      <c r="L129" s="5">
        <f t="shared" si="1873"/>
        <v>775714</v>
      </c>
      <c r="M129" s="5">
        <f t="shared" si="1873"/>
        <v>1338630</v>
      </c>
      <c r="N129" s="5">
        <f t="shared" si="1873"/>
        <v>14248</v>
      </c>
      <c r="O129" s="5">
        <f t="shared" si="1873"/>
        <v>99834</v>
      </c>
      <c r="P129" s="5">
        <f t="shared" si="1873"/>
        <v>1199398</v>
      </c>
      <c r="Q129" s="5">
        <f t="shared" si="1873"/>
        <v>0</v>
      </c>
      <c r="R129" s="5">
        <f t="shared" si="1873"/>
        <v>94447</v>
      </c>
      <c r="S129" s="5">
        <f t="shared" si="1873"/>
        <v>999246</v>
      </c>
      <c r="T129" s="5">
        <f t="shared" si="1873"/>
        <v>1719784</v>
      </c>
      <c r="U129" s="5">
        <f t="shared" si="1873"/>
        <v>0</v>
      </c>
      <c r="V129" s="16">
        <f t="shared" si="1873"/>
        <v>620690</v>
      </c>
      <c r="W129" s="5">
        <f t="shared" si="1873"/>
        <v>1222</v>
      </c>
      <c r="X129" s="5">
        <f t="shared" si="1873"/>
        <v>0</v>
      </c>
      <c r="Y129" s="5">
        <f t="shared" si="1873"/>
        <v>43969</v>
      </c>
      <c r="Z129" s="5">
        <f t="shared" si="1873"/>
        <v>12314</v>
      </c>
      <c r="AA129" s="5">
        <f t="shared" si="1873"/>
        <v>12549</v>
      </c>
      <c r="AB129" s="5">
        <f t="shared" si="1873"/>
        <v>635</v>
      </c>
      <c r="AC129" s="16">
        <f t="shared" si="1873"/>
        <v>1297631</v>
      </c>
      <c r="AD129" s="221">
        <f t="shared" si="1866"/>
        <v>57460830</v>
      </c>
      <c r="AE129" s="5">
        <f t="shared" ref="AE129:BH129" si="1874">AE8+AE19+AE30+AE41+AE52+AE63+AE74+AE85+AE96+AE107+AE118</f>
        <v>58222</v>
      </c>
      <c r="AF129" s="5">
        <f t="shared" si="1874"/>
        <v>28708</v>
      </c>
      <c r="AG129" s="5">
        <f t="shared" si="1874"/>
        <v>191996</v>
      </c>
      <c r="AH129" s="5">
        <f t="shared" si="1874"/>
        <v>128</v>
      </c>
      <c r="AI129" s="5">
        <f t="shared" si="1874"/>
        <v>423</v>
      </c>
      <c r="AJ129" s="5">
        <f t="shared" si="1874"/>
        <v>28194</v>
      </c>
      <c r="AK129" s="5">
        <f t="shared" si="1874"/>
        <v>1965665</v>
      </c>
      <c r="AL129" s="5">
        <f t="shared" si="1874"/>
        <v>1308581</v>
      </c>
      <c r="AM129" s="5">
        <f t="shared" si="1874"/>
        <v>15638199</v>
      </c>
      <c r="AN129" s="5">
        <f t="shared" si="1874"/>
        <v>437690</v>
      </c>
      <c r="AO129" s="9">
        <f>AO8+AO19+AO30+AO41+AO52+AO63+AO74+AO85+AO96+AO107+AO118</f>
        <v>4102656</v>
      </c>
      <c r="AP129" s="5">
        <f t="shared" si="1874"/>
        <v>200259</v>
      </c>
      <c r="AQ129" s="16">
        <f t="shared" si="1874"/>
        <v>702479</v>
      </c>
      <c r="AR129" s="5">
        <f t="shared" si="1874"/>
        <v>114054</v>
      </c>
      <c r="AS129" s="5">
        <f t="shared" si="1874"/>
        <v>0</v>
      </c>
      <c r="AT129" s="5">
        <f t="shared" si="1874"/>
        <v>0</v>
      </c>
      <c r="AU129" s="5">
        <f t="shared" si="1874"/>
        <v>91807</v>
      </c>
      <c r="AV129" s="5">
        <f t="shared" si="1874"/>
        <v>0</v>
      </c>
      <c r="AW129" s="5">
        <f t="shared" si="1874"/>
        <v>14285</v>
      </c>
      <c r="AX129" s="5">
        <f t="shared" si="1874"/>
        <v>20197</v>
      </c>
      <c r="AY129" s="5">
        <f t="shared" si="1874"/>
        <v>4345</v>
      </c>
      <c r="AZ129" s="5">
        <f t="shared" si="1874"/>
        <v>12165</v>
      </c>
      <c r="BA129" s="5">
        <f t="shared" si="1874"/>
        <v>1546619</v>
      </c>
      <c r="BB129" s="16">
        <f t="shared" si="1874"/>
        <v>1461282</v>
      </c>
      <c r="BC129" s="5">
        <f t="shared" si="1874"/>
        <v>210730</v>
      </c>
      <c r="BD129" s="5">
        <f t="shared" si="1874"/>
        <v>210727</v>
      </c>
      <c r="BE129" s="5">
        <f t="shared" si="1874"/>
        <v>3</v>
      </c>
      <c r="BF129" s="5">
        <f t="shared" si="1874"/>
        <v>202665</v>
      </c>
      <c r="BG129" s="5">
        <f t="shared" si="1874"/>
        <v>79153765</v>
      </c>
      <c r="BH129" s="16">
        <f t="shared" si="1874"/>
        <v>107705844</v>
      </c>
      <c r="BI129" s="275">
        <f>AD129+BH129</f>
        <v>165166674</v>
      </c>
      <c r="BJ129" s="5">
        <f t="shared" si="1868"/>
        <v>77806675</v>
      </c>
      <c r="BK129" s="49">
        <f t="shared" si="1868"/>
        <v>87359999</v>
      </c>
      <c r="BL129" s="30">
        <f>'Upto Month Current'!N61-'Upto Month Current'!M61</f>
        <v>87359996</v>
      </c>
      <c r="BM129" s="30">
        <f t="shared" si="1870"/>
        <v>29899169</v>
      </c>
    </row>
    <row r="130" spans="1:65">
      <c r="A130" s="128"/>
      <c r="B130" s="5" t="s">
        <v>130</v>
      </c>
      <c r="C130" s="11">
        <f>C129-C127</f>
        <v>225805</v>
      </c>
      <c r="D130" s="11">
        <f t="shared" ref="D130" si="1875">D129-D127</f>
        <v>81592</v>
      </c>
      <c r="E130" s="11">
        <f t="shared" ref="E130" si="1876">E129-E127</f>
        <v>-11869</v>
      </c>
      <c r="F130" s="11">
        <f t="shared" ref="F130" si="1877">F129-F127</f>
        <v>-1382</v>
      </c>
      <c r="G130" s="11">
        <f t="shared" ref="G130" si="1878">G129-G127</f>
        <v>-4912</v>
      </c>
      <c r="H130" s="11">
        <f t="shared" ref="H130" si="1879">H129-H127</f>
        <v>61464</v>
      </c>
      <c r="I130" s="11">
        <f t="shared" ref="I130" si="1880">I129-I127</f>
        <v>0</v>
      </c>
      <c r="J130" s="11">
        <f t="shared" ref="J130" si="1881">J129-J127</f>
        <v>70124</v>
      </c>
      <c r="K130" s="11">
        <f t="shared" ref="K130" si="1882">K129-K127</f>
        <v>27727</v>
      </c>
      <c r="L130" s="11">
        <f t="shared" ref="L130" si="1883">L129-L127</f>
        <v>43552</v>
      </c>
      <c r="M130" s="11">
        <f t="shared" ref="M130" si="1884">M129-M127</f>
        <v>33656</v>
      </c>
      <c r="N130" s="11">
        <f t="shared" ref="N130" si="1885">N129-N127</f>
        <v>-19629</v>
      </c>
      <c r="O130" s="11">
        <f t="shared" ref="O130" si="1886">O129-O127</f>
        <v>8555</v>
      </c>
      <c r="P130" s="11">
        <f t="shared" ref="P130" si="1887">P129-P127</f>
        <v>62432</v>
      </c>
      <c r="Q130" s="11">
        <f t="shared" ref="Q130" si="1888">Q129-Q127</f>
        <v>0</v>
      </c>
      <c r="R130" s="11">
        <f t="shared" ref="R130" si="1889">R129-R127</f>
        <v>3557</v>
      </c>
      <c r="S130" s="11">
        <f t="shared" ref="S130" si="1890">S129-S127</f>
        <v>39848</v>
      </c>
      <c r="T130" s="11">
        <f t="shared" ref="T130:U130" si="1891">T129-T127</f>
        <v>213404</v>
      </c>
      <c r="U130" s="11">
        <f t="shared" si="1891"/>
        <v>0</v>
      </c>
      <c r="V130" s="9">
        <f t="shared" ref="V130" si="1892">V129-V127</f>
        <v>-127060</v>
      </c>
      <c r="W130" s="11">
        <f t="shared" ref="W130" si="1893">W129-W127</f>
        <v>-272</v>
      </c>
      <c r="X130" s="11">
        <f t="shared" ref="X130" si="1894">X129-X127</f>
        <v>-1950</v>
      </c>
      <c r="Y130" s="11">
        <f t="shared" ref="Y130" si="1895">Y129-Y127</f>
        <v>-22704</v>
      </c>
      <c r="Z130" s="11">
        <f t="shared" ref="Z130" si="1896">Z129-Z127</f>
        <v>-12228</v>
      </c>
      <c r="AA130" s="11">
        <f t="shared" ref="AA130:AD130" si="1897">AA129-AA127</f>
        <v>-2518</v>
      </c>
      <c r="AB130" s="11">
        <f t="shared" ref="AB130" si="1898">AB129-AB127</f>
        <v>-18909</v>
      </c>
      <c r="AC130" s="9">
        <f t="shared" si="1897"/>
        <v>-313456</v>
      </c>
      <c r="AD130" s="216">
        <f t="shared" si="1897"/>
        <v>334827</v>
      </c>
      <c r="AE130" s="11">
        <f t="shared" ref="AE130" si="1899">AE129-AE127</f>
        <v>6166</v>
      </c>
      <c r="AF130" s="11">
        <f t="shared" ref="AF130" si="1900">AF129-AF127</f>
        <v>4448</v>
      </c>
      <c r="AG130" s="11">
        <f t="shared" ref="AG130" si="1901">AG129-AG127</f>
        <v>18334</v>
      </c>
      <c r="AH130" s="11">
        <f t="shared" ref="AH130" si="1902">AH129-AH127</f>
        <v>128</v>
      </c>
      <c r="AI130" s="11">
        <f t="shared" ref="AI130" si="1903">AI129-AI127</f>
        <v>423</v>
      </c>
      <c r="AJ130" s="11">
        <f t="shared" ref="AJ130" si="1904">AJ129-AJ127</f>
        <v>-9490</v>
      </c>
      <c r="AK130" s="11">
        <f t="shared" ref="AK130" si="1905">AK129-AK127</f>
        <v>-10609</v>
      </c>
      <c r="AL130" s="11">
        <f t="shared" ref="AL130" si="1906">AL129-AL127</f>
        <v>139824</v>
      </c>
      <c r="AM130" s="11">
        <f t="shared" ref="AM130" si="1907">AM129-AM127</f>
        <v>-920516</v>
      </c>
      <c r="AN130" s="11">
        <f t="shared" ref="AN130" si="1908">AN129-AN127</f>
        <v>24048</v>
      </c>
      <c r="AO130" s="9">
        <f>AO129-AO127</f>
        <v>280738</v>
      </c>
      <c r="AP130" s="11">
        <f t="shared" ref="AP130" si="1909">AP129-AP127</f>
        <v>-15850996</v>
      </c>
      <c r="AQ130" s="9">
        <f t="shared" ref="AQ130" si="1910">AQ129-AQ127</f>
        <v>-51695</v>
      </c>
      <c r="AR130" s="11">
        <f t="shared" ref="AR130" si="1911">AR129-AR127</f>
        <v>-14727</v>
      </c>
      <c r="AS130" s="11">
        <f t="shared" ref="AS130" si="1912">AS129-AS127</f>
        <v>0</v>
      </c>
      <c r="AT130" s="11">
        <f t="shared" ref="AT130" si="1913">AT129-AT127</f>
        <v>0</v>
      </c>
      <c r="AU130" s="11">
        <f t="shared" ref="AU130" si="1914">AU129-AU127</f>
        <v>6860</v>
      </c>
      <c r="AV130" s="11">
        <f t="shared" ref="AV130" si="1915">AV129-AV127</f>
        <v>0</v>
      </c>
      <c r="AW130" s="11">
        <f t="shared" ref="AW130" si="1916">AW129-AW127</f>
        <v>1394</v>
      </c>
      <c r="AX130" s="11">
        <f t="shared" ref="AX130" si="1917">AX129-AX127</f>
        <v>-10595</v>
      </c>
      <c r="AY130" s="11">
        <f t="shared" ref="AY130" si="1918">AY129-AY127</f>
        <v>20</v>
      </c>
      <c r="AZ130" s="11">
        <f t="shared" ref="AZ130" si="1919">AZ129-AZ127</f>
        <v>-4654</v>
      </c>
      <c r="BA130" s="11">
        <f t="shared" ref="BA130" si="1920">BA129-BA127</f>
        <v>137367</v>
      </c>
      <c r="BB130" s="9">
        <f t="shared" ref="BB130" si="1921">BB129-BB127</f>
        <v>-242469</v>
      </c>
      <c r="BC130" s="11">
        <f t="shared" ref="BC130" si="1922">BC129-BC127</f>
        <v>6960</v>
      </c>
      <c r="BD130" s="11">
        <f t="shared" ref="BD130" si="1923">BD129-BD127</f>
        <v>8184</v>
      </c>
      <c r="BE130" s="11">
        <f t="shared" ref="BE130" si="1924">BE129-BE127</f>
        <v>-103</v>
      </c>
      <c r="BF130" s="11">
        <f t="shared" ref="BF130" si="1925">BF129-BF127</f>
        <v>-52249</v>
      </c>
      <c r="BG130" s="11">
        <f t="shared" ref="BG130" si="1926">BG129-BG127</f>
        <v>76523343</v>
      </c>
      <c r="BH130" s="9">
        <f t="shared" ref="BH130:BI130" si="1927">BH129-BH127</f>
        <v>59990134</v>
      </c>
      <c r="BI130" s="9">
        <f t="shared" si="1927"/>
        <v>60324961</v>
      </c>
      <c r="BJ130" s="11">
        <f t="shared" ref="BJ130" si="1928">BJ129-BJ127</f>
        <v>76748037</v>
      </c>
      <c r="BK130" s="49">
        <f t="shared" ref="BK130" si="1929">BK129-BK127</f>
        <v>-16423076</v>
      </c>
      <c r="BM130" s="30">
        <f t="shared" si="1870"/>
        <v>-16757903</v>
      </c>
    </row>
    <row r="131" spans="1:65">
      <c r="A131" s="128"/>
      <c r="B131" s="5" t="s">
        <v>131</v>
      </c>
      <c r="C131" s="13">
        <f>C130/C127</f>
        <v>9.1341724396486468E-3</v>
      </c>
      <c r="D131" s="13">
        <f t="shared" ref="D131" si="1930">D130/D127</f>
        <v>6.9073393697772411E-3</v>
      </c>
      <c r="E131" s="13">
        <f t="shared" ref="E131" si="1931">E130/E127</f>
        <v>-1.1584779031247376E-2</v>
      </c>
      <c r="F131" s="13">
        <f t="shared" ref="F131" si="1932">F130/F127</f>
        <v>-4.4627518451638236E-4</v>
      </c>
      <c r="G131" s="13">
        <f t="shared" ref="G131" si="1933">G130/G127</f>
        <v>-2.8477805632019441E-3</v>
      </c>
      <c r="H131" s="13">
        <f t="shared" ref="H131" si="1934">H130/H127</f>
        <v>1.761930670562193E-2</v>
      </c>
      <c r="I131" s="13" t="e">
        <f t="shared" ref="I131" si="1935">I130/I127</f>
        <v>#DIV/0!</v>
      </c>
      <c r="J131" s="13">
        <f t="shared" ref="J131" si="1936">J130/J127</f>
        <v>2.5613434524735718E-2</v>
      </c>
      <c r="K131" s="13">
        <f t="shared" ref="K131" si="1937">K130/K127</f>
        <v>0.15723156312909353</v>
      </c>
      <c r="L131" s="13">
        <f t="shared" ref="L131" si="1938">L130/L127</f>
        <v>5.9484103244910276E-2</v>
      </c>
      <c r="M131" s="13">
        <f t="shared" ref="M131" si="1939">M130/M127</f>
        <v>2.5790552148931702E-2</v>
      </c>
      <c r="N131" s="13">
        <f t="shared" ref="N131" si="1940">N130/N127</f>
        <v>-0.57941966525961563</v>
      </c>
      <c r="O131" s="13">
        <f t="shared" ref="O131" si="1941">O130/O127</f>
        <v>9.372363851488294E-2</v>
      </c>
      <c r="P131" s="13">
        <f t="shared" ref="P131" si="1942">P130/P127</f>
        <v>5.4911052749158723E-2</v>
      </c>
      <c r="Q131" s="13" t="e">
        <f t="shared" ref="Q131" si="1943">Q130/Q127</f>
        <v>#DIV/0!</v>
      </c>
      <c r="R131" s="13">
        <f t="shared" ref="R131" si="1944">R130/R127</f>
        <v>3.9135218395863133E-2</v>
      </c>
      <c r="S131" s="13">
        <f t="shared" ref="S131" si="1945">S130/S127</f>
        <v>4.1534378850070566E-2</v>
      </c>
      <c r="T131" s="13">
        <f t="shared" ref="T131:U131" si="1946">T130/T127</f>
        <v>0.14166677730718677</v>
      </c>
      <c r="U131" s="13" t="e">
        <f t="shared" si="1946"/>
        <v>#DIV/0!</v>
      </c>
      <c r="V131" s="160">
        <f t="shared" ref="V131" si="1947">V130/V127</f>
        <v>-0.1699231026412571</v>
      </c>
      <c r="W131" s="13">
        <f t="shared" ref="W131" si="1948">W130/W127</f>
        <v>-0.18206157965194109</v>
      </c>
      <c r="X131" s="13">
        <f t="shared" ref="X131" si="1949">X130/X127</f>
        <v>-1</v>
      </c>
      <c r="Y131" s="13">
        <f t="shared" ref="Y131" si="1950">Y130/Y127</f>
        <v>-0.34052764987326206</v>
      </c>
      <c r="Z131" s="13">
        <f t="shared" ref="Z131" si="1951">Z130/Z127</f>
        <v>-0.49824790155651538</v>
      </c>
      <c r="AA131" s="13">
        <f t="shared" ref="AA131:AD131" si="1952">AA130/AA127</f>
        <v>-0.16712019645583062</v>
      </c>
      <c r="AB131" s="13">
        <f t="shared" ref="AB131" si="1953">AB130/AB127</f>
        <v>-0.96750920998772005</v>
      </c>
      <c r="AC131" s="160">
        <f t="shared" si="1952"/>
        <v>-0.19456180826982031</v>
      </c>
      <c r="AD131" s="217">
        <f t="shared" si="1952"/>
        <v>5.8612012466546974E-3</v>
      </c>
      <c r="AE131" s="13">
        <f t="shared" ref="AE131" si="1954">AE130/AE127</f>
        <v>0.11844936222529584</v>
      </c>
      <c r="AF131" s="13">
        <f t="shared" ref="AF131" si="1955">AF130/AF127</f>
        <v>0.18334707337180545</v>
      </c>
      <c r="AG131" s="13">
        <f t="shared" ref="AG131" si="1956">AG130/AG127</f>
        <v>0.10557289447317203</v>
      </c>
      <c r="AH131" s="13" t="e">
        <f t="shared" ref="AH131" si="1957">AH130/AH127</f>
        <v>#DIV/0!</v>
      </c>
      <c r="AI131" s="13" t="e">
        <f t="shared" ref="AI131" si="1958">AI130/AI127</f>
        <v>#DIV/0!</v>
      </c>
      <c r="AJ131" s="13">
        <f t="shared" ref="AJ131" si="1959">AJ130/AJ127</f>
        <v>-0.25183101581573081</v>
      </c>
      <c r="AK131" s="13">
        <f t="shared" ref="AK131" si="1960">AK130/AK127</f>
        <v>-5.36818275198682E-3</v>
      </c>
      <c r="AL131" s="13">
        <f t="shared" ref="AL131" si="1961">AL130/AL127</f>
        <v>0.1196347914921579</v>
      </c>
      <c r="AM131" s="13">
        <f t="shared" ref="AM131" si="1962">AM130/AM127</f>
        <v>-5.5591028651679794E-2</v>
      </c>
      <c r="AN131" s="13">
        <f t="shared" ref="AN131" si="1963">AN130/AN127</f>
        <v>5.8137229778407414E-2</v>
      </c>
      <c r="AO131" s="160">
        <f t="shared" ref="AO131" si="1964">AO130/AO127</f>
        <v>7.3454741833812232E-2</v>
      </c>
      <c r="AP131" s="13">
        <f t="shared" ref="AP131" si="1965">AP130/AP127</f>
        <v>-0.98752377929327018</v>
      </c>
      <c r="AQ131" s="160">
        <f t="shared" ref="AQ131" si="1966">AQ130/AQ127</f>
        <v>-6.8545189836828099E-2</v>
      </c>
      <c r="AR131" s="13">
        <f t="shared" ref="AR131" si="1967">AR130/AR127</f>
        <v>-0.1143569315349314</v>
      </c>
      <c r="AS131" s="13" t="e">
        <f t="shared" ref="AS131" si="1968">AS130/AS127</f>
        <v>#DIV/0!</v>
      </c>
      <c r="AT131" s="13" t="e">
        <f t="shared" ref="AT131" si="1969">AT130/AT127</f>
        <v>#DIV/0!</v>
      </c>
      <c r="AU131" s="13">
        <f t="shared" ref="AU131" si="1970">AU130/AU127</f>
        <v>8.0756236241421128E-2</v>
      </c>
      <c r="AV131" s="13" t="e">
        <f t="shared" ref="AV131" si="1971">AV130/AV127</f>
        <v>#DIV/0!</v>
      </c>
      <c r="AW131" s="13">
        <f t="shared" ref="AW131" si="1972">AW130/AW127</f>
        <v>0.1081374602435808</v>
      </c>
      <c r="AX131" s="13">
        <f t="shared" ref="AX131" si="1973">AX130/AX127</f>
        <v>-0.34408287866978438</v>
      </c>
      <c r="AY131" s="13">
        <f t="shared" ref="AY131" si="1974">AY130/AY127</f>
        <v>4.6242774566473991E-3</v>
      </c>
      <c r="AZ131" s="13">
        <f t="shared" ref="AZ131" si="1975">AZ130/AZ127</f>
        <v>-0.27671086271478684</v>
      </c>
      <c r="BA131" s="13">
        <f t="shared" ref="BA131" si="1976">BA130/BA127</f>
        <v>9.7475114457882622E-2</v>
      </c>
      <c r="BB131" s="160">
        <f t="shared" ref="BB131" si="1977">BB130/BB127</f>
        <v>-0.1423148100866852</v>
      </c>
      <c r="BC131" s="13">
        <f t="shared" ref="BC131" si="1978">BC130/BC127</f>
        <v>3.4156156450900525E-2</v>
      </c>
      <c r="BD131" s="13">
        <f t="shared" ref="BD131" si="1979">BD130/BD127</f>
        <v>4.0406234725465701E-2</v>
      </c>
      <c r="BE131" s="13">
        <f t="shared" ref="BE131" si="1980">BE130/BE127</f>
        <v>-0.97169811320754718</v>
      </c>
      <c r="BF131" s="13">
        <f t="shared" ref="BF131" si="1981">BF130/BF127</f>
        <v>-0.20496716539695742</v>
      </c>
      <c r="BG131" s="13">
        <f t="shared" ref="BG131" si="1982">BG130/BG127</f>
        <v>29.091660197489226</v>
      </c>
      <c r="BH131" s="160">
        <f t="shared" ref="BH131:BI131" si="1983">BH130/BH127</f>
        <v>1.2572407284728657</v>
      </c>
      <c r="BI131" s="160">
        <f t="shared" si="1983"/>
        <v>0.57539083704212268</v>
      </c>
      <c r="BJ131" s="13">
        <f t="shared" ref="BJ131" si="1984">BJ130/BJ127</f>
        <v>72.496960245145175</v>
      </c>
      <c r="BK131" s="50">
        <f t="shared" ref="BK131" si="1985">BK130/BK127</f>
        <v>-0.15824426092597468</v>
      </c>
      <c r="BM131" s="160">
        <f t="shared" ref="BM131" si="1986">BM130/BM127</f>
        <v>-0.3591717671438962</v>
      </c>
    </row>
    <row r="132" spans="1:65">
      <c r="A132" s="128"/>
      <c r="B132" s="5" t="s">
        <v>132</v>
      </c>
      <c r="C132" s="11">
        <f>C129-C128</f>
        <v>843831</v>
      </c>
      <c r="D132" s="11">
        <f t="shared" ref="D132:BK132" si="1987">D129-D128</f>
        <v>2551986</v>
      </c>
      <c r="E132" s="11">
        <f t="shared" si="1987"/>
        <v>-5508</v>
      </c>
      <c r="F132" s="11">
        <f t="shared" si="1987"/>
        <v>139693</v>
      </c>
      <c r="G132" s="11">
        <f t="shared" si="1987"/>
        <v>162193</v>
      </c>
      <c r="H132" s="11">
        <f t="shared" si="1987"/>
        <v>486590</v>
      </c>
      <c r="I132" s="11">
        <f t="shared" si="1987"/>
        <v>0</v>
      </c>
      <c r="J132" s="11">
        <f t="shared" si="1987"/>
        <v>235581</v>
      </c>
      <c r="K132" s="11">
        <f t="shared" si="1987"/>
        <v>77384</v>
      </c>
      <c r="L132" s="11">
        <f t="shared" si="1987"/>
        <v>248098</v>
      </c>
      <c r="M132" s="11">
        <f t="shared" si="1987"/>
        <v>84440</v>
      </c>
      <c r="N132" s="11">
        <f t="shared" si="1987"/>
        <v>-205</v>
      </c>
      <c r="O132" s="11">
        <f t="shared" si="1987"/>
        <v>21637</v>
      </c>
      <c r="P132" s="11">
        <f t="shared" si="1987"/>
        <v>88364</v>
      </c>
      <c r="Q132" s="11">
        <f t="shared" si="1987"/>
        <v>0</v>
      </c>
      <c r="R132" s="11">
        <f t="shared" si="1987"/>
        <v>12862</v>
      </c>
      <c r="S132" s="11">
        <f t="shared" si="1987"/>
        <v>109258</v>
      </c>
      <c r="T132" s="11">
        <f t="shared" si="1987"/>
        <v>566633</v>
      </c>
      <c r="U132" s="11">
        <f t="shared" ref="U132" si="1988">U129-U128</f>
        <v>0</v>
      </c>
      <c r="V132" s="9">
        <f t="shared" si="1987"/>
        <v>-4606</v>
      </c>
      <c r="W132" s="11">
        <f t="shared" si="1987"/>
        <v>-71</v>
      </c>
      <c r="X132" s="11">
        <f t="shared" si="1987"/>
        <v>0</v>
      </c>
      <c r="Y132" s="11">
        <f t="shared" si="1987"/>
        <v>-11786</v>
      </c>
      <c r="Z132" s="11">
        <f t="shared" si="1987"/>
        <v>-17368</v>
      </c>
      <c r="AA132" s="11">
        <f t="shared" si="1987"/>
        <v>-995</v>
      </c>
      <c r="AB132" s="11">
        <f t="shared" ref="AB132" si="1989">AB129-AB128</f>
        <v>-462</v>
      </c>
      <c r="AC132" s="9">
        <f t="shared" ref="AC132:AD132" si="1990">AC129-AC128</f>
        <v>-305169</v>
      </c>
      <c r="AD132" s="216">
        <f t="shared" si="1990"/>
        <v>5282380</v>
      </c>
      <c r="AE132" s="11">
        <f t="shared" si="1987"/>
        <v>6942</v>
      </c>
      <c r="AF132" s="11">
        <f t="shared" si="1987"/>
        <v>7704</v>
      </c>
      <c r="AG132" s="11">
        <f t="shared" si="1987"/>
        <v>27505</v>
      </c>
      <c r="AH132" s="11">
        <f t="shared" si="1987"/>
        <v>128</v>
      </c>
      <c r="AI132" s="11">
        <f t="shared" si="1987"/>
        <v>423</v>
      </c>
      <c r="AJ132" s="11">
        <f t="shared" si="1987"/>
        <v>-2306</v>
      </c>
      <c r="AK132" s="11">
        <f t="shared" si="1987"/>
        <v>33402</v>
      </c>
      <c r="AL132" s="11">
        <f t="shared" si="1987"/>
        <v>64316</v>
      </c>
      <c r="AM132" s="11">
        <f t="shared" si="1987"/>
        <v>374345</v>
      </c>
      <c r="AN132" s="11">
        <f t="shared" si="1987"/>
        <v>118653</v>
      </c>
      <c r="AO132" s="9">
        <f t="shared" si="1987"/>
        <v>537540</v>
      </c>
      <c r="AP132" s="11">
        <f t="shared" si="1987"/>
        <v>-17265185</v>
      </c>
      <c r="AQ132" s="9">
        <f t="shared" si="1987"/>
        <v>62311</v>
      </c>
      <c r="AR132" s="11">
        <f t="shared" si="1987"/>
        <v>-1075</v>
      </c>
      <c r="AS132" s="11">
        <f t="shared" si="1987"/>
        <v>0</v>
      </c>
      <c r="AT132" s="11">
        <f t="shared" si="1987"/>
        <v>0</v>
      </c>
      <c r="AU132" s="11">
        <f t="shared" si="1987"/>
        <v>20795</v>
      </c>
      <c r="AV132" s="11">
        <f t="shared" si="1987"/>
        <v>0</v>
      </c>
      <c r="AW132" s="11">
        <f t="shared" si="1987"/>
        <v>-6889</v>
      </c>
      <c r="AX132" s="11">
        <f t="shared" si="1987"/>
        <v>3911</v>
      </c>
      <c r="AY132" s="11">
        <f t="shared" si="1987"/>
        <v>-2998</v>
      </c>
      <c r="AZ132" s="11">
        <f t="shared" si="1987"/>
        <v>-379645</v>
      </c>
      <c r="BA132" s="11">
        <f t="shared" si="1987"/>
        <v>-1607435</v>
      </c>
      <c r="BB132" s="9">
        <f t="shared" si="1987"/>
        <v>-183186</v>
      </c>
      <c r="BC132" s="11">
        <f t="shared" si="1987"/>
        <v>23678</v>
      </c>
      <c r="BD132" s="11">
        <f t="shared" si="1987"/>
        <v>24820</v>
      </c>
      <c r="BE132" s="11">
        <f t="shared" si="1987"/>
        <v>3</v>
      </c>
      <c r="BF132" s="11">
        <f t="shared" si="1987"/>
        <v>-38575</v>
      </c>
      <c r="BG132" s="11">
        <f t="shared" si="1987"/>
        <v>5923246</v>
      </c>
      <c r="BH132" s="9">
        <f t="shared" si="1987"/>
        <v>-12257572</v>
      </c>
      <c r="BI132" s="9">
        <f t="shared" si="1987"/>
        <v>-6975192</v>
      </c>
      <c r="BJ132" s="11">
        <f t="shared" si="1987"/>
        <v>6024009</v>
      </c>
      <c r="BK132" s="49">
        <f t="shared" si="1987"/>
        <v>-12999201</v>
      </c>
      <c r="BM132" s="30">
        <f t="shared" si="1870"/>
        <v>-18281581</v>
      </c>
    </row>
    <row r="133" spans="1:65">
      <c r="A133" s="128"/>
      <c r="B133" s="5" t="s">
        <v>133</v>
      </c>
      <c r="C133" s="13">
        <f>C132/C128</f>
        <v>3.5009553630898353E-2</v>
      </c>
      <c r="D133" s="13">
        <f t="shared" ref="D133" si="1991">D132/D128</f>
        <v>0.27317431689186722</v>
      </c>
      <c r="E133" s="13">
        <f t="shared" ref="E133" si="1992">E132/E128</f>
        <v>-5.4096897089198001E-3</v>
      </c>
      <c r="F133" s="13">
        <f t="shared" ref="F133" si="1993">F132/F128</f>
        <v>4.7262734764955072E-2</v>
      </c>
      <c r="G133" s="13">
        <f t="shared" ref="G133" si="1994">G132/G128</f>
        <v>0.10412024545706074</v>
      </c>
      <c r="H133" s="13">
        <f t="shared" ref="H133" si="1995">H132/H128</f>
        <v>0.15884399932099813</v>
      </c>
      <c r="I133" s="13" t="e">
        <f t="shared" ref="I133" si="1996">I132/I128</f>
        <v>#DIV/0!</v>
      </c>
      <c r="J133" s="13">
        <f t="shared" ref="J133" si="1997">J132/J128</f>
        <v>9.1582906514534518E-2</v>
      </c>
      <c r="K133" s="13">
        <f t="shared" ref="K133" si="1998">K132/K128</f>
        <v>0.61082344026269264</v>
      </c>
      <c r="L133" s="13">
        <f t="shared" ref="L133" si="1999">L132/L128</f>
        <v>0.47022455725376033</v>
      </c>
      <c r="M133" s="13">
        <f t="shared" ref="M133" si="2000">M132/M128</f>
        <v>6.7326322168092548E-2</v>
      </c>
      <c r="N133" s="13">
        <f t="shared" ref="N133" si="2001">N132/N128</f>
        <v>-1.4183906455407182E-2</v>
      </c>
      <c r="O133" s="13">
        <f t="shared" ref="O133" si="2002">O132/O128</f>
        <v>0.27669859457523943</v>
      </c>
      <c r="P133" s="13">
        <f t="shared" ref="P133" si="2003">P132/P128</f>
        <v>7.9533119598500138E-2</v>
      </c>
      <c r="Q133" s="13" t="e">
        <f t="shared" ref="Q133" si="2004">Q132/Q128</f>
        <v>#DIV/0!</v>
      </c>
      <c r="R133" s="13">
        <f t="shared" ref="R133" si="2005">R132/R128</f>
        <v>0.15765152908010052</v>
      </c>
      <c r="S133" s="13">
        <f t="shared" ref="S133" si="2006">S132/S128</f>
        <v>0.1227634529903774</v>
      </c>
      <c r="T133" s="13">
        <f t="shared" ref="T133:U133" si="2007">T132/T128</f>
        <v>0.49137797218230744</v>
      </c>
      <c r="U133" s="13" t="e">
        <f t="shared" si="2007"/>
        <v>#DIV/0!</v>
      </c>
      <c r="V133" s="160">
        <f t="shared" ref="V133" si="2008">V132/V128</f>
        <v>-7.3661114096363958E-3</v>
      </c>
      <c r="W133" s="13">
        <f t="shared" ref="W133" si="2009">W132/W128</f>
        <v>-5.4911059551430781E-2</v>
      </c>
      <c r="X133" s="13" t="e">
        <f t="shared" ref="X133" si="2010">X132/X128</f>
        <v>#DIV/0!</v>
      </c>
      <c r="Y133" s="13">
        <f t="shared" ref="Y133" si="2011">Y132/Y128</f>
        <v>-0.21138911308402833</v>
      </c>
      <c r="Z133" s="13">
        <f t="shared" ref="Z133" si="2012">Z132/Z128</f>
        <v>-0.58513577252206728</v>
      </c>
      <c r="AA133" s="13">
        <f t="shared" ref="AA133:AD133" si="2013">AA132/AA128</f>
        <v>-7.346426461901949E-2</v>
      </c>
      <c r="AB133" s="13">
        <f t="shared" ref="AB133" si="2014">AB132/AB128</f>
        <v>-0.4211485870556062</v>
      </c>
      <c r="AC133" s="160">
        <f t="shared" si="2013"/>
        <v>-0.19039742949837785</v>
      </c>
      <c r="AD133" s="217">
        <f t="shared" si="2013"/>
        <v>0.10123681328211168</v>
      </c>
      <c r="AE133" s="13">
        <f t="shared" ref="AE133" si="2015">AE132/AE128</f>
        <v>0.13537441497659905</v>
      </c>
      <c r="AF133" s="13">
        <f t="shared" ref="AF133" si="2016">AF132/AF128</f>
        <v>0.36678727861359739</v>
      </c>
      <c r="AG133" s="13">
        <f t="shared" ref="AG133" si="2017">AG132/AG128</f>
        <v>0.16721279583685431</v>
      </c>
      <c r="AH133" s="13" t="e">
        <f t="shared" ref="AH133" si="2018">AH132/AH128</f>
        <v>#DIV/0!</v>
      </c>
      <c r="AI133" s="13" t="e">
        <f t="shared" ref="AI133" si="2019">AI132/AI128</f>
        <v>#DIV/0!</v>
      </c>
      <c r="AJ133" s="13">
        <f t="shared" ref="AJ133" si="2020">AJ132/AJ128</f>
        <v>-7.5606557377049174E-2</v>
      </c>
      <c r="AK133" s="13">
        <f t="shared" ref="AK133" si="2021">AK132/AK128</f>
        <v>1.7286466697338819E-2</v>
      </c>
      <c r="AL133" s="13">
        <f t="shared" ref="AL133" si="2022">AL132/AL128</f>
        <v>5.1689953506688688E-2</v>
      </c>
      <c r="AM133" s="13">
        <f t="shared" ref="AM133" si="2023">AM132/AM128</f>
        <v>2.4524933218045719E-2</v>
      </c>
      <c r="AN133" s="13">
        <f t="shared" ref="AN133" si="2024">AN132/AN128</f>
        <v>0.37190984117829595</v>
      </c>
      <c r="AO133" s="160">
        <f t="shared" ref="AO133" si="2025">AO132/AO128</f>
        <v>0.15077770260490822</v>
      </c>
      <c r="AP133" s="13">
        <f t="shared" ref="AP133" si="2026">AP132/AP128</f>
        <v>-0.98853398745545773</v>
      </c>
      <c r="AQ133" s="160">
        <f t="shared" ref="AQ133" si="2027">AQ132/AQ128</f>
        <v>9.7335386960922754E-2</v>
      </c>
      <c r="AR133" s="13">
        <f t="shared" ref="AR133" si="2028">AR132/AR128</f>
        <v>-9.3373520138279667E-3</v>
      </c>
      <c r="AS133" s="13" t="e">
        <f t="shared" ref="AS133" si="2029">AS132/AS128</f>
        <v>#DIV/0!</v>
      </c>
      <c r="AT133" s="13" t="e">
        <f t="shared" ref="AT133" si="2030">AT132/AT128</f>
        <v>#DIV/0!</v>
      </c>
      <c r="AU133" s="13">
        <f t="shared" ref="AU133" si="2031">AU132/AU128</f>
        <v>0.29283783022587734</v>
      </c>
      <c r="AV133" s="13" t="e">
        <f t="shared" ref="AV133" si="2032">AV132/AV128</f>
        <v>#DIV/0!</v>
      </c>
      <c r="AW133" s="13">
        <f t="shared" ref="AW133" si="2033">AW132/AW128</f>
        <v>-0.32535184660432603</v>
      </c>
      <c r="AX133" s="13">
        <f t="shared" ref="AX133" si="2034">AX132/AX128</f>
        <v>0.24014490973842564</v>
      </c>
      <c r="AY133" s="13">
        <f t="shared" ref="AY133" si="2035">AY132/AY128</f>
        <v>-0.40827999455263514</v>
      </c>
      <c r="AZ133" s="13">
        <f t="shared" ref="AZ133" si="2036">AZ132/AZ128</f>
        <v>-0.96895178785635894</v>
      </c>
      <c r="BA133" s="13">
        <f t="shared" ref="BA133" si="2037">BA132/BA128</f>
        <v>-0.50964092561509722</v>
      </c>
      <c r="BB133" s="160">
        <f t="shared" ref="BB133" si="2038">BB132/BB128</f>
        <v>-0.1113952962295405</v>
      </c>
      <c r="BC133" s="13">
        <f t="shared" ref="BC133" si="2039">BC132/BC128</f>
        <v>0.12658512071509526</v>
      </c>
      <c r="BD133" s="13">
        <f t="shared" ref="BD133" si="2040">BD132/BD128</f>
        <v>0.13350761402206479</v>
      </c>
      <c r="BE133" s="13" t="e">
        <f t="shared" ref="BE133" si="2041">BE132/BE128</f>
        <v>#DIV/0!</v>
      </c>
      <c r="BF133" s="13">
        <f t="shared" ref="BF133" si="2042">BF132/BF128</f>
        <v>-0.15990300116066988</v>
      </c>
      <c r="BG133" s="13">
        <f t="shared" ref="BG133" si="2043">BG132/BG128</f>
        <v>8.0884938149898958E-2</v>
      </c>
      <c r="BH133" s="160">
        <f t="shared" ref="BH133:BI133" si="2044">BH132/BH128</f>
        <v>-0.10217758387273666</v>
      </c>
      <c r="BI133" s="160">
        <f t="shared" si="2044"/>
        <v>-4.0520020853032926E-2</v>
      </c>
      <c r="BJ133" s="13">
        <f t="shared" ref="BJ133" si="2045">BJ132/BJ128</f>
        <v>8.3920106840278119E-2</v>
      </c>
      <c r="BK133" s="50">
        <f t="shared" ref="BK133" si="2046">BK132/BK128</f>
        <v>-0.12952674991430779</v>
      </c>
      <c r="BM133" s="14">
        <f t="shared" ref="BM133" si="2047">BM132/BM128</f>
        <v>-0.37943745167935328</v>
      </c>
    </row>
    <row r="134" spans="1:65">
      <c r="A134" s="128"/>
      <c r="B134" s="5" t="s">
        <v>340</v>
      </c>
      <c r="C134" s="126">
        <f>C129/C126</f>
        <v>0.92399660546644058</v>
      </c>
      <c r="D134" s="126">
        <f t="shared" ref="D134:BK134" si="2048">D129/D126</f>
        <v>0.90463193228940508</v>
      </c>
      <c r="E134" s="126">
        <f t="shared" si="2048"/>
        <v>0.97702130861896297</v>
      </c>
      <c r="F134" s="126">
        <f t="shared" si="2048"/>
        <v>0.91507554772469946</v>
      </c>
      <c r="G134" s="126">
        <f t="shared" si="2048"/>
        <v>0.91710861824235335</v>
      </c>
      <c r="H134" s="126">
        <f t="shared" si="2048"/>
        <v>0.93370647469525547</v>
      </c>
      <c r="I134" s="126" t="e">
        <f t="shared" si="2048"/>
        <v>#DIV/0!</v>
      </c>
      <c r="J134" s="126">
        <f t="shared" si="2048"/>
        <v>0.91088826906619802</v>
      </c>
      <c r="K134" s="126">
        <f t="shared" si="2048"/>
        <v>1.0127642679900744</v>
      </c>
      <c r="L134" s="126">
        <f t="shared" si="2048"/>
        <v>0.89650971962184778</v>
      </c>
      <c r="M134" s="126">
        <f t="shared" si="2048"/>
        <v>0.93639301603290526</v>
      </c>
      <c r="N134" s="126">
        <f t="shared" si="2048"/>
        <v>0.38269184281915608</v>
      </c>
      <c r="O134" s="126">
        <f t="shared" si="2048"/>
        <v>0.95080905532433646</v>
      </c>
      <c r="P134" s="126">
        <f t="shared" si="2048"/>
        <v>0.94304528496227891</v>
      </c>
      <c r="Q134" s="126" t="e">
        <f t="shared" si="2048"/>
        <v>#DIV/0!</v>
      </c>
      <c r="R134" s="126">
        <f t="shared" si="2048"/>
        <v>0.96340082623552814</v>
      </c>
      <c r="S134" s="126">
        <f t="shared" si="2048"/>
        <v>1.0184011064104745</v>
      </c>
      <c r="T134" s="126">
        <f t="shared" si="2048"/>
        <v>0.97454917189749857</v>
      </c>
      <c r="U134" s="126" t="e">
        <f t="shared" si="2048"/>
        <v>#DIV/0!</v>
      </c>
      <c r="V134" s="175">
        <f t="shared" si="2048"/>
        <v>0.75963573123613215</v>
      </c>
      <c r="W134" s="126">
        <f t="shared" si="2048"/>
        <v>0.72868217054263562</v>
      </c>
      <c r="X134" s="126">
        <f t="shared" si="2048"/>
        <v>0</v>
      </c>
      <c r="Y134" s="126">
        <f t="shared" si="2048"/>
        <v>0.63717647740776162</v>
      </c>
      <c r="Z134" s="126">
        <f t="shared" si="2048"/>
        <v>0.49571273298176399</v>
      </c>
      <c r="AA134" s="126">
        <f t="shared" si="2048"/>
        <v>0.68999835047011604</v>
      </c>
      <c r="AB134" s="126">
        <f t="shared" ref="AB134" si="2049">AB129/AB126</f>
        <v>3.013620616012529E-2</v>
      </c>
      <c r="AC134" s="175">
        <f t="shared" si="2048"/>
        <v>0.72754128765452031</v>
      </c>
      <c r="AD134" s="218">
        <f t="shared" si="2048"/>
        <v>0.91472125649365499</v>
      </c>
      <c r="AE134" s="126">
        <f t="shared" si="2048"/>
        <v>1.0186150670072431</v>
      </c>
      <c r="AF134" s="126">
        <f t="shared" si="2048"/>
        <v>1.1168255203267847</v>
      </c>
      <c r="AG134" s="126">
        <f t="shared" si="2048"/>
        <v>1.0008236115889448</v>
      </c>
      <c r="AH134" s="126" t="e">
        <f t="shared" si="2048"/>
        <v>#DIV/0!</v>
      </c>
      <c r="AI134" s="126" t="e">
        <f t="shared" si="2048"/>
        <v>#DIV/0!</v>
      </c>
      <c r="AJ134" s="126">
        <f t="shared" si="2048"/>
        <v>0.63829209209662452</v>
      </c>
      <c r="AK134" s="126">
        <f t="shared" si="2048"/>
        <v>0.87665314743573164</v>
      </c>
      <c r="AL134" s="126">
        <f t="shared" si="2048"/>
        <v>1.0126595894513482</v>
      </c>
      <c r="AM134" s="126">
        <f t="shared" si="2048"/>
        <v>0.88079688405311007</v>
      </c>
      <c r="AN134" s="126">
        <f t="shared" si="2048"/>
        <v>0.90612293907700459</v>
      </c>
      <c r="AO134" s="175">
        <f t="shared" si="2048"/>
        <v>0.97022211270276926</v>
      </c>
      <c r="AP134" s="126">
        <f t="shared" si="2048"/>
        <v>1.2003715140215374E-2</v>
      </c>
      <c r="AQ134" s="175">
        <f t="shared" si="2048"/>
        <v>0.81941529908677668</v>
      </c>
      <c r="AR134" s="126">
        <f t="shared" si="2048"/>
        <v>0.86411091749374958</v>
      </c>
      <c r="AS134" s="126" t="e">
        <f t="shared" si="2048"/>
        <v>#DIV/0!</v>
      </c>
      <c r="AT134" s="126" t="e">
        <f t="shared" si="2048"/>
        <v>#DIV/0!</v>
      </c>
      <c r="AU134" s="126">
        <f t="shared" si="2048"/>
        <v>0.91685974513641988</v>
      </c>
      <c r="AV134" s="126">
        <f t="shared" si="2048"/>
        <v>0</v>
      </c>
      <c r="AW134" s="126">
        <f t="shared" si="2048"/>
        <v>0.83124818155368052</v>
      </c>
      <c r="AX134" s="126">
        <f t="shared" si="2048"/>
        <v>0.5540255109038541</v>
      </c>
      <c r="AY134" s="126">
        <f t="shared" si="2048"/>
        <v>0.75355532431494976</v>
      </c>
      <c r="AZ134" s="126">
        <f t="shared" si="2048"/>
        <v>0.72328913728521316</v>
      </c>
      <c r="BA134" s="126">
        <f t="shared" si="2048"/>
        <v>1.0666337931034482</v>
      </c>
      <c r="BB134" s="175">
        <f t="shared" si="2048"/>
        <v>0.75779821461723795</v>
      </c>
      <c r="BC134" s="126">
        <f t="shared" si="2048"/>
        <v>0.93738184309207451</v>
      </c>
      <c r="BD134" s="126">
        <f t="shared" si="2048"/>
        <v>0.94301044472885776</v>
      </c>
      <c r="BE134" s="126">
        <f t="shared" si="2048"/>
        <v>2.6086956521739129E-2</v>
      </c>
      <c r="BF134" s="126">
        <f t="shared" si="2048"/>
        <v>0.67993102221983648</v>
      </c>
      <c r="BG134" s="126">
        <f t="shared" si="2048"/>
        <v>0.95479501302982905</v>
      </c>
      <c r="BH134" s="175">
        <f t="shared" si="2048"/>
        <v>0.8209639429180976</v>
      </c>
      <c r="BI134" s="175">
        <f t="shared" si="2048"/>
        <v>0.85132096625004416</v>
      </c>
      <c r="BJ134" s="126">
        <f t="shared" si="2048"/>
        <v>0.9609195438355439</v>
      </c>
      <c r="BK134" s="126">
        <f t="shared" si="2048"/>
        <v>0.77281581931353627</v>
      </c>
      <c r="BM134" s="126">
        <f t="shared" ref="BM134" si="2050">BM129/BM126</f>
        <v>0.59532460080036553</v>
      </c>
    </row>
    <row r="135" spans="1:65">
      <c r="B135" s="5" t="s">
        <v>341</v>
      </c>
      <c r="C135" s="11">
        <f>C126-C129</f>
        <v>2051993</v>
      </c>
      <c r="D135" s="11">
        <f t="shared" ref="D135:BK135" si="2051">D126-D129</f>
        <v>1253884</v>
      </c>
      <c r="E135" s="11">
        <f t="shared" si="2051"/>
        <v>23817</v>
      </c>
      <c r="F135" s="11">
        <f t="shared" si="2051"/>
        <v>287268</v>
      </c>
      <c r="G135" s="11">
        <f t="shared" si="2051"/>
        <v>155454</v>
      </c>
      <c r="H135" s="11">
        <f t="shared" si="2051"/>
        <v>252045</v>
      </c>
      <c r="I135" s="11">
        <f t="shared" si="2051"/>
        <v>0</v>
      </c>
      <c r="J135" s="11">
        <f t="shared" si="2051"/>
        <v>274696</v>
      </c>
      <c r="K135" s="11">
        <f t="shared" si="2051"/>
        <v>-2572</v>
      </c>
      <c r="L135" s="11">
        <f t="shared" si="2051"/>
        <v>89546</v>
      </c>
      <c r="M135" s="11">
        <f t="shared" si="2051"/>
        <v>90930</v>
      </c>
      <c r="N135" s="11">
        <f t="shared" si="2051"/>
        <v>22983</v>
      </c>
      <c r="O135" s="11">
        <f t="shared" si="2051"/>
        <v>5165</v>
      </c>
      <c r="P135" s="11">
        <f t="shared" si="2051"/>
        <v>72437</v>
      </c>
      <c r="Q135" s="11">
        <f t="shared" si="2051"/>
        <v>0</v>
      </c>
      <c r="R135" s="11">
        <f t="shared" si="2051"/>
        <v>3588</v>
      </c>
      <c r="S135" s="11">
        <f t="shared" si="2051"/>
        <v>-18055</v>
      </c>
      <c r="T135" s="11">
        <f t="shared" si="2051"/>
        <v>44913</v>
      </c>
      <c r="U135" s="11">
        <f t="shared" si="2051"/>
        <v>0</v>
      </c>
      <c r="V135" s="11">
        <f t="shared" si="2051"/>
        <v>196399</v>
      </c>
      <c r="W135" s="11">
        <f t="shared" si="2051"/>
        <v>455</v>
      </c>
      <c r="X135" s="11">
        <f t="shared" si="2051"/>
        <v>2491</v>
      </c>
      <c r="Y135" s="11">
        <f t="shared" si="2051"/>
        <v>25037</v>
      </c>
      <c r="Z135" s="11">
        <f t="shared" si="2051"/>
        <v>12527</v>
      </c>
      <c r="AA135" s="11">
        <f t="shared" si="2051"/>
        <v>5638</v>
      </c>
      <c r="AB135" s="11">
        <f t="shared" si="2051"/>
        <v>20436</v>
      </c>
      <c r="AC135" s="11">
        <f t="shared" si="2051"/>
        <v>485953</v>
      </c>
      <c r="AD135" s="11">
        <f t="shared" si="2051"/>
        <v>5357028</v>
      </c>
      <c r="AE135" s="11">
        <f t="shared" si="2051"/>
        <v>-1064</v>
      </c>
      <c r="AF135" s="11">
        <f t="shared" si="2051"/>
        <v>-3003</v>
      </c>
      <c r="AG135" s="11">
        <f t="shared" si="2051"/>
        <v>-158</v>
      </c>
      <c r="AH135" s="11">
        <f t="shared" si="2051"/>
        <v>-128</v>
      </c>
      <c r="AI135" s="11">
        <f t="shared" si="2051"/>
        <v>-423</v>
      </c>
      <c r="AJ135" s="11">
        <f t="shared" si="2051"/>
        <v>15977</v>
      </c>
      <c r="AK135" s="11">
        <f t="shared" si="2051"/>
        <v>276573</v>
      </c>
      <c r="AL135" s="11">
        <f t="shared" si="2051"/>
        <v>-16359</v>
      </c>
      <c r="AM135" s="11">
        <f t="shared" si="2051"/>
        <v>2116404</v>
      </c>
      <c r="AN135" s="11">
        <f t="shared" si="2051"/>
        <v>45346</v>
      </c>
      <c r="AO135" s="11">
        <f t="shared" si="2051"/>
        <v>125918</v>
      </c>
      <c r="AP135" s="11">
        <f t="shared" si="2051"/>
        <v>16482826</v>
      </c>
      <c r="AQ135" s="11">
        <f t="shared" si="2051"/>
        <v>154814</v>
      </c>
      <c r="AR135" s="11">
        <f t="shared" si="2051"/>
        <v>17936</v>
      </c>
      <c r="AS135" s="11">
        <f t="shared" si="2051"/>
        <v>0</v>
      </c>
      <c r="AT135" s="11">
        <f t="shared" si="2051"/>
        <v>0</v>
      </c>
      <c r="AU135" s="11">
        <f t="shared" si="2051"/>
        <v>8325</v>
      </c>
      <c r="AV135" s="11">
        <f t="shared" si="2051"/>
        <v>1</v>
      </c>
      <c r="AW135" s="11">
        <f t="shared" si="2051"/>
        <v>2900</v>
      </c>
      <c r="AX135" s="11">
        <f t="shared" si="2051"/>
        <v>16258</v>
      </c>
      <c r="AY135" s="11">
        <f t="shared" si="2051"/>
        <v>1421</v>
      </c>
      <c r="AZ135" s="11">
        <f t="shared" si="2051"/>
        <v>4654</v>
      </c>
      <c r="BA135" s="11">
        <f t="shared" si="2051"/>
        <v>-96619</v>
      </c>
      <c r="BB135" s="11">
        <f t="shared" si="2051"/>
        <v>467044</v>
      </c>
      <c r="BC135" s="11">
        <f t="shared" si="2051"/>
        <v>14077</v>
      </c>
      <c r="BD135" s="11">
        <f t="shared" si="2051"/>
        <v>12735</v>
      </c>
      <c r="BE135" s="11">
        <f t="shared" si="2051"/>
        <v>112</v>
      </c>
      <c r="BF135" s="11">
        <f t="shared" si="2051"/>
        <v>95402</v>
      </c>
      <c r="BG135" s="11">
        <f t="shared" si="2051"/>
        <v>3747553</v>
      </c>
      <c r="BH135" s="11">
        <f t="shared" si="2051"/>
        <v>23488522</v>
      </c>
      <c r="BI135" s="11">
        <f t="shared" si="2051"/>
        <v>28845550</v>
      </c>
      <c r="BJ135" s="11">
        <f t="shared" si="2051"/>
        <v>3164386</v>
      </c>
      <c r="BK135" s="11">
        <f t="shared" si="2051"/>
        <v>25681164</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97" zoomScaleSheetLayoutView="100" workbookViewId="0">
      <selection activeCell="L120" sqref="L120"/>
    </sheetView>
  </sheetViews>
  <sheetFormatPr defaultRowHeight="15"/>
  <cols>
    <col min="2" max="2" width="27" customWidth="1"/>
    <col min="3" max="3" width="10" style="181" customWidth="1"/>
    <col min="4" max="4" width="12.42578125" customWidth="1"/>
    <col min="5" max="5" width="0.5703125" customWidth="1"/>
    <col min="6" max="6" width="12.140625" style="176" customWidth="1"/>
    <col min="7" max="7" width="14.140625" customWidth="1"/>
    <col min="8" max="8" width="11.7109375" style="69" customWidth="1"/>
    <col min="9" max="9" width="10.5703125" style="176" customWidth="1"/>
    <col min="10" max="10" width="12" style="176" customWidth="1"/>
    <col min="11" max="11" width="9.42578125" customWidth="1"/>
    <col min="12" max="12" width="10.7109375" customWidth="1"/>
    <col min="13" max="13" width="11.5703125" customWidth="1"/>
    <col min="14" max="14" width="11" customWidth="1"/>
    <col min="15" max="15" width="10.42578125" style="181" customWidth="1"/>
  </cols>
  <sheetData>
    <row r="1" spans="1:15">
      <c r="B1" s="36" t="s">
        <v>433</v>
      </c>
      <c r="C1" s="36"/>
      <c r="G1" s="36"/>
      <c r="H1" s="279"/>
      <c r="M1" s="257"/>
      <c r="N1" s="36"/>
    </row>
    <row r="2" spans="1:15">
      <c r="M2" s="36" t="s">
        <v>148</v>
      </c>
      <c r="N2" s="278"/>
    </row>
    <row r="3" spans="1:15" s="36" customFormat="1" ht="15" customHeight="1">
      <c r="B3" s="407" t="s">
        <v>149</v>
      </c>
      <c r="C3" s="413" t="s">
        <v>330</v>
      </c>
      <c r="D3" s="413" t="s">
        <v>331</v>
      </c>
      <c r="E3" s="413"/>
      <c r="F3" s="418" t="str">
        <f>'PU Wise OWE'!$B$5</f>
        <v>RG 2023-24</v>
      </c>
      <c r="G3" s="413" t="s">
        <v>337</v>
      </c>
      <c r="H3" s="415" t="str">
        <f>'PU Wise OWE'!$B$7</f>
        <v>Actuals upto Feb-23</v>
      </c>
      <c r="I3" s="420" t="str">
        <f>'PU Wise OWE'!$B$6</f>
        <v>BP to end Feb-24</v>
      </c>
      <c r="J3" s="420" t="str">
        <f>'PU Wise OWE'!$B$8</f>
        <v>Actuals upto Feb-24</v>
      </c>
      <c r="K3" s="417" t="s">
        <v>204</v>
      </c>
      <c r="L3" s="417"/>
      <c r="M3" s="417" t="s">
        <v>145</v>
      </c>
      <c r="N3" s="417"/>
      <c r="O3" s="384" t="s">
        <v>338</v>
      </c>
    </row>
    <row r="4" spans="1:15" ht="15.6" customHeight="1">
      <c r="A4" s="31"/>
      <c r="B4" s="408"/>
      <c r="C4" s="414"/>
      <c r="D4" s="414"/>
      <c r="E4" s="414"/>
      <c r="F4" s="419"/>
      <c r="G4" s="414"/>
      <c r="H4" s="414"/>
      <c r="I4" s="421"/>
      <c r="J4" s="421"/>
      <c r="K4" s="19" t="s">
        <v>143</v>
      </c>
      <c r="L4" s="18" t="s">
        <v>144</v>
      </c>
      <c r="M4" s="19" t="s">
        <v>143</v>
      </c>
      <c r="N4" s="18" t="s">
        <v>144</v>
      </c>
      <c r="O4" s="384"/>
    </row>
    <row r="5" spans="1:15">
      <c r="A5" s="31"/>
      <c r="B5" s="61" t="s">
        <v>146</v>
      </c>
      <c r="C5" s="22">
        <v>5612.42</v>
      </c>
      <c r="D5" s="66">
        <f>C5/C7</f>
        <v>0.51646119883280406</v>
      </c>
      <c r="E5" s="66"/>
      <c r="F5" s="105">
        <f>ROUND('PU Wise OWE'!$AD$126/10000,2)</f>
        <v>6281.79</v>
      </c>
      <c r="G5" s="66">
        <f>F5/F7</f>
        <v>0.55570800734599413</v>
      </c>
      <c r="H5" s="70">
        <f>ROUND('PU Wise OWE'!$AD$128/10000,2)</f>
        <v>5217.8500000000004</v>
      </c>
      <c r="I5" s="105">
        <f>ROUND('PU Wise OWE'!$AD$127/10000,2)</f>
        <v>5712.6</v>
      </c>
      <c r="J5" s="105">
        <f>ROUND('PU Wise OWE'!$AD$129/10000,2)</f>
        <v>5746.08</v>
      </c>
      <c r="K5" s="22">
        <f>J5-I5</f>
        <v>33.479999999999563</v>
      </c>
      <c r="L5" s="24">
        <f>K5/I5</f>
        <v>5.8607289150298574E-3</v>
      </c>
      <c r="M5" s="22">
        <f>J5-H5</f>
        <v>528.22999999999956</v>
      </c>
      <c r="N5" s="52">
        <f>M5/H5</f>
        <v>0.10123518307348803</v>
      </c>
      <c r="O5" s="52">
        <f>J5/F5</f>
        <v>0.91472016734083761</v>
      </c>
    </row>
    <row r="6" spans="1:15">
      <c r="A6" s="31"/>
      <c r="B6" s="78" t="s">
        <v>142</v>
      </c>
      <c r="C6" s="21">
        <v>5254.65</v>
      </c>
      <c r="D6" s="66">
        <f>C6/C7</f>
        <v>0.48353880116719594</v>
      </c>
      <c r="E6" s="66"/>
      <c r="F6" s="21">
        <f t="shared" ref="F6:J6" si="0">F7-F5</f>
        <v>5022.3300000000008</v>
      </c>
      <c r="G6" s="66">
        <f>F6/F7</f>
        <v>0.44429199265400582</v>
      </c>
      <c r="H6" s="70">
        <f>H7-H5</f>
        <v>4818.07</v>
      </c>
      <c r="I6" s="21">
        <f t="shared" si="0"/>
        <v>4665.7099999999991</v>
      </c>
      <c r="J6" s="21">
        <f t="shared" si="0"/>
        <v>2989.92</v>
      </c>
      <c r="K6" s="22">
        <f t="shared" ref="K6:K7" si="1">J6-I6</f>
        <v>-1675.7899999999991</v>
      </c>
      <c r="L6" s="24">
        <f t="shared" ref="L6:L7" si="2">K6/I6</f>
        <v>-0.35917148729775306</v>
      </c>
      <c r="M6" s="22">
        <f t="shared" ref="M6:M7" si="3">J6-H6</f>
        <v>-1828.1499999999996</v>
      </c>
      <c r="N6" s="52">
        <f t="shared" ref="N6:N7" si="4">M6/H6</f>
        <v>-0.37943616427324628</v>
      </c>
      <c r="O6" s="52">
        <f t="shared" ref="O6:O7" si="5">J6/F6</f>
        <v>0.59532527731152662</v>
      </c>
    </row>
    <row r="7" spans="1:15">
      <c r="A7" s="31"/>
      <c r="B7" s="27" t="s">
        <v>169</v>
      </c>
      <c r="C7" s="104">
        <f>SUM(C5:C6)</f>
        <v>10867.07</v>
      </c>
      <c r="D7" s="67">
        <f>SUM(D5:D6)</f>
        <v>1</v>
      </c>
      <c r="E7" s="67"/>
      <c r="F7" s="104">
        <f>ROUND('PU Wise OWE'!BK126/10000,2)</f>
        <v>11304.12</v>
      </c>
      <c r="G7" s="67">
        <f>SUM(G5:G6)</f>
        <v>1</v>
      </c>
      <c r="H7" s="71">
        <f>ROUND('PU Wise OWE'!BK128/10000,2)</f>
        <v>10035.92</v>
      </c>
      <c r="I7" s="104">
        <f>ROUND('PU Wise OWE'!BK127/10000,2)</f>
        <v>10378.31</v>
      </c>
      <c r="J7" s="104">
        <f>ROUND('PU Wise OWE'!BK129/10000,2)</f>
        <v>8736</v>
      </c>
      <c r="K7" s="26">
        <f t="shared" si="1"/>
        <v>-1642.3099999999995</v>
      </c>
      <c r="L7" s="54">
        <f t="shared" si="2"/>
        <v>-0.15824445405851237</v>
      </c>
      <c r="M7" s="26">
        <f t="shared" si="3"/>
        <v>-1299.92</v>
      </c>
      <c r="N7" s="55">
        <f t="shared" si="4"/>
        <v>-0.12952673995009925</v>
      </c>
      <c r="O7" s="55">
        <f t="shared" si="5"/>
        <v>0.77281557520620792</v>
      </c>
    </row>
    <row r="8" spans="1:15">
      <c r="A8" s="31"/>
      <c r="B8" s="32"/>
      <c r="C8" s="32"/>
      <c r="D8" s="33"/>
      <c r="E8" s="33"/>
      <c r="F8" s="280"/>
      <c r="G8" s="34"/>
      <c r="H8" s="72"/>
      <c r="I8" s="280"/>
      <c r="J8" s="32"/>
      <c r="K8" s="31"/>
      <c r="L8" s="35"/>
      <c r="M8" s="34"/>
      <c r="N8" s="31"/>
    </row>
    <row r="9" spans="1:15" ht="14.45" customHeight="1">
      <c r="A9" s="31"/>
      <c r="D9" s="33"/>
      <c r="E9" s="33"/>
      <c r="F9" s="280"/>
      <c r="G9" s="34"/>
      <c r="H9" s="72"/>
      <c r="I9" s="280"/>
      <c r="J9" s="32"/>
      <c r="K9" s="31"/>
      <c r="L9" s="35"/>
      <c r="M9" s="34"/>
      <c r="N9" s="31"/>
    </row>
    <row r="10" spans="1:15">
      <c r="A10" s="31"/>
      <c r="B10" s="62" t="s">
        <v>170</v>
      </c>
      <c r="C10" s="62"/>
      <c r="D10" s="63"/>
      <c r="E10" s="63"/>
      <c r="F10" s="281"/>
      <c r="G10" s="63"/>
      <c r="H10" s="73"/>
      <c r="I10" s="281"/>
      <c r="J10" s="281"/>
      <c r="M10" s="36" t="s">
        <v>148</v>
      </c>
    </row>
    <row r="11" spans="1:15" ht="15" customHeight="1">
      <c r="A11" s="31"/>
      <c r="B11" s="409" t="s">
        <v>149</v>
      </c>
      <c r="C11" s="405" t="s">
        <v>330</v>
      </c>
      <c r="D11" s="405" t="s">
        <v>171</v>
      </c>
      <c r="E11" s="405"/>
      <c r="F11" s="411" t="str">
        <f>'PU Wise OWE'!$B$5</f>
        <v>RG 2023-24</v>
      </c>
      <c r="G11" s="405" t="s">
        <v>337</v>
      </c>
      <c r="H11" s="416" t="str">
        <f>'PU Wise OWE'!$B$7</f>
        <v>Actuals upto Feb-23</v>
      </c>
      <c r="I11" s="392" t="str">
        <f>'PU Wise OWE'!$B$6</f>
        <v>BP to end Feb-24</v>
      </c>
      <c r="J11" s="392" t="str">
        <f>'PU Wise OWE'!$B$8</f>
        <v>Actuals upto Feb-24</v>
      </c>
      <c r="K11" s="402" t="s">
        <v>204</v>
      </c>
      <c r="L11" s="402"/>
      <c r="M11" s="402" t="s">
        <v>145</v>
      </c>
      <c r="N11" s="402"/>
      <c r="O11" s="385" t="s">
        <v>339</v>
      </c>
    </row>
    <row r="12" spans="1:15" ht="15" customHeight="1">
      <c r="A12" s="31"/>
      <c r="B12" s="410"/>
      <c r="C12" s="406"/>
      <c r="D12" s="406"/>
      <c r="E12" s="406"/>
      <c r="F12" s="412"/>
      <c r="G12" s="406"/>
      <c r="H12" s="406"/>
      <c r="I12" s="393"/>
      <c r="J12" s="393"/>
      <c r="K12" s="64" t="s">
        <v>143</v>
      </c>
      <c r="L12" s="65" t="s">
        <v>144</v>
      </c>
      <c r="M12" s="64" t="s">
        <v>143</v>
      </c>
      <c r="N12" s="65" t="s">
        <v>144</v>
      </c>
      <c r="O12" s="385"/>
    </row>
    <row r="13" spans="1:15">
      <c r="A13" s="31"/>
      <c r="B13" s="20" t="s">
        <v>150</v>
      </c>
      <c r="C13" s="105">
        <v>2619.71</v>
      </c>
      <c r="D13" s="66">
        <f>C13/$C$7</f>
        <v>0.24106865972152569</v>
      </c>
      <c r="E13" s="21"/>
      <c r="F13" s="105">
        <f>ROUND('PU Wise OWE'!$C$126/10000,2)</f>
        <v>2699.87</v>
      </c>
      <c r="G13" s="24">
        <f>F13/$F$7</f>
        <v>0.23883946738003486</v>
      </c>
      <c r="H13" s="70">
        <f>ROUND('PU Wise OWE'!$C$128/10000,2)</f>
        <v>2410.29</v>
      </c>
      <c r="I13" s="105">
        <f>ROUND('PU Wise OWE'!$C$127/10000,2)</f>
        <v>2472.09</v>
      </c>
      <c r="J13" s="20">
        <f>ROUND('PU Wise OWE'!$C$129/10000,2)</f>
        <v>2494.67</v>
      </c>
      <c r="K13" s="22">
        <f>J13-I13</f>
        <v>22.579999999999927</v>
      </c>
      <c r="L13" s="24">
        <f>K13/I13</f>
        <v>9.133971659607833E-3</v>
      </c>
      <c r="M13" s="22">
        <f>J13-H13</f>
        <v>84.380000000000109</v>
      </c>
      <c r="N13" s="52">
        <f>M13/H13</f>
        <v>3.5008235523526263E-2</v>
      </c>
      <c r="O13" s="52">
        <f t="shared" ref="O13:O28" si="6">J13/F13</f>
        <v>0.92399634056454572</v>
      </c>
    </row>
    <row r="14" spans="1:15">
      <c r="A14" s="31"/>
      <c r="B14" s="20" t="s">
        <v>151</v>
      </c>
      <c r="C14" s="105">
        <v>1019.04</v>
      </c>
      <c r="D14" s="66">
        <f t="shared" ref="D14:D27" si="7">C14/$C$7</f>
        <v>9.3773206577301885E-2</v>
      </c>
      <c r="E14" s="21"/>
      <c r="F14" s="105">
        <f>ROUND('PU Wise OWE'!$D$126/10000,2)</f>
        <v>1314.78</v>
      </c>
      <c r="G14" s="24">
        <f t="shared" ref="G14:G27" si="8">F14/$F$7</f>
        <v>0.11630980562839034</v>
      </c>
      <c r="H14" s="70">
        <f>ROUND('PU Wise OWE'!$D$128/10000,2)</f>
        <v>934.2</v>
      </c>
      <c r="I14" s="105">
        <f>ROUND('PU Wise OWE'!$D$127/10000,2)</f>
        <v>1181.24</v>
      </c>
      <c r="J14" s="20">
        <f>ROUND('PU Wise OWE'!$D$129/10000,2)</f>
        <v>1189.4000000000001</v>
      </c>
      <c r="K14" s="22">
        <f t="shared" ref="K14:K17" si="9">J14-I14</f>
        <v>8.1600000000000819</v>
      </c>
      <c r="L14" s="24">
        <f t="shared" ref="L14:L17" si="10">K14/I14</f>
        <v>6.9079949883174303E-3</v>
      </c>
      <c r="M14" s="22">
        <f t="shared" ref="M14:M27" si="11">J14-H14</f>
        <v>255.20000000000005</v>
      </c>
      <c r="N14" s="52">
        <f t="shared" ref="N14:N27" si="12">M14/H14</f>
        <v>0.27317490901305935</v>
      </c>
      <c r="O14" s="52">
        <f t="shared" si="6"/>
        <v>0.90463803830298617</v>
      </c>
    </row>
    <row r="15" spans="1:15">
      <c r="B15" s="23" t="s">
        <v>172</v>
      </c>
      <c r="C15" s="22">
        <v>101.84</v>
      </c>
      <c r="D15" s="66">
        <f t="shared" si="7"/>
        <v>9.3714313057705525E-3</v>
      </c>
      <c r="E15" s="21"/>
      <c r="F15" s="105">
        <f>ROUND('PU Wise OWE'!$E$126/10000,2)</f>
        <v>103.65</v>
      </c>
      <c r="G15" s="24">
        <f t="shared" si="8"/>
        <v>9.169223256653326E-3</v>
      </c>
      <c r="H15" s="70">
        <f>ROUND('PU Wise OWE'!$E$128/10000,2)</f>
        <v>101.82</v>
      </c>
      <c r="I15" s="105">
        <f>ROUND('PU Wise OWE'!$E$127/10000,2)</f>
        <v>102.45</v>
      </c>
      <c r="J15" s="20">
        <f>ROUND('PU Wise OWE'!$E$129/10000,2)</f>
        <v>101.27</v>
      </c>
      <c r="K15" s="22">
        <f t="shared" si="9"/>
        <v>-1.1800000000000068</v>
      </c>
      <c r="L15" s="24">
        <f t="shared" si="10"/>
        <v>-1.1517813567594015E-2</v>
      </c>
      <c r="M15" s="22">
        <f t="shared" si="11"/>
        <v>-0.54999999999999716</v>
      </c>
      <c r="N15" s="52">
        <f t="shared" si="12"/>
        <v>-5.4016892555489807E-3</v>
      </c>
      <c r="O15" s="52">
        <f t="shared" si="6"/>
        <v>0.97703810902074284</v>
      </c>
    </row>
    <row r="16" spans="1:15">
      <c r="B16" s="23" t="s">
        <v>173</v>
      </c>
      <c r="C16" s="22">
        <v>322.14</v>
      </c>
      <c r="D16" s="66">
        <f t="shared" si="7"/>
        <v>2.9643685004329592E-2</v>
      </c>
      <c r="E16" s="21"/>
      <c r="F16" s="105">
        <f>ROUND('PU Wise OWE'!$F$126/10000,2)</f>
        <v>338.26</v>
      </c>
      <c r="G16" s="24">
        <f t="shared" si="8"/>
        <v>2.9923603075692754E-2</v>
      </c>
      <c r="H16" s="70">
        <f>ROUND('PU Wise OWE'!$F$128/10000,2)</f>
        <v>295.57</v>
      </c>
      <c r="I16" s="105">
        <f>ROUND('PU Wise OWE'!$F$127/10000,2)</f>
        <v>309.67</v>
      </c>
      <c r="J16" s="20">
        <f>ROUND('PU Wise OWE'!$F$129/10000,2)</f>
        <v>309.54000000000002</v>
      </c>
      <c r="K16" s="22">
        <f t="shared" si="9"/>
        <v>-0.12999999999999545</v>
      </c>
      <c r="L16" s="24">
        <f t="shared" si="10"/>
        <v>-4.1980172441629944E-4</v>
      </c>
      <c r="M16" s="22">
        <f t="shared" si="11"/>
        <v>13.970000000000027</v>
      </c>
      <c r="N16" s="52">
        <f t="shared" si="12"/>
        <v>4.7264607368812897E-2</v>
      </c>
      <c r="O16" s="52">
        <f t="shared" si="6"/>
        <v>0.91509489741618877</v>
      </c>
    </row>
    <row r="17" spans="1:15">
      <c r="B17" s="23" t="s">
        <v>174</v>
      </c>
      <c r="C17" s="22">
        <v>169.94</v>
      </c>
      <c r="D17" s="66">
        <f t="shared" si="7"/>
        <v>1.5638069875320577E-2</v>
      </c>
      <c r="E17" s="21"/>
      <c r="F17" s="105">
        <f>ROUND('PU Wise OWE'!$G$126/10000,2)</f>
        <v>187.54</v>
      </c>
      <c r="G17" s="24">
        <f t="shared" si="8"/>
        <v>1.659041128367356E-2</v>
      </c>
      <c r="H17" s="70">
        <f>ROUND('PU Wise OWE'!$G$128/10000,2)</f>
        <v>155.77000000000001</v>
      </c>
      <c r="I17" s="105">
        <f>ROUND('PU Wise OWE'!$G$127/10000,2)</f>
        <v>172.49</v>
      </c>
      <c r="J17" s="20">
        <f>ROUND('PU Wise OWE'!$G$129/10000,2)</f>
        <v>171.99</v>
      </c>
      <c r="K17" s="22">
        <f t="shared" si="9"/>
        <v>-0.5</v>
      </c>
      <c r="L17" s="24">
        <f t="shared" si="10"/>
        <v>-2.8987187663052929E-3</v>
      </c>
      <c r="M17" s="22">
        <f t="shared" si="11"/>
        <v>16.22</v>
      </c>
      <c r="N17" s="52">
        <f t="shared" si="12"/>
        <v>0.1041278808499711</v>
      </c>
      <c r="O17" s="52">
        <f t="shared" si="6"/>
        <v>0.91708435533752808</v>
      </c>
    </row>
    <row r="18" spans="1:15">
      <c r="A18" s="31"/>
      <c r="B18" s="20" t="s">
        <v>152</v>
      </c>
      <c r="C18" s="105">
        <v>333.11</v>
      </c>
      <c r="D18" s="66">
        <f t="shared" si="7"/>
        <v>3.0653156738660928E-2</v>
      </c>
      <c r="E18" s="21"/>
      <c r="F18" s="105">
        <f>ROUND('PU Wise OWE'!$H$126/10000,2)</f>
        <v>380.2</v>
      </c>
      <c r="G18" s="24">
        <f t="shared" si="8"/>
        <v>3.3633754772596183E-2</v>
      </c>
      <c r="H18" s="70">
        <f>ROUND('PU Wise OWE'!$H$128/10000,2)</f>
        <v>306.33</v>
      </c>
      <c r="I18" s="105">
        <f>ROUND('PU Wise OWE'!$H$127/10000,2)</f>
        <v>348.84</v>
      </c>
      <c r="J18" s="20">
        <f>ROUND('PU Wise OWE'!$H$129/10000,2)</f>
        <v>354.99</v>
      </c>
      <c r="K18" s="22">
        <f t="shared" ref="K18:K28" si="13">J18-I18</f>
        <v>6.1500000000000341</v>
      </c>
      <c r="L18" s="24">
        <f t="shared" ref="L18:L28" si="14">K18/I18</f>
        <v>1.7629858961128411E-2</v>
      </c>
      <c r="M18" s="22">
        <f t="shared" si="11"/>
        <v>48.660000000000025</v>
      </c>
      <c r="N18" s="52">
        <f t="shared" si="12"/>
        <v>0.15884830085202242</v>
      </c>
      <c r="O18" s="52">
        <f t="shared" si="6"/>
        <v>0.93369279326670174</v>
      </c>
    </row>
    <row r="19" spans="1:15">
      <c r="A19" s="31"/>
      <c r="B19" s="56" t="s">
        <v>153</v>
      </c>
      <c r="C19" s="106">
        <v>262.05</v>
      </c>
      <c r="D19" s="66">
        <f t="shared" si="7"/>
        <v>2.4114135640977745E-2</v>
      </c>
      <c r="E19" s="21"/>
      <c r="F19" s="105">
        <f>ROUND('PU Wise OWE'!$J$126/10000,2)</f>
        <v>308.26</v>
      </c>
      <c r="G19" s="24">
        <f t="shared" si="8"/>
        <v>2.7269703435561544E-2</v>
      </c>
      <c r="H19" s="70">
        <f>ROUND('PU Wise OWE'!$J$128/10000,2)</f>
        <v>257.23</v>
      </c>
      <c r="I19" s="105">
        <f>ROUND('PU Wise OWE'!$J$127/10000,2)</f>
        <v>273.77999999999997</v>
      </c>
      <c r="J19" s="20">
        <f>ROUND('PU Wise OWE'!$J$129/10000,2)</f>
        <v>280.79000000000002</v>
      </c>
      <c r="K19" s="22">
        <f t="shared" si="13"/>
        <v>7.0100000000000477</v>
      </c>
      <c r="L19" s="24">
        <f t="shared" si="14"/>
        <v>2.5604499963474501E-2</v>
      </c>
      <c r="M19" s="22">
        <f t="shared" si="11"/>
        <v>23.560000000000002</v>
      </c>
      <c r="N19" s="52">
        <f t="shared" si="12"/>
        <v>9.1591182987987407E-2</v>
      </c>
      <c r="O19" s="52">
        <f t="shared" si="6"/>
        <v>0.91088691364432628</v>
      </c>
    </row>
    <row r="20" spans="1:15">
      <c r="A20" s="31"/>
      <c r="B20" s="20" t="s">
        <v>154</v>
      </c>
      <c r="C20" s="105">
        <v>12.74</v>
      </c>
      <c r="D20" s="66">
        <f t="shared" si="7"/>
        <v>1.1723491244650123E-3</v>
      </c>
      <c r="E20" s="21"/>
      <c r="F20" s="105">
        <f>ROUND('PU Wise OWE'!$K$126/10000,2)</f>
        <v>20.149999999999999</v>
      </c>
      <c r="G20" s="24">
        <f t="shared" si="8"/>
        <v>1.7825359249547951E-3</v>
      </c>
      <c r="H20" s="70">
        <f>ROUND('PU Wise OWE'!$K$128/10000,2)</f>
        <v>12.67</v>
      </c>
      <c r="I20" s="105">
        <f>ROUND('PU Wise OWE'!$K$127/10000,2)</f>
        <v>17.63</v>
      </c>
      <c r="J20" s="20">
        <f>ROUND('PU Wise OWE'!$K$129/10000,2)</f>
        <v>20.41</v>
      </c>
      <c r="K20" s="22">
        <f t="shared" si="13"/>
        <v>2.7800000000000011</v>
      </c>
      <c r="L20" s="24">
        <f t="shared" si="14"/>
        <v>0.15768576290414074</v>
      </c>
      <c r="M20" s="22">
        <f t="shared" si="11"/>
        <v>7.74</v>
      </c>
      <c r="N20" s="52">
        <f t="shared" si="12"/>
        <v>0.61089187056037886</v>
      </c>
      <c r="O20" s="52">
        <f t="shared" si="6"/>
        <v>1.0129032258064516</v>
      </c>
    </row>
    <row r="21" spans="1:15">
      <c r="A21" s="31"/>
      <c r="B21" s="20" t="s">
        <v>155</v>
      </c>
      <c r="C21" s="105">
        <v>52.98</v>
      </c>
      <c r="D21" s="66">
        <f t="shared" si="7"/>
        <v>4.8752791690860556E-3</v>
      </c>
      <c r="E21" s="21"/>
      <c r="F21" s="105">
        <f>ROUND('PU Wise OWE'!$L$126/10000,2)</f>
        <v>86.53</v>
      </c>
      <c r="G21" s="24">
        <f t="shared" si="8"/>
        <v>7.654731195351783E-3</v>
      </c>
      <c r="H21" s="70">
        <f>ROUND('PU Wise OWE'!$L$128/10000,2)</f>
        <v>52.76</v>
      </c>
      <c r="I21" s="105">
        <f>ROUND('PU Wise OWE'!$L$127/10000,2)</f>
        <v>73.22</v>
      </c>
      <c r="J21" s="20">
        <f>ROUND('PU Wise OWE'!$L$129/10000,2)</f>
        <v>77.569999999999993</v>
      </c>
      <c r="K21" s="22">
        <f t="shared" si="13"/>
        <v>4.3499999999999943</v>
      </c>
      <c r="L21" s="24">
        <f t="shared" si="14"/>
        <v>5.9409997268505793E-2</v>
      </c>
      <c r="M21" s="22">
        <f t="shared" si="11"/>
        <v>24.809999999999995</v>
      </c>
      <c r="N21" s="52">
        <f t="shared" si="12"/>
        <v>0.47024260803639112</v>
      </c>
      <c r="O21" s="52">
        <f t="shared" si="6"/>
        <v>0.89645209753842592</v>
      </c>
    </row>
    <row r="22" spans="1:15">
      <c r="A22" s="31"/>
      <c r="B22" s="20" t="s">
        <v>177</v>
      </c>
      <c r="C22" s="105">
        <v>131.51</v>
      </c>
      <c r="D22" s="66">
        <f t="shared" si="7"/>
        <v>1.2101698065807987E-2</v>
      </c>
      <c r="E22" s="21"/>
      <c r="F22" s="105">
        <f>ROUND('PU Wise OWE'!$M$126/10000,2)</f>
        <v>142.96</v>
      </c>
      <c r="G22" s="24">
        <f t="shared" si="8"/>
        <v>1.2646716418438586E-2</v>
      </c>
      <c r="H22" s="70">
        <f>ROUND('PU Wise OWE'!$M$128/10000,2)</f>
        <v>125.42</v>
      </c>
      <c r="I22" s="105">
        <f>ROUND('PU Wise OWE'!$M$127/10000,2)</f>
        <v>130.5</v>
      </c>
      <c r="J22" s="20">
        <f>ROUND('PU Wise OWE'!$M$129/10000,2)</f>
        <v>133.86000000000001</v>
      </c>
      <c r="K22" s="22">
        <f t="shared" ref="K22" si="15">J22-I22</f>
        <v>3.3600000000000136</v>
      </c>
      <c r="L22" s="24">
        <f t="shared" ref="L22" si="16">K22/I22</f>
        <v>2.5747126436781714E-2</v>
      </c>
      <c r="M22" s="22">
        <f t="shared" si="11"/>
        <v>8.4400000000000119</v>
      </c>
      <c r="N22" s="52">
        <f t="shared" si="12"/>
        <v>6.7293892521129106E-2</v>
      </c>
      <c r="O22" s="52">
        <f t="shared" si="6"/>
        <v>0.93634583100167879</v>
      </c>
    </row>
    <row r="23" spans="1:15">
      <c r="A23" s="31"/>
      <c r="B23" s="56" t="s">
        <v>156</v>
      </c>
      <c r="C23" s="106">
        <v>111.1</v>
      </c>
      <c r="D23" s="66">
        <f t="shared" si="7"/>
        <v>1.0223546917430364E-2</v>
      </c>
      <c r="E23" s="21"/>
      <c r="F23" s="105">
        <f>ROUND('PU Wise OWE'!$P$126/10000,2)</f>
        <v>127.18</v>
      </c>
      <c r="G23" s="24">
        <f t="shared" si="8"/>
        <v>1.1250765207729571E-2</v>
      </c>
      <c r="H23" s="70">
        <f>ROUND('PU Wise OWE'!$P$128/10000,2)</f>
        <v>111.1</v>
      </c>
      <c r="I23" s="105">
        <f>ROUND('PU Wise OWE'!$P$127/10000,2)</f>
        <v>113.7</v>
      </c>
      <c r="J23" s="20">
        <f>ROUND('PU Wise OWE'!$P$129/10000,2)</f>
        <v>119.94</v>
      </c>
      <c r="K23" s="22">
        <f t="shared" si="13"/>
        <v>6.2399999999999949</v>
      </c>
      <c r="L23" s="24">
        <f t="shared" si="14"/>
        <v>5.4881266490765128E-2</v>
      </c>
      <c r="M23" s="22">
        <f t="shared" si="11"/>
        <v>8.8400000000000034</v>
      </c>
      <c r="N23" s="52">
        <f t="shared" si="12"/>
        <v>7.9567956795679601E-2</v>
      </c>
      <c r="O23" s="52">
        <f t="shared" si="6"/>
        <v>0.94307281019028144</v>
      </c>
    </row>
    <row r="24" spans="1:15">
      <c r="B24" s="56" t="s">
        <v>157</v>
      </c>
      <c r="C24" s="106">
        <v>89</v>
      </c>
      <c r="D24" s="66">
        <f t="shared" si="7"/>
        <v>8.1898800688686105E-3</v>
      </c>
      <c r="E24" s="21"/>
      <c r="F24" s="105">
        <f>ROUND('PU Wise OWE'!$S$126/10000,2)</f>
        <v>98.12</v>
      </c>
      <c r="G24" s="24">
        <f t="shared" si="8"/>
        <v>8.6800210896558067E-3</v>
      </c>
      <c r="H24" s="70">
        <f>ROUND('PU Wise OWE'!$S$128/10000,2)</f>
        <v>89</v>
      </c>
      <c r="I24" s="105">
        <f>ROUND('PU Wise OWE'!$S$127/10000,2)</f>
        <v>95.94</v>
      </c>
      <c r="J24" s="20">
        <f>ROUND('PU Wise OWE'!$S$129/10000,2)</f>
        <v>99.92</v>
      </c>
      <c r="K24" s="22">
        <f t="shared" si="13"/>
        <v>3.980000000000004</v>
      </c>
      <c r="L24" s="24">
        <f t="shared" si="14"/>
        <v>4.1484260996456163E-2</v>
      </c>
      <c r="M24" s="22">
        <f t="shared" si="11"/>
        <v>10.920000000000002</v>
      </c>
      <c r="N24" s="52">
        <f t="shared" si="12"/>
        <v>0.12269662921348316</v>
      </c>
      <c r="O24" s="52">
        <f t="shared" si="6"/>
        <v>1.0183448838157358</v>
      </c>
    </row>
    <row r="25" spans="1:15">
      <c r="B25" s="56" t="s">
        <v>158</v>
      </c>
      <c r="C25" s="106">
        <v>115.51</v>
      </c>
      <c r="D25" s="66">
        <f t="shared" si="7"/>
        <v>1.0629360075899024E-2</v>
      </c>
      <c r="E25" s="21"/>
      <c r="F25" s="105">
        <f>ROUND('PU Wise OWE'!$T$126/10000,2)</f>
        <v>176.47</v>
      </c>
      <c r="G25" s="24">
        <f t="shared" si="8"/>
        <v>1.5611122316465146E-2</v>
      </c>
      <c r="H25" s="70">
        <f>ROUND('PU Wise OWE'!$T$128/10000,2)</f>
        <v>115.32</v>
      </c>
      <c r="I25" s="105">
        <f>ROUND('PU Wise OWE'!$T$127/10000,2)</f>
        <v>150.63999999999999</v>
      </c>
      <c r="J25" s="20">
        <f>ROUND('PU Wise OWE'!$T$129/10000,2)</f>
        <v>171.98</v>
      </c>
      <c r="K25" s="22">
        <f t="shared" si="13"/>
        <v>21.340000000000003</v>
      </c>
      <c r="L25" s="24">
        <f t="shared" si="14"/>
        <v>0.14166224110462033</v>
      </c>
      <c r="M25" s="22">
        <f>J25-H25</f>
        <v>56.66</v>
      </c>
      <c r="N25" s="52">
        <f>M25/H25</f>
        <v>0.49132847728061046</v>
      </c>
      <c r="O25" s="52">
        <f t="shared" si="6"/>
        <v>0.97455658185527283</v>
      </c>
    </row>
    <row r="26" spans="1:15">
      <c r="B26" s="56" t="s">
        <v>176</v>
      </c>
      <c r="C26" s="106">
        <v>65.53</v>
      </c>
      <c r="D26" s="66">
        <f t="shared" si="7"/>
        <v>6.0301442799208993E-3</v>
      </c>
      <c r="E26" s="22"/>
      <c r="F26" s="105">
        <f>ROUND('PU Wise OWE'!$V$126/10000,2)</f>
        <v>81.709999999999994</v>
      </c>
      <c r="G26" s="24">
        <f t="shared" si="8"/>
        <v>7.2283379865040343E-3</v>
      </c>
      <c r="H26" s="70">
        <f>ROUND('PU Wise OWE'!$V$128/10000,2)</f>
        <v>62.53</v>
      </c>
      <c r="I26" s="105">
        <f>ROUND('PU Wise OWE'!$V$127/10000,2)</f>
        <v>74.78</v>
      </c>
      <c r="J26" s="20">
        <f>ROUND('PU Wise OWE'!$V$129/10000,2)</f>
        <v>62.07</v>
      </c>
      <c r="K26" s="22">
        <f t="shared" si="13"/>
        <v>-12.71</v>
      </c>
      <c r="L26" s="24">
        <f t="shared" si="14"/>
        <v>-0.16996523134527949</v>
      </c>
      <c r="M26" s="22">
        <f t="shared" si="11"/>
        <v>-0.46000000000000085</v>
      </c>
      <c r="N26" s="52">
        <f t="shared" si="12"/>
        <v>-7.3564688949304471E-3</v>
      </c>
      <c r="O26" s="52">
        <f t="shared" si="6"/>
        <v>0.75963774323828182</v>
      </c>
    </row>
    <row r="27" spans="1:15">
      <c r="B27" s="56" t="s">
        <v>175</v>
      </c>
      <c r="C27" s="106">
        <v>178.36</v>
      </c>
      <c r="D27" s="66">
        <f t="shared" si="7"/>
        <v>1.6412887742510172E-2</v>
      </c>
      <c r="E27" s="22"/>
      <c r="F27" s="105">
        <f>ROUND('PU Wise OWE'!$AC$126/10000,2)</f>
        <v>178.36</v>
      </c>
      <c r="G27" s="24">
        <f t="shared" si="8"/>
        <v>1.5778317993793412E-2</v>
      </c>
      <c r="H27" s="70">
        <f>ROUND('PU Wise OWE'!$AC$128/10000,2)</f>
        <v>160.28</v>
      </c>
      <c r="I27" s="105">
        <f>ROUND('PU Wise OWE'!$AC$127/10000,2)</f>
        <v>161.11000000000001</v>
      </c>
      <c r="J27" s="20">
        <f>ROUND('PU Wise OWE'!$AC$129/10000,2)</f>
        <v>129.76</v>
      </c>
      <c r="K27" s="22">
        <f t="shared" ref="K27" si="17">J27-I27</f>
        <v>-31.350000000000023</v>
      </c>
      <c r="L27" s="24">
        <f t="shared" ref="L27" si="18">K27/I27</f>
        <v>-0.19458754887964758</v>
      </c>
      <c r="M27" s="22">
        <f t="shared" si="11"/>
        <v>-30.52000000000001</v>
      </c>
      <c r="N27" s="52">
        <f t="shared" si="12"/>
        <v>-0.19041677065136017</v>
      </c>
      <c r="O27" s="52">
        <f t="shared" si="6"/>
        <v>0.72751738057860493</v>
      </c>
    </row>
    <row r="28" spans="1:15">
      <c r="B28" s="199" t="s">
        <v>147</v>
      </c>
      <c r="C28" s="200">
        <f>SUM(C13:C27)</f>
        <v>5584.5599999999995</v>
      </c>
      <c r="D28" s="202">
        <f>SUM(D13:D27)</f>
        <v>0.51389749030787502</v>
      </c>
      <c r="E28" s="200"/>
      <c r="F28" s="282">
        <f>F5</f>
        <v>6281.79</v>
      </c>
      <c r="G28" s="202">
        <f t="shared" ref="G28:J28" si="19">SUM(G13:G27)</f>
        <v>0.5523685169654956</v>
      </c>
      <c r="H28" s="201">
        <f>SUM(H13:H27)</f>
        <v>5190.2900000000009</v>
      </c>
      <c r="I28" s="282">
        <f t="shared" si="19"/>
        <v>5678.079999999999</v>
      </c>
      <c r="J28" s="282">
        <f t="shared" si="19"/>
        <v>5718.159999999998</v>
      </c>
      <c r="K28" s="200">
        <f t="shared" si="13"/>
        <v>40.079999999999018</v>
      </c>
      <c r="L28" s="202">
        <f t="shared" si="14"/>
        <v>7.0587240757437417E-3</v>
      </c>
      <c r="M28" s="200">
        <f>J28-H28</f>
        <v>527.86999999999716</v>
      </c>
      <c r="N28" s="203">
        <f>M28/H28</f>
        <v>0.10170337302925214</v>
      </c>
      <c r="O28" s="203">
        <f t="shared" si="6"/>
        <v>0.91027557431878459</v>
      </c>
    </row>
    <row r="29" spans="1:15">
      <c r="J29" s="285"/>
    </row>
    <row r="31" spans="1:15">
      <c r="B31" s="75" t="s">
        <v>178</v>
      </c>
      <c r="C31" s="75"/>
      <c r="D31" s="77"/>
      <c r="H31" s="251"/>
      <c r="M31" s="36" t="s">
        <v>148</v>
      </c>
    </row>
    <row r="32" spans="1:15" ht="15" customHeight="1">
      <c r="B32" s="403" t="s">
        <v>149</v>
      </c>
      <c r="C32" s="396" t="s">
        <v>330</v>
      </c>
      <c r="D32" s="396" t="s">
        <v>171</v>
      </c>
      <c r="E32" s="396"/>
      <c r="F32" s="371" t="str">
        <f>'PU Wise OWE'!$B$5</f>
        <v>RG 2023-24</v>
      </c>
      <c r="G32" s="396" t="s">
        <v>337</v>
      </c>
      <c r="H32" s="401" t="str">
        <f>'PU Wise OWE'!$B$7</f>
        <v>Actuals upto Feb-23</v>
      </c>
      <c r="I32" s="394" t="str">
        <f>'PU Wise OWE'!$B$6</f>
        <v>BP to end Feb-24</v>
      </c>
      <c r="J32" s="394" t="str">
        <f>'PU Wise OWE'!$B$8</f>
        <v>Actuals upto Feb-24</v>
      </c>
      <c r="K32" s="368" t="s">
        <v>204</v>
      </c>
      <c r="L32" s="368"/>
      <c r="M32" s="368" t="s">
        <v>145</v>
      </c>
      <c r="N32" s="368"/>
      <c r="O32" s="369" t="s">
        <v>338</v>
      </c>
    </row>
    <row r="33" spans="2:15" ht="18" customHeight="1">
      <c r="B33" s="404"/>
      <c r="C33" s="397"/>
      <c r="D33" s="397"/>
      <c r="E33" s="397"/>
      <c r="F33" s="372"/>
      <c r="G33" s="397"/>
      <c r="H33" s="397"/>
      <c r="I33" s="395"/>
      <c r="J33" s="395"/>
      <c r="K33" s="79" t="s">
        <v>143</v>
      </c>
      <c r="L33" s="80" t="s">
        <v>144</v>
      </c>
      <c r="M33" s="79" t="s">
        <v>143</v>
      </c>
      <c r="N33" s="80" t="s">
        <v>144</v>
      </c>
      <c r="O33" s="369"/>
    </row>
    <row r="34" spans="2:15">
      <c r="B34" s="84" t="s">
        <v>179</v>
      </c>
      <c r="C34" s="107">
        <v>7.6</v>
      </c>
      <c r="D34" s="66">
        <f t="shared" ref="D34:D37" si="20">C34/$C$7</f>
        <v>6.9936054520675767E-4</v>
      </c>
      <c r="E34" s="21"/>
      <c r="F34" s="105">
        <f>ROUND(('PU Wise OWE'!$AE$126+'PU Wise OWE'!$AF$126)/10000,2)</f>
        <v>8.2899999999999991</v>
      </c>
      <c r="G34" s="24">
        <f t="shared" ref="G34:G37" si="21">F34/$F$7</f>
        <v>7.3336093388959062E-4</v>
      </c>
      <c r="H34" s="70">
        <f>ROUND(('PU Wise OWE'!$AE$128+'PU Wise OWE'!$AF$128)/10000,2)</f>
        <v>7.23</v>
      </c>
      <c r="I34" s="105">
        <f>ROUND(('PU Wise OWE'!$AE$127+'PU Wise OWE'!$AF$127)/10000,2)</f>
        <v>7.63</v>
      </c>
      <c r="J34" s="20">
        <f>ROUND(('PU Wise OWE'!$AE$129+'PU Wise OWE'!$AF$129)/10000,2)</f>
        <v>8.69</v>
      </c>
      <c r="K34" s="22">
        <f t="shared" ref="K34:K36" si="22">J34-I34</f>
        <v>1.0599999999999996</v>
      </c>
      <c r="L34" s="24">
        <f t="shared" ref="L34:L36" si="23">K34/I34</f>
        <v>0.13892529488859759</v>
      </c>
      <c r="M34" s="22">
        <f t="shared" ref="M34" si="24">J34-H34</f>
        <v>1.4599999999999991</v>
      </c>
      <c r="N34" s="52">
        <f t="shared" ref="N34" si="25">M34/H34</f>
        <v>0.201936376210235</v>
      </c>
      <c r="O34" s="52">
        <f t="shared" ref="O34" si="26">J34/F34</f>
        <v>1.0482509047044632</v>
      </c>
    </row>
    <row r="35" spans="2:15" ht="16.5" customHeight="1">
      <c r="B35" s="84" t="s">
        <v>180</v>
      </c>
      <c r="C35" s="107">
        <v>17.22</v>
      </c>
      <c r="D35" s="66">
        <f t="shared" si="20"/>
        <v>1.5846037616395218E-3</v>
      </c>
      <c r="E35" s="21"/>
      <c r="F35" s="105">
        <f>ROUND('PU Wise OWE'!$AG$126/10000,2)</f>
        <v>19.18</v>
      </c>
      <c r="G35" s="24">
        <f t="shared" si="21"/>
        <v>1.6967265032572193E-3</v>
      </c>
      <c r="H35" s="70">
        <f>ROUND('PU Wise OWE'!$AG$128/10000,2)</f>
        <v>16.45</v>
      </c>
      <c r="I35" s="105">
        <f>ROUND('PU Wise OWE'!$AG$127/10000,2)</f>
        <v>17.37</v>
      </c>
      <c r="J35" s="20">
        <f>ROUND('PU Wise OWE'!$AG$129/10000,2)</f>
        <v>19.2</v>
      </c>
      <c r="K35" s="22">
        <f t="shared" si="22"/>
        <v>1.8299999999999983</v>
      </c>
      <c r="L35" s="24">
        <f t="shared" si="23"/>
        <v>0.10535405872193426</v>
      </c>
      <c r="M35" s="22">
        <f t="shared" ref="M35:M37" si="27">J35-H35</f>
        <v>2.75</v>
      </c>
      <c r="N35" s="52">
        <f t="shared" ref="N35:N37" si="28">M35/H35</f>
        <v>0.16717325227963525</v>
      </c>
      <c r="O35" s="52">
        <f t="shared" ref="O35:O37" si="29">J35/F35</f>
        <v>1.0010427528675703</v>
      </c>
    </row>
    <row r="36" spans="2:15" ht="15.75" customHeight="1">
      <c r="B36" s="84" t="s">
        <v>181</v>
      </c>
      <c r="C36" s="107">
        <v>3.09</v>
      </c>
      <c r="D36" s="66">
        <f t="shared" si="20"/>
        <v>2.8434527430116856E-4</v>
      </c>
      <c r="E36" s="21"/>
      <c r="F36" s="105">
        <f>ROUND('PU Wise OWE'!$AJ$126/10000,2)</f>
        <v>4.42</v>
      </c>
      <c r="G36" s="24">
        <f t="shared" si="21"/>
        <v>3.9100788031266474E-4</v>
      </c>
      <c r="H36" s="70">
        <f>ROUND('PU Wise OWE'!$AJ$128/10000,2)</f>
        <v>3.05</v>
      </c>
      <c r="I36" s="105">
        <f>ROUND('PU Wise OWE'!$AJ$127/10000,2)</f>
        <v>3.77</v>
      </c>
      <c r="J36" s="20">
        <f>ROUND('PU Wise OWE'!$AJ$129/10000,2)</f>
        <v>2.82</v>
      </c>
      <c r="K36" s="22">
        <f t="shared" si="22"/>
        <v>-0.95000000000000018</v>
      </c>
      <c r="L36" s="24">
        <f t="shared" si="23"/>
        <v>-0.25198938992042447</v>
      </c>
      <c r="M36" s="22">
        <f t="shared" si="27"/>
        <v>-0.22999999999999998</v>
      </c>
      <c r="N36" s="52">
        <f t="shared" si="28"/>
        <v>-7.5409836065573763E-2</v>
      </c>
      <c r="O36" s="52">
        <f t="shared" si="29"/>
        <v>0.63800904977375561</v>
      </c>
    </row>
    <row r="37" spans="2:15">
      <c r="B37" s="25" t="s">
        <v>147</v>
      </c>
      <c r="C37" s="26">
        <f>SUM(C34:C36)</f>
        <v>27.91</v>
      </c>
      <c r="D37" s="67">
        <f t="shared" si="20"/>
        <v>2.5683095811474483E-3</v>
      </c>
      <c r="E37" s="26"/>
      <c r="F37" s="138">
        <f t="shared" ref="F37:J37" si="30">SUM(F34:F36)</f>
        <v>31.89</v>
      </c>
      <c r="G37" s="54">
        <f t="shared" si="21"/>
        <v>2.821095317459475E-3</v>
      </c>
      <c r="H37" s="74">
        <f>SUM(H34:H36)</f>
        <v>26.73</v>
      </c>
      <c r="I37" s="138">
        <f t="shared" si="30"/>
        <v>28.77</v>
      </c>
      <c r="J37" s="138">
        <f t="shared" si="30"/>
        <v>30.71</v>
      </c>
      <c r="K37" s="26">
        <f t="shared" ref="K37" si="31">J37-I37</f>
        <v>1.9400000000000013</v>
      </c>
      <c r="L37" s="54">
        <f t="shared" ref="L37" si="32">K37/I37</f>
        <v>6.7431352102884992E-2</v>
      </c>
      <c r="M37" s="26">
        <f t="shared" si="27"/>
        <v>3.9800000000000004</v>
      </c>
      <c r="N37" s="55">
        <f t="shared" si="28"/>
        <v>0.14889637111859336</v>
      </c>
      <c r="O37" s="55">
        <f t="shared" si="29"/>
        <v>0.96299780495453124</v>
      </c>
    </row>
    <row r="38" spans="2:15">
      <c r="C38" s="68"/>
    </row>
    <row r="39" spans="2:15">
      <c r="B39" s="82"/>
      <c r="C39" s="82"/>
      <c r="D39" s="82"/>
      <c r="H39" s="83"/>
      <c r="M39" s="36" t="s">
        <v>148</v>
      </c>
    </row>
    <row r="40" spans="2:15" ht="15" customHeight="1">
      <c r="B40" s="369" t="s">
        <v>162</v>
      </c>
      <c r="C40" s="396" t="s">
        <v>330</v>
      </c>
      <c r="D40" s="396" t="s">
        <v>171</v>
      </c>
      <c r="E40" s="398"/>
      <c r="F40" s="371" t="str">
        <f>'PU Wise OWE'!$B$5</f>
        <v>RG 2023-24</v>
      </c>
      <c r="G40" s="396" t="s">
        <v>337</v>
      </c>
      <c r="H40" s="401" t="str">
        <f>'PU Wise OWE'!$B$7</f>
        <v>Actuals upto Feb-23</v>
      </c>
      <c r="I40" s="394" t="str">
        <f>'PU Wise OWE'!$B$6</f>
        <v>BP to end Feb-24</v>
      </c>
      <c r="J40" s="394" t="str">
        <f>'PU Wise OWE'!$B$8</f>
        <v>Actuals upto Feb-24</v>
      </c>
      <c r="K40" s="368" t="s">
        <v>204</v>
      </c>
      <c r="L40" s="368"/>
      <c r="M40" s="368" t="s">
        <v>145</v>
      </c>
      <c r="N40" s="368"/>
      <c r="O40" s="369" t="s">
        <v>338</v>
      </c>
    </row>
    <row r="41" spans="2:15" ht="17.25" customHeight="1">
      <c r="B41" s="369"/>
      <c r="C41" s="397"/>
      <c r="D41" s="397"/>
      <c r="E41" s="399"/>
      <c r="F41" s="372"/>
      <c r="G41" s="397"/>
      <c r="H41" s="397"/>
      <c r="I41" s="395"/>
      <c r="J41" s="395"/>
      <c r="K41" s="79" t="s">
        <v>143</v>
      </c>
      <c r="L41" s="80" t="s">
        <v>144</v>
      </c>
      <c r="M41" s="79" t="s">
        <v>143</v>
      </c>
      <c r="N41" s="80" t="s">
        <v>144</v>
      </c>
      <c r="O41" s="369"/>
    </row>
    <row r="42" spans="2:15">
      <c r="B42" s="27" t="s">
        <v>163</v>
      </c>
      <c r="C42" s="104">
        <v>483.2</v>
      </c>
      <c r="D42" s="66">
        <f t="shared" ref="D42:D50" si="33">C42/$C$7</f>
        <v>4.4464607295250695E-2</v>
      </c>
      <c r="E42" s="399"/>
      <c r="F42" s="21">
        <f>SUM(F43:F48)</f>
        <v>208.20999999999998</v>
      </c>
      <c r="G42" s="24">
        <f t="shared" ref="G42:G50" si="34">F42/$F$7</f>
        <v>1.8418948135723964E-2</v>
      </c>
      <c r="H42" s="70">
        <f>SUM(H43:H48)</f>
        <v>463.93000000000006</v>
      </c>
      <c r="I42" s="21">
        <f>SUM(I43:I48)</f>
        <v>200.25</v>
      </c>
      <c r="J42" s="21">
        <f>SUM(J43:J48)</f>
        <v>209.4</v>
      </c>
      <c r="K42" s="22">
        <f>J42-I42</f>
        <v>9.1500000000000057</v>
      </c>
      <c r="L42" s="24">
        <f>K42/I42</f>
        <v>4.5692883895131112E-2</v>
      </c>
      <c r="M42" s="22">
        <f t="shared" ref="M42" si="35">J42-H42</f>
        <v>-254.53000000000006</v>
      </c>
      <c r="N42" s="52">
        <f t="shared" ref="N42" si="36">M42/H42</f>
        <v>-0.5486388032677344</v>
      </c>
      <c r="O42" s="52">
        <f t="shared" ref="O42:O49" si="37">J42/F42</f>
        <v>1.0057153835070363</v>
      </c>
    </row>
    <row r="43" spans="2:15">
      <c r="B43" s="57" t="s">
        <v>311</v>
      </c>
      <c r="C43" s="21">
        <v>68.34</v>
      </c>
      <c r="D43" s="66">
        <f t="shared" si="33"/>
        <v>6.2887236393986612E-3</v>
      </c>
      <c r="E43" s="399"/>
      <c r="F43" s="21">
        <f>ROUND('PU Wise OWE'!$AK$82/10000,2)</f>
        <v>37.65</v>
      </c>
      <c r="G43" s="24">
        <f t="shared" si="34"/>
        <v>3.3306440483646667E-3</v>
      </c>
      <c r="H43" s="70">
        <f>ROUND('PU Wise OWE'!$AK$84/10000,2)</f>
        <v>64.89</v>
      </c>
      <c r="I43" s="21">
        <f>ROUND('PU Wise OWE'!$AK$83/10000,2)</f>
        <v>35.6</v>
      </c>
      <c r="J43" s="21">
        <f>ROUND('PU Wise OWE'!$AK$85/10000,2)</f>
        <v>32.450000000000003</v>
      </c>
      <c r="K43" s="22">
        <f t="shared" ref="K43:K50" si="38">J43-I43</f>
        <v>-3.1499999999999986</v>
      </c>
      <c r="L43" s="24">
        <f t="shared" ref="L43:L50" si="39">K43/I43</f>
        <v>-8.8483146067415683E-2</v>
      </c>
      <c r="M43" s="22">
        <f t="shared" ref="M43:M49" si="40">J43-H43</f>
        <v>-32.44</v>
      </c>
      <c r="N43" s="52">
        <f t="shared" ref="N43:N49" si="41">M43/H43</f>
        <v>-0.49992294652488822</v>
      </c>
      <c r="O43" s="52">
        <f t="shared" si="37"/>
        <v>0.86188579017264288</v>
      </c>
    </row>
    <row r="44" spans="2:15" s="246" customFormat="1">
      <c r="B44" s="247" t="s">
        <v>309</v>
      </c>
      <c r="C44" s="21">
        <v>26.21</v>
      </c>
      <c r="D44" s="66">
        <f t="shared" si="33"/>
        <v>2.411873669719621E-3</v>
      </c>
      <c r="E44" s="399"/>
      <c r="F44" s="21">
        <f>ROUND('PU Wise OWE'!$AP$82/10000,2)</f>
        <v>0.67</v>
      </c>
      <c r="G44" s="24">
        <f t="shared" si="34"/>
        <v>5.9270425296263661E-5</v>
      </c>
      <c r="H44" s="21">
        <f>ROUND('PU Wise OWE'!$AP$84/10000,2)</f>
        <v>25.84</v>
      </c>
      <c r="I44" s="21">
        <f>ROUND('PU Wise OWE'!$AP$83/10000,2)</f>
        <v>0.67</v>
      </c>
      <c r="J44" s="21">
        <f>ROUND('PU Wise OWE'!$AP$85/10000,2)</f>
        <v>0.48</v>
      </c>
      <c r="K44" s="22">
        <f t="shared" ref="K44" si="42">J44-I44</f>
        <v>-0.19000000000000006</v>
      </c>
      <c r="L44" s="24">
        <f t="shared" ref="L44" si="43">K44/I44</f>
        <v>-0.2835820895522389</v>
      </c>
      <c r="M44" s="22">
        <f t="shared" ref="M44" si="44">J44-H44</f>
        <v>-25.36</v>
      </c>
      <c r="N44" s="52">
        <f t="shared" ref="N44" si="45">M44/H44</f>
        <v>-0.98142414860681115</v>
      </c>
      <c r="O44" s="52">
        <f t="shared" ref="O44" si="46">J44/F44</f>
        <v>0.71641791044776115</v>
      </c>
    </row>
    <row r="45" spans="2:15">
      <c r="B45" s="58" t="s">
        <v>166</v>
      </c>
      <c r="C45" s="108">
        <v>11.85</v>
      </c>
      <c r="D45" s="66">
        <f t="shared" si="33"/>
        <v>1.090450323776326E-3</v>
      </c>
      <c r="E45" s="399"/>
      <c r="F45" s="21">
        <f>ROUND('PU Wise OWE'!$AR$82/10000,2)</f>
        <v>13.2</v>
      </c>
      <c r="G45" s="24">
        <f t="shared" si="34"/>
        <v>1.1677158416577317E-3</v>
      </c>
      <c r="H45" s="70">
        <f>ROUND('PU Wise OWE'!$AR$84/10000,2)</f>
        <v>11.51</v>
      </c>
      <c r="I45" s="21">
        <f>ROUND('PU Wise OWE'!$AR$83/10000,2)</f>
        <v>12.88</v>
      </c>
      <c r="J45" s="21">
        <f>ROUND('PU Wise OWE'!$AR$85/10000,2)</f>
        <v>11.41</v>
      </c>
      <c r="K45" s="22">
        <f t="shared" ref="K45:K46" si="47">J45-I45</f>
        <v>-1.4700000000000006</v>
      </c>
      <c r="L45" s="24">
        <f t="shared" ref="L45:L46" si="48">K45/I45</f>
        <v>-0.11413043478260874</v>
      </c>
      <c r="M45" s="22">
        <f t="shared" si="40"/>
        <v>-9.9999999999999645E-2</v>
      </c>
      <c r="N45" s="52">
        <f t="shared" si="41"/>
        <v>-8.6880973066898043E-3</v>
      </c>
      <c r="O45" s="52">
        <f t="shared" si="37"/>
        <v>0.86439393939393949</v>
      </c>
    </row>
    <row r="46" spans="2:15">
      <c r="B46" s="58" t="s">
        <v>167</v>
      </c>
      <c r="C46" s="108">
        <v>7.35</v>
      </c>
      <c r="D46" s="66">
        <f t="shared" si="33"/>
        <v>6.763552641144301E-4</v>
      </c>
      <c r="E46" s="399"/>
      <c r="F46" s="21">
        <f>ROUND('PU Wise OWE'!$AU$82/10000,2)</f>
        <v>10.01</v>
      </c>
      <c r="G46" s="24">
        <f t="shared" si="34"/>
        <v>8.8551784659044656E-4</v>
      </c>
      <c r="H46" s="70">
        <f>ROUND('PU Wise OWE'!$AU$84/10000,2)</f>
        <v>7.1</v>
      </c>
      <c r="I46" s="21">
        <f>ROUND('PU Wise OWE'!$AU$83/10000,2)</f>
        <v>8.49</v>
      </c>
      <c r="J46" s="21">
        <f>ROUND('PU Wise OWE'!$AU$85/10000,2)</f>
        <v>9.18</v>
      </c>
      <c r="K46" s="22">
        <f t="shared" si="47"/>
        <v>0.6899999999999995</v>
      </c>
      <c r="L46" s="24">
        <f t="shared" si="48"/>
        <v>8.1272084805653649E-2</v>
      </c>
      <c r="M46" s="22">
        <f t="shared" si="40"/>
        <v>2.08</v>
      </c>
      <c r="N46" s="52">
        <f t="shared" si="41"/>
        <v>0.29295774647887324</v>
      </c>
      <c r="O46" s="52">
        <f t="shared" si="37"/>
        <v>0.91708291708291712</v>
      </c>
    </row>
    <row r="47" spans="2:15">
      <c r="B47" s="57" t="s">
        <v>164</v>
      </c>
      <c r="C47" s="21">
        <v>39.99</v>
      </c>
      <c r="D47" s="66">
        <f t="shared" si="33"/>
        <v>3.6799247635287157E-3</v>
      </c>
      <c r="E47" s="399"/>
      <c r="F47" s="21">
        <f>ROUND('PU Wise OWE'!$AZ$82/10000,2)</f>
        <v>1.68</v>
      </c>
      <c r="G47" s="24">
        <f t="shared" si="34"/>
        <v>1.4861837984734769E-4</v>
      </c>
      <c r="H47" s="70">
        <f>ROUND('PU Wise OWE'!$AZ$84/10000,2)</f>
        <v>39.18</v>
      </c>
      <c r="I47" s="21">
        <f>ROUND('PU Wise OWE'!$AZ$83/10000,2)</f>
        <v>1.68</v>
      </c>
      <c r="J47" s="21">
        <f>ROUND('PU Wise OWE'!$AZ$85/10000,2)</f>
        <v>1.22</v>
      </c>
      <c r="K47" s="22">
        <f t="shared" si="38"/>
        <v>-0.45999999999999996</v>
      </c>
      <c r="L47" s="24">
        <f t="shared" si="39"/>
        <v>-0.27380952380952378</v>
      </c>
      <c r="M47" s="22">
        <f t="shared" si="40"/>
        <v>-37.96</v>
      </c>
      <c r="N47" s="52">
        <f t="shared" si="41"/>
        <v>-0.96886166411434405</v>
      </c>
      <c r="O47" s="52">
        <f t="shared" si="37"/>
        <v>0.72619047619047616</v>
      </c>
    </row>
    <row r="48" spans="2:15">
      <c r="B48" s="58" t="s">
        <v>165</v>
      </c>
      <c r="C48" s="108">
        <v>329.46</v>
      </c>
      <c r="D48" s="66">
        <f t="shared" si="33"/>
        <v>3.0317279634712944E-2</v>
      </c>
      <c r="E48" s="399"/>
      <c r="F48" s="21">
        <f>ROUND('PU Wise OWE'!$BA$82/10000,2)</f>
        <v>145</v>
      </c>
      <c r="G48" s="24">
        <f t="shared" si="34"/>
        <v>1.2827181593967509E-2</v>
      </c>
      <c r="H48" s="70">
        <f>ROUND('PU Wise OWE'!$BA$84/10000,2)</f>
        <v>315.41000000000003</v>
      </c>
      <c r="I48" s="21">
        <f>ROUND('PU Wise OWE'!$BA$83/10000,2)</f>
        <v>140.93</v>
      </c>
      <c r="J48" s="21">
        <f>ROUND('PU Wise OWE'!$BA$85/10000,2)</f>
        <v>154.66</v>
      </c>
      <c r="K48" s="22">
        <f t="shared" si="38"/>
        <v>13.72999999999999</v>
      </c>
      <c r="L48" s="24">
        <f t="shared" si="39"/>
        <v>9.7424253175335193E-2</v>
      </c>
      <c r="M48" s="22">
        <f t="shared" si="40"/>
        <v>-160.75000000000003</v>
      </c>
      <c r="N48" s="52">
        <f t="shared" si="41"/>
        <v>-0.50965410101138209</v>
      </c>
      <c r="O48" s="52">
        <f t="shared" si="37"/>
        <v>1.0666206896551724</v>
      </c>
    </row>
    <row r="49" spans="2:15">
      <c r="B49" s="59" t="s">
        <v>168</v>
      </c>
      <c r="C49" s="103">
        <v>1505.52</v>
      </c>
      <c r="D49" s="66">
        <f t="shared" si="33"/>
        <v>0.13853964316048392</v>
      </c>
      <c r="E49" s="399"/>
      <c r="F49" s="21">
        <f>ROUND('PU Wise OWE'!$AM$82/10000,2)-77.28</f>
        <v>1590.14</v>
      </c>
      <c r="G49" s="24">
        <f t="shared" si="34"/>
        <v>0.14066906579194136</v>
      </c>
      <c r="H49" s="70">
        <f>ROUND('PU Wise OWE'!$AM$84/10000,2)-ROUND('Upto Month COPPY'!I60/10000,2)</f>
        <v>1364.27</v>
      </c>
      <c r="I49" s="21">
        <f>ROUND('PU Wise OWE'!$AM$83/10000,2)-69.74</f>
        <v>1485.95</v>
      </c>
      <c r="J49" s="21">
        <f>ROUND('PU Wise OWE'!$AM$85/10000,2)-ROUND('Upto Month Current'!I60/10000,2)</f>
        <v>1423.78</v>
      </c>
      <c r="K49" s="22">
        <f t="shared" si="38"/>
        <v>-62.170000000000073</v>
      </c>
      <c r="L49" s="24">
        <f t="shared" si="39"/>
        <v>-4.1838554460109742E-2</v>
      </c>
      <c r="M49" s="22">
        <f t="shared" si="40"/>
        <v>59.509999999999991</v>
      </c>
      <c r="N49" s="52">
        <f t="shared" si="41"/>
        <v>4.3620397721858571E-2</v>
      </c>
      <c r="O49" s="52">
        <f t="shared" si="37"/>
        <v>0.89538028098154876</v>
      </c>
    </row>
    <row r="50" spans="2:15" s="36" customFormat="1">
      <c r="B50" s="60" t="s">
        <v>128</v>
      </c>
      <c r="C50" s="74">
        <f>C42+C49</f>
        <v>1988.72</v>
      </c>
      <c r="D50" s="67">
        <f t="shared" si="33"/>
        <v>0.18300425045573462</v>
      </c>
      <c r="E50" s="400"/>
      <c r="F50" s="104">
        <f>F42+F49</f>
        <v>1798.3500000000001</v>
      </c>
      <c r="G50" s="54">
        <f t="shared" si="34"/>
        <v>0.15908801392766531</v>
      </c>
      <c r="H50" s="74">
        <f>H42+H49</f>
        <v>1828.2</v>
      </c>
      <c r="I50" s="104">
        <f>I42+I49</f>
        <v>1686.2</v>
      </c>
      <c r="J50" s="104">
        <f>J42+J49</f>
        <v>1633.18</v>
      </c>
      <c r="K50" s="26">
        <f t="shared" si="38"/>
        <v>-53.019999999999982</v>
      </c>
      <c r="L50" s="54">
        <f t="shared" si="39"/>
        <v>-3.1443482386431014E-2</v>
      </c>
      <c r="M50" s="26">
        <f t="shared" ref="M50" si="49">J50-H50</f>
        <v>-195.01999999999998</v>
      </c>
      <c r="N50" s="55">
        <f t="shared" ref="N50" si="50">M50/H50</f>
        <v>-0.10667323049994529</v>
      </c>
      <c r="O50" s="55">
        <f t="shared" ref="O50" si="51">J50/F50</f>
        <v>0.90815469736147025</v>
      </c>
    </row>
    <row r="51" spans="2:15">
      <c r="J51" s="176" t="s">
        <v>329</v>
      </c>
    </row>
    <row r="52" spans="2:15">
      <c r="B52" s="75" t="s">
        <v>182</v>
      </c>
      <c r="C52" s="75"/>
    </row>
    <row r="53" spans="2:15" ht="47.25" customHeight="1">
      <c r="B53" s="81" t="s">
        <v>183</v>
      </c>
      <c r="C53" s="109">
        <v>174.37</v>
      </c>
      <c r="D53" s="66">
        <f t="shared" ref="D53:D57" si="52">C53/$C$7</f>
        <v>1.6045723456276625E-2</v>
      </c>
      <c r="E53" s="389"/>
      <c r="F53" s="105">
        <f>ROUND('PU Wise OWE'!$AK$126/10000,2)-F43</f>
        <v>186.57</v>
      </c>
      <c r="G53" s="24">
        <f t="shared" ref="G53:G55" si="53">F53/$F$7</f>
        <v>1.6504601861975984E-2</v>
      </c>
      <c r="H53" s="70">
        <f>ROUND('PU Wise OWE'!$AK$128/10000,2)-H43</f>
        <v>128.33999999999997</v>
      </c>
      <c r="I53" s="105">
        <f>ROUND('PU Wise OWE'!$AK$127/10000,2)-I43</f>
        <v>162.03</v>
      </c>
      <c r="J53" s="105">
        <f>ROUND('PU Wise OWE'!$AK$129/10000,2)-J43</f>
        <v>164.12</v>
      </c>
      <c r="K53" s="22">
        <f>J53-I53</f>
        <v>2.0900000000000034</v>
      </c>
      <c r="L53" s="24">
        <f>K53/I53</f>
        <v>1.2898845892735935E-2</v>
      </c>
      <c r="M53" s="22">
        <f t="shared" ref="M53" si="54">J53-H53</f>
        <v>35.78000000000003</v>
      </c>
      <c r="N53" s="52">
        <f t="shared" ref="N53" si="55">M53/H53</f>
        <v>0.2787907121707966</v>
      </c>
      <c r="O53" s="52">
        <f t="shared" ref="O53:O55" si="56">J53/F53</f>
        <v>0.87966982901859903</v>
      </c>
    </row>
    <row r="54" spans="2:15">
      <c r="B54" s="20" t="s">
        <v>160</v>
      </c>
      <c r="C54" s="105">
        <v>127.01</v>
      </c>
      <c r="D54" s="66">
        <f t="shared" si="52"/>
        <v>1.1687603006146092E-2</v>
      </c>
      <c r="E54" s="390"/>
      <c r="F54" s="105">
        <f>ROUND('PU Wise OWE'!$AL$126/10000,2)</f>
        <v>129.22</v>
      </c>
      <c r="G54" s="24">
        <f t="shared" si="53"/>
        <v>1.1431230383258493E-2</v>
      </c>
      <c r="H54" s="70">
        <f>ROUND('PU Wise OWE'!$AL$128/10000,2)</f>
        <v>124.43</v>
      </c>
      <c r="I54" s="105">
        <f>ROUND('PU Wise OWE'!$AL$127/10000,2)</f>
        <v>116.88</v>
      </c>
      <c r="J54" s="20">
        <f>ROUND('PU Wise OWE'!$AL$129/10000,2)</f>
        <v>130.86000000000001</v>
      </c>
      <c r="K54" s="22">
        <f t="shared" ref="K54" si="57">J54-I54</f>
        <v>13.980000000000018</v>
      </c>
      <c r="L54" s="24">
        <f t="shared" ref="L54" si="58">K54/I54</f>
        <v>0.11960985626283384</v>
      </c>
      <c r="M54" s="22">
        <f t="shared" ref="M54:M55" si="59">J54-H54</f>
        <v>6.4300000000000068</v>
      </c>
      <c r="N54" s="52">
        <f t="shared" ref="N54:N55" si="60">M54/H54</f>
        <v>5.1675640922607138E-2</v>
      </c>
      <c r="O54" s="52">
        <f t="shared" si="56"/>
        <v>1.0126915338182945</v>
      </c>
    </row>
    <row r="55" spans="2:15" s="36" customFormat="1">
      <c r="B55" s="25" t="s">
        <v>128</v>
      </c>
      <c r="C55" s="26">
        <f>C53+C54</f>
        <v>301.38</v>
      </c>
      <c r="D55" s="67">
        <f t="shared" si="52"/>
        <v>2.7733326462422714E-2</v>
      </c>
      <c r="E55" s="391"/>
      <c r="F55" s="138">
        <f t="shared" ref="F55:J55" si="61">SUM(F53:F54)</f>
        <v>315.78999999999996</v>
      </c>
      <c r="G55" s="54">
        <f t="shared" si="53"/>
        <v>2.7935832245234476E-2</v>
      </c>
      <c r="H55" s="74">
        <f>SUM(H53:H54)</f>
        <v>252.76999999999998</v>
      </c>
      <c r="I55" s="138">
        <f t="shared" si="61"/>
        <v>278.90999999999997</v>
      </c>
      <c r="J55" s="138">
        <f t="shared" si="61"/>
        <v>294.98</v>
      </c>
      <c r="K55" s="26">
        <f t="shared" ref="K55" si="62">J55-I55</f>
        <v>16.07000000000005</v>
      </c>
      <c r="L55" s="54">
        <f t="shared" ref="L55" si="63">K55/I55</f>
        <v>5.7617152486465352E-2</v>
      </c>
      <c r="M55" s="26">
        <f t="shared" si="59"/>
        <v>42.210000000000036</v>
      </c>
      <c r="N55" s="55">
        <f t="shared" si="60"/>
        <v>0.16698975353087803</v>
      </c>
      <c r="O55" s="55">
        <f t="shared" si="56"/>
        <v>0.93410177649703929</v>
      </c>
    </row>
    <row r="57" spans="2:15" s="36" customFormat="1">
      <c r="B57" s="197" t="s">
        <v>161</v>
      </c>
      <c r="C57" s="110">
        <v>375.28</v>
      </c>
      <c r="D57" s="248">
        <f t="shared" si="52"/>
        <v>3.4533687553314735E-2</v>
      </c>
      <c r="E57" s="53"/>
      <c r="F57" s="110">
        <f>ROUND('PU Wise OWE'!$AO$126/10000,2)</f>
        <v>422.86</v>
      </c>
      <c r="G57" s="194">
        <f t="shared" ref="G57" si="64">F57/$F$7</f>
        <v>3.7407600060862765E-2</v>
      </c>
      <c r="H57" s="198">
        <f>ROUND('PU Wise OWE'!$AO$128/10000,2)</f>
        <v>356.51</v>
      </c>
      <c r="I57" s="110">
        <f>ROUND('PU Wise OWE'!$AO$127/10000,2)</f>
        <v>382.19</v>
      </c>
      <c r="J57" s="78">
        <f>ROUND('PU Wise OWE'!$AO$129/10000,2)</f>
        <v>410.27</v>
      </c>
      <c r="K57" s="193">
        <f t="shared" ref="K57" si="65">J57-I57</f>
        <v>28.079999999999984</v>
      </c>
      <c r="L57" s="194">
        <f t="shared" ref="L57" si="66">K57/I57</f>
        <v>7.3471310081373101E-2</v>
      </c>
      <c r="M57" s="193">
        <f t="shared" ref="M57" si="67">J57-H57</f>
        <v>53.759999999999991</v>
      </c>
      <c r="N57" s="195">
        <f t="shared" ref="N57" si="68">M57/H57</f>
        <v>0.15079520911054387</v>
      </c>
      <c r="O57" s="195">
        <f t="shared" ref="O57" si="69">J57/F57</f>
        <v>0.97022655252329371</v>
      </c>
    </row>
    <row r="58" spans="2:15">
      <c r="C58" s="191"/>
      <c r="O58" s="100"/>
    </row>
    <row r="59" spans="2:15">
      <c r="B59" s="75" t="s">
        <v>184</v>
      </c>
      <c r="C59" s="196"/>
      <c r="O59" s="196"/>
    </row>
    <row r="60" spans="2:15">
      <c r="B60" s="23" t="s">
        <v>185</v>
      </c>
      <c r="C60" s="22">
        <v>94.17</v>
      </c>
      <c r="D60" s="66">
        <f t="shared" ref="D60:D64" si="70">C60/$C$7</f>
        <v>8.6656292818579443E-3</v>
      </c>
      <c r="E60" s="386"/>
      <c r="F60" s="105">
        <f>ROUND('PU Wise OWE'!$AM$60/10000,2)</f>
        <v>98.7</v>
      </c>
      <c r="G60" s="24">
        <f t="shared" ref="G60:G64" si="71">F60/$F$7</f>
        <v>8.7313298160316757E-3</v>
      </c>
      <c r="H60" s="70">
        <f>ROUND('PU Wise OWE'!$AM$62/10000,2)</f>
        <v>88.15</v>
      </c>
      <c r="I60" s="105">
        <f>ROUND('PU Wise OWE'!$AM$61/10000,2)</f>
        <v>91.37</v>
      </c>
      <c r="J60" s="20">
        <f>ROUND('PU Wise OWE'!$AM$63/10000,2)</f>
        <v>67.56</v>
      </c>
      <c r="K60" s="22">
        <f t="shared" ref="K60:K62" si="72">J60-I60</f>
        <v>-23.810000000000002</v>
      </c>
      <c r="L60" s="24">
        <f t="shared" ref="L60:L62" si="73">K60/I60</f>
        <v>-0.26058881470942324</v>
      </c>
      <c r="M60" s="22">
        <f t="shared" ref="M60" si="74">J60-H60</f>
        <v>-20.590000000000003</v>
      </c>
      <c r="N60" s="52">
        <f t="shared" ref="N60" si="75">M60/H60</f>
        <v>-0.23357912648893933</v>
      </c>
      <c r="O60" s="52">
        <f t="shared" ref="O60:O64" si="76">J60/F60</f>
        <v>0.68449848024316107</v>
      </c>
    </row>
    <row r="61" spans="2:15">
      <c r="B61" s="23" t="s">
        <v>186</v>
      </c>
      <c r="C61" s="22">
        <v>8.65</v>
      </c>
      <c r="D61" s="66">
        <f t="shared" si="70"/>
        <v>7.959827257945334E-4</v>
      </c>
      <c r="E61" s="387"/>
      <c r="F61" s="105">
        <f>ROUND('PU Wise OWE'!$AM$93/10000,2)</f>
        <v>9.08</v>
      </c>
      <c r="G61" s="24">
        <f t="shared" si="71"/>
        <v>8.0324695774637914E-4</v>
      </c>
      <c r="H61" s="70">
        <f>ROUND('PU Wise OWE'!$AM$95/10000,2)</f>
        <v>6.66</v>
      </c>
      <c r="I61" s="105">
        <f>ROUND('PU Wise OWE'!$AM$94/10000,2)</f>
        <v>8.58</v>
      </c>
      <c r="J61" s="20">
        <f>ROUND('PU Wise OWE'!$AM$96/10000,2)</f>
        <v>16.670000000000002</v>
      </c>
      <c r="K61" s="22">
        <f t="shared" si="72"/>
        <v>8.0900000000000016</v>
      </c>
      <c r="L61" s="24">
        <f t="shared" si="73"/>
        <v>0.9428904428904431</v>
      </c>
      <c r="M61" s="22">
        <f t="shared" ref="M61:M63" si="77">J61-H61</f>
        <v>10.010000000000002</v>
      </c>
      <c r="N61" s="52">
        <f t="shared" ref="N61:N63" si="78">M61/H61</f>
        <v>1.5030030030030033</v>
      </c>
      <c r="O61" s="52">
        <f t="shared" si="76"/>
        <v>1.8359030837004406</v>
      </c>
    </row>
    <row r="62" spans="2:15">
      <c r="B62" s="23" t="s">
        <v>187</v>
      </c>
      <c r="C62" s="22">
        <v>20.59</v>
      </c>
      <c r="D62" s="66">
        <f t="shared" si="70"/>
        <v>1.8947149507640975E-3</v>
      </c>
      <c r="E62" s="387"/>
      <c r="F62" s="105">
        <f>ROUND('PU Wise OWE'!$AN$16/10000,2)</f>
        <v>25.19</v>
      </c>
      <c r="G62" s="24">
        <f>F62/$F$7</f>
        <v>2.2283910644968381E-3</v>
      </c>
      <c r="H62" s="70">
        <f>ROUND('PU Wise OWE'!$AN$18/10000,2)</f>
        <v>20.97</v>
      </c>
      <c r="I62" s="105">
        <f>ROUND('PU Wise OWE'!$AN$17/10000,2)</f>
        <v>22.07</v>
      </c>
      <c r="J62" s="20">
        <f>ROUND('PU Wise OWE'!$AN$19/10000,2)</f>
        <v>20.54</v>
      </c>
      <c r="K62" s="22">
        <f t="shared" si="72"/>
        <v>-1.5300000000000011</v>
      </c>
      <c r="L62" s="24">
        <f t="shared" si="73"/>
        <v>-6.932487539646584E-2</v>
      </c>
      <c r="M62" s="22">
        <f t="shared" si="77"/>
        <v>-0.42999999999999972</v>
      </c>
      <c r="N62" s="52">
        <f t="shared" si="78"/>
        <v>-2.0505484024797318E-2</v>
      </c>
      <c r="O62" s="52">
        <f t="shared" si="76"/>
        <v>0.81540293767368</v>
      </c>
    </row>
    <row r="63" spans="2:15">
      <c r="B63" s="23" t="s">
        <v>188</v>
      </c>
      <c r="C63" s="22">
        <v>10.59</v>
      </c>
      <c r="D63" s="66">
        <f t="shared" si="70"/>
        <v>9.7450370707099522E-4</v>
      </c>
      <c r="E63" s="387"/>
      <c r="F63" s="105">
        <f>ROUND('PU Wise OWE'!$AN$60/10000,2)</f>
        <v>21.17</v>
      </c>
      <c r="G63" s="24">
        <f>F63/$F$7</f>
        <v>1.8727685127192563E-3</v>
      </c>
      <c r="H63" s="70">
        <f>ROUND('PU Wise OWE'!$AN$62/10000,2)</f>
        <v>9.4</v>
      </c>
      <c r="I63" s="105">
        <f>ROUND('PU Wise OWE'!$AN$61/10000,2)</f>
        <v>17.57</v>
      </c>
      <c r="J63" s="20">
        <f>ROUND('PU Wise OWE'!$AN$63/10000,2)</f>
        <v>20.68</v>
      </c>
      <c r="K63" s="22">
        <f t="shared" ref="K63" si="79">J63-I63</f>
        <v>3.1099999999999994</v>
      </c>
      <c r="L63" s="24">
        <f t="shared" ref="L63" si="80">K63/I63</f>
        <v>0.17700626067159927</v>
      </c>
      <c r="M63" s="22">
        <f t="shared" si="77"/>
        <v>11.28</v>
      </c>
      <c r="N63" s="52">
        <f t="shared" si="78"/>
        <v>1.2</v>
      </c>
      <c r="O63" s="52">
        <f t="shared" si="76"/>
        <v>0.97685403873405752</v>
      </c>
    </row>
    <row r="64" spans="2:15" s="36" customFormat="1">
      <c r="B64" s="25" t="s">
        <v>128</v>
      </c>
      <c r="C64" s="26">
        <f>C60+C61+C62+C63</f>
        <v>134</v>
      </c>
      <c r="D64" s="67">
        <f t="shared" si="70"/>
        <v>1.2330830665487571E-2</v>
      </c>
      <c r="E64" s="388"/>
      <c r="F64" s="104">
        <f>SUM(F60:F63)</f>
        <v>154.13999999999999</v>
      </c>
      <c r="G64" s="54">
        <f t="shared" si="71"/>
        <v>1.3635736350994149E-2</v>
      </c>
      <c r="H64" s="74">
        <f>SUM(H60:H63)</f>
        <v>125.18</v>
      </c>
      <c r="I64" s="104">
        <f>SUM(I60:I63)</f>
        <v>139.59</v>
      </c>
      <c r="J64" s="104">
        <f>SUM(J60:J63)</f>
        <v>125.45000000000002</v>
      </c>
      <c r="K64" s="26">
        <f t="shared" ref="K64" si="81">J64-I64</f>
        <v>-14.139999999999986</v>
      </c>
      <c r="L64" s="54">
        <f t="shared" ref="L64" si="82">K64/I64</f>
        <v>-0.10129665448814375</v>
      </c>
      <c r="M64" s="26">
        <f t="shared" ref="M64" si="83">J64-H64</f>
        <v>0.27000000000001023</v>
      </c>
      <c r="N64" s="55">
        <f t="shared" ref="N64" si="84">M64/H64</f>
        <v>2.1568940725356306E-3</v>
      </c>
      <c r="O64" s="55">
        <f t="shared" si="76"/>
        <v>0.81387050733099797</v>
      </c>
    </row>
    <row r="65" spans="2:15">
      <c r="O65" s="92"/>
    </row>
    <row r="66" spans="2:15">
      <c r="B66" s="75" t="s">
        <v>189</v>
      </c>
      <c r="C66" s="75"/>
    </row>
    <row r="67" spans="2:15">
      <c r="B67" s="23" t="s">
        <v>190</v>
      </c>
      <c r="C67" s="22">
        <v>1845.61</v>
      </c>
      <c r="D67" s="66">
        <f t="shared" ref="D67:D69" si="85">C67/$C$7</f>
        <v>0.16983510734724264</v>
      </c>
      <c r="E67" s="23"/>
      <c r="F67" s="105">
        <f>ROUND('PU Wise OWE'!$AP$71/10000,2)</f>
        <v>1637.46</v>
      </c>
      <c r="G67" s="24">
        <f t="shared" ref="G67:G69" si="86">F67/$F$7</f>
        <v>0.14485515015764164</v>
      </c>
      <c r="H67" s="70">
        <f>ROUND('PU Wise OWE'!$AP$73/10000,2)</f>
        <v>1684.96</v>
      </c>
      <c r="I67" s="105">
        <f>ROUND('PU Wise OWE'!$AP$72/10000,2)</f>
        <v>1580.16</v>
      </c>
      <c r="J67" s="20">
        <f>ROUND('PU Wise OWE'!$AP$74/10000,2)</f>
        <v>-0.43</v>
      </c>
      <c r="K67" s="22">
        <f t="shared" ref="K67" si="87">J67-I67</f>
        <v>-1580.5900000000001</v>
      </c>
      <c r="L67" s="24">
        <f t="shared" ref="L67" si="88">K67/I67</f>
        <v>-1.0002721243418389</v>
      </c>
      <c r="M67" s="22">
        <f t="shared" ref="M67" si="89">J67-H67</f>
        <v>-1685.39</v>
      </c>
      <c r="N67" s="52">
        <f t="shared" ref="N67" si="90">M67/H67</f>
        <v>-1.0002551989364734</v>
      </c>
      <c r="O67" s="52">
        <f t="shared" ref="O67:O69" si="91">J67/F67</f>
        <v>-2.6260183454863018E-4</v>
      </c>
    </row>
    <row r="68" spans="2:15">
      <c r="B68" s="87" t="s">
        <v>191</v>
      </c>
      <c r="C68" s="111">
        <v>29.64</v>
      </c>
      <c r="D68" s="66">
        <f t="shared" si="85"/>
        <v>2.7275061263063549E-3</v>
      </c>
      <c r="E68" s="23"/>
      <c r="F68" s="105">
        <f>ROUND('PU Wise OWE'!$AP$126/10000,2)-F67-F44</f>
        <v>30.179999999999907</v>
      </c>
      <c r="G68" s="24">
        <f t="shared" si="86"/>
        <v>2.6698230379719875E-3</v>
      </c>
      <c r="H68" s="70">
        <f>ROUND('PU Wise OWE'!$AP$128/10000,2)-H67-H44</f>
        <v>35.739999999999924</v>
      </c>
      <c r="I68" s="105">
        <f>ROUND('PU Wise OWE'!$AP$127/10000,2)-I67-I44</f>
        <v>24.300000000000026</v>
      </c>
      <c r="J68" s="105">
        <f>ROUND('PU Wise OWE'!$AP$129/10000,2)-J67-J44</f>
        <v>19.98</v>
      </c>
      <c r="K68" s="22">
        <f>J68-I68</f>
        <v>-4.3200000000000252</v>
      </c>
      <c r="L68" s="24">
        <f t="shared" ref="L68:L84" si="92">K68/I68</f>
        <v>-0.17777777777777862</v>
      </c>
      <c r="M68" s="22">
        <f t="shared" ref="M68" si="93">J68-H68</f>
        <v>-15.759999999999923</v>
      </c>
      <c r="N68" s="52">
        <f t="shared" ref="N68" si="94">M68/H68</f>
        <v>-0.44096250699496242</v>
      </c>
      <c r="O68" s="52">
        <f t="shared" si="91"/>
        <v>0.66202783300199008</v>
      </c>
    </row>
    <row r="69" spans="2:15" s="36" customFormat="1">
      <c r="B69" s="25" t="s">
        <v>128</v>
      </c>
      <c r="C69" s="26">
        <f>C67+C68</f>
        <v>1875.25</v>
      </c>
      <c r="D69" s="67">
        <f t="shared" si="85"/>
        <v>0.17256261347354898</v>
      </c>
      <c r="E69" s="88"/>
      <c r="F69" s="138">
        <f>SUM(F67:F68)</f>
        <v>1667.6399999999999</v>
      </c>
      <c r="G69" s="54">
        <f t="shared" si="86"/>
        <v>0.14752497319561361</v>
      </c>
      <c r="H69" s="74">
        <f>SUM(H67:H68)</f>
        <v>1720.7</v>
      </c>
      <c r="I69" s="138">
        <f>SUM(I67:I68)</f>
        <v>1604.46</v>
      </c>
      <c r="J69" s="138">
        <f>SUM(J67:J68)</f>
        <v>19.55</v>
      </c>
      <c r="K69" s="26">
        <f t="shared" ref="K69:K84" si="95">J69-I69</f>
        <v>-1584.91</v>
      </c>
      <c r="L69" s="54">
        <f t="shared" si="92"/>
        <v>-0.98781521508794234</v>
      </c>
      <c r="M69" s="26">
        <f t="shared" ref="M69" si="96">J69-H69</f>
        <v>-1701.15</v>
      </c>
      <c r="N69" s="55">
        <f t="shared" ref="N69" si="97">M69/H69</f>
        <v>-0.98863834485965019</v>
      </c>
      <c r="O69" s="55">
        <f t="shared" si="91"/>
        <v>1.1723153678251903E-2</v>
      </c>
    </row>
    <row r="70" spans="2:15">
      <c r="E70" s="31"/>
      <c r="F70" s="280"/>
      <c r="G70" s="34"/>
      <c r="I70" s="280"/>
      <c r="J70" s="32"/>
      <c r="K70" s="34"/>
      <c r="L70" s="35"/>
      <c r="M70" s="34"/>
      <c r="N70" s="92"/>
      <c r="O70" s="36"/>
    </row>
    <row r="71" spans="2:15">
      <c r="B71" s="75" t="s">
        <v>193</v>
      </c>
      <c r="C71" s="75"/>
      <c r="E71" s="31"/>
      <c r="F71" s="280"/>
      <c r="G71" s="34"/>
      <c r="I71" s="280"/>
      <c r="J71" s="32"/>
      <c r="K71" s="34"/>
      <c r="L71" s="35"/>
      <c r="M71" s="34"/>
      <c r="N71" s="92"/>
    </row>
    <row r="72" spans="2:15">
      <c r="B72" s="23" t="s">
        <v>192</v>
      </c>
      <c r="C72" s="22">
        <v>15.19</v>
      </c>
      <c r="D72" s="66">
        <f t="shared" ref="D72:D74" si="98">C72/$C$7</f>
        <v>1.3978008791698223E-3</v>
      </c>
      <c r="E72" s="23"/>
      <c r="F72" s="70">
        <f>ROUND('PU Wise OWE'!$AQ$27/10000,2)+ROUND('PU Wise OWE'!$BB$27/10000,2)</f>
        <v>21.22</v>
      </c>
      <c r="G72" s="24">
        <f t="shared" ref="G72:G74" si="99">F72/$F$7</f>
        <v>1.8771916787861415E-3</v>
      </c>
      <c r="H72" s="70">
        <f>ROUND('PU Wise OWE'!$AQ$29/10000,2)+ROUND('PU Wise OWE'!$BB$29/10000,2)</f>
        <v>10.14</v>
      </c>
      <c r="I72" s="70">
        <f>ROUND('PU Wise OWE'!$AQ$28/10000,2)+ROUND('PU Wise OWE'!$BB$28/10000,2)</f>
        <v>17.39</v>
      </c>
      <c r="J72" s="70">
        <f>ROUND('PU Wise OWE'!$AQ$30/10000,2)+ROUND('PU Wise OWE'!$BB$30/10000,2)</f>
        <v>7.46</v>
      </c>
      <c r="K72" s="22">
        <f t="shared" si="95"/>
        <v>-9.93</v>
      </c>
      <c r="L72" s="24">
        <f t="shared" si="92"/>
        <v>-0.57101782633697529</v>
      </c>
      <c r="M72" s="22">
        <f t="shared" ref="M72:M73" si="100">J72-H72</f>
        <v>-2.6800000000000006</v>
      </c>
      <c r="N72" s="52">
        <f t="shared" ref="N72:N73" si="101">M72/H72</f>
        <v>-0.26429980276134124</v>
      </c>
      <c r="O72" s="52">
        <f t="shared" ref="O72:O74" si="102">J72/F72</f>
        <v>0.351555136663525</v>
      </c>
    </row>
    <row r="73" spans="2:15">
      <c r="B73" s="23" t="s">
        <v>194</v>
      </c>
      <c r="C73" s="22">
        <v>239.05</v>
      </c>
      <c r="D73" s="66">
        <f t="shared" si="98"/>
        <v>2.1997649780483609E-2</v>
      </c>
      <c r="E73" s="23"/>
      <c r="F73" s="70">
        <f>ROUND('PU Wise OWE'!$AQ$38/10000,2)+ROUND('PU Wise OWE'!$BB$38/10000,2)</f>
        <v>257.33000000000004</v>
      </c>
      <c r="G73" s="24">
        <f t="shared" si="99"/>
        <v>2.2764266479832134E-2</v>
      </c>
      <c r="H73" s="70">
        <f>ROUND('PU Wise OWE'!$AQ$40/10000,2)+ROUND('PU Wise OWE'!$BB$40/10000,2)</f>
        <v>218.32</v>
      </c>
      <c r="I73" s="70">
        <f>ROUND('PU Wise OWE'!$AQ$39/10000,2)+ROUND('PU Wise OWE'!$BB$39/10000,2)</f>
        <v>228.39</v>
      </c>
      <c r="J73" s="70">
        <f>ROUND('PU Wise OWE'!$AQ$41/10000,2)+ROUND('PU Wise OWE'!$BB$41/10000,2)</f>
        <v>208.89999999999998</v>
      </c>
      <c r="K73" s="22">
        <f t="shared" si="95"/>
        <v>-19.490000000000009</v>
      </c>
      <c r="L73" s="24">
        <f t="shared" si="92"/>
        <v>-8.5336485835632081E-2</v>
      </c>
      <c r="M73" s="22">
        <f t="shared" si="100"/>
        <v>-9.4200000000000159</v>
      </c>
      <c r="N73" s="52">
        <f t="shared" si="101"/>
        <v>-4.3147673140344525E-2</v>
      </c>
      <c r="O73" s="52">
        <f t="shared" si="102"/>
        <v>0.81179808028601386</v>
      </c>
    </row>
    <row r="74" spans="2:15" s="36" customFormat="1">
      <c r="B74" s="25" t="s">
        <v>128</v>
      </c>
      <c r="C74" s="26">
        <f>C72+C73</f>
        <v>254.24</v>
      </c>
      <c r="D74" s="67">
        <f t="shared" si="98"/>
        <v>2.3395450659653431E-2</v>
      </c>
      <c r="E74" s="25"/>
      <c r="F74" s="138">
        <f>SUM(F72:F73)</f>
        <v>278.55000000000007</v>
      </c>
      <c r="G74" s="54">
        <f t="shared" si="99"/>
        <v>2.4641458158618276E-2</v>
      </c>
      <c r="H74" s="74">
        <f>SUM(H72:H73)</f>
        <v>228.45999999999998</v>
      </c>
      <c r="I74" s="138">
        <f t="shared" ref="I74:J74" si="103">SUM(I72:I73)</f>
        <v>245.77999999999997</v>
      </c>
      <c r="J74" s="138">
        <f t="shared" si="103"/>
        <v>216.35999999999999</v>
      </c>
      <c r="K74" s="26">
        <f t="shared" si="95"/>
        <v>-29.419999999999987</v>
      </c>
      <c r="L74" s="54">
        <f t="shared" si="92"/>
        <v>-0.11970054520302706</v>
      </c>
      <c r="M74" s="26">
        <f t="shared" ref="M74" si="104">J74-H74</f>
        <v>-12.099999999999994</v>
      </c>
      <c r="N74" s="55">
        <f t="shared" ref="N74" si="105">M74/H74</f>
        <v>-5.2963319618313909E-2</v>
      </c>
      <c r="O74" s="55">
        <f t="shared" si="102"/>
        <v>0.77673667205169605</v>
      </c>
    </row>
    <row r="75" spans="2:15" s="36" customFormat="1">
      <c r="B75" s="204"/>
      <c r="C75" s="205"/>
      <c r="D75" s="207"/>
      <c r="E75" s="204"/>
      <c r="F75" s="283"/>
      <c r="G75" s="208"/>
      <c r="H75" s="206"/>
      <c r="I75" s="283"/>
      <c r="J75" s="283"/>
      <c r="K75" s="205"/>
      <c r="L75" s="208"/>
      <c r="M75" s="205"/>
      <c r="N75" s="209"/>
      <c r="O75" s="209"/>
    </row>
    <row r="76" spans="2:15" s="36" customFormat="1">
      <c r="B76" s="204"/>
      <c r="C76" s="205"/>
      <c r="D76" s="207"/>
      <c r="E76" s="204"/>
      <c r="F76" s="283"/>
      <c r="G76" s="208"/>
      <c r="H76" s="206"/>
      <c r="I76" s="283"/>
      <c r="J76" s="283"/>
      <c r="K76" s="205"/>
      <c r="L76" s="208"/>
      <c r="M76" s="36" t="s">
        <v>148</v>
      </c>
      <c r="N76" s="209"/>
      <c r="O76" s="209"/>
    </row>
    <row r="77" spans="2:15" ht="15" customHeight="1">
      <c r="B77" s="380" t="s">
        <v>308</v>
      </c>
      <c r="C77" s="370" t="s">
        <v>330</v>
      </c>
      <c r="D77" s="370" t="s">
        <v>171</v>
      </c>
      <c r="E77" s="370"/>
      <c r="F77" s="371" t="str">
        <f>'PU Wise OWE'!$B$5</f>
        <v>RG 2023-24</v>
      </c>
      <c r="G77" s="373" t="s">
        <v>337</v>
      </c>
      <c r="H77" s="377" t="str">
        <f>'PU Wise OWE'!$B$7</f>
        <v>Actuals upto Feb-23</v>
      </c>
      <c r="I77" s="375" t="str">
        <f>'PU Wise OWE'!$B$6</f>
        <v>BP to end Feb-24</v>
      </c>
      <c r="J77" s="375" t="str">
        <f>'PU Wise OWE'!$B$8</f>
        <v>Actuals upto Feb-24</v>
      </c>
      <c r="K77" s="368" t="s">
        <v>204</v>
      </c>
      <c r="L77" s="368"/>
      <c r="M77" s="368" t="s">
        <v>145</v>
      </c>
      <c r="N77" s="368"/>
      <c r="O77" s="369" t="s">
        <v>338</v>
      </c>
    </row>
    <row r="78" spans="2:15" ht="30">
      <c r="B78" s="380"/>
      <c r="C78" s="370"/>
      <c r="D78" s="370"/>
      <c r="E78" s="370"/>
      <c r="F78" s="372"/>
      <c r="G78" s="374"/>
      <c r="H78" s="370"/>
      <c r="I78" s="376"/>
      <c r="J78" s="376"/>
      <c r="K78" s="79" t="s">
        <v>143</v>
      </c>
      <c r="L78" s="80" t="s">
        <v>144</v>
      </c>
      <c r="M78" s="79" t="s">
        <v>143</v>
      </c>
      <c r="N78" s="80" t="s">
        <v>144</v>
      </c>
      <c r="O78" s="369"/>
    </row>
    <row r="79" spans="2:15">
      <c r="B79" s="23" t="s">
        <v>197</v>
      </c>
      <c r="C79" s="22">
        <v>2.19</v>
      </c>
      <c r="D79" s="66">
        <f t="shared" ref="D79:D87" si="106">C79/$C$7</f>
        <v>2.0152626236878937E-4</v>
      </c>
      <c r="E79" s="23"/>
      <c r="F79" s="105">
        <f>ROUND('PU Wise OWE'!$AW$126/10000,2)</f>
        <v>1.72</v>
      </c>
      <c r="G79" s="24">
        <f t="shared" ref="G79:G85" si="107">F79/$F$7</f>
        <v>1.5215691270085594E-4</v>
      </c>
      <c r="H79" s="70">
        <f>ROUND('PU Wise OWE'!$AW$128/10000,2)</f>
        <v>2.12</v>
      </c>
      <c r="I79" s="105">
        <f>ROUND('PU Wise OWE'!$AW$127/10000,2)</f>
        <v>1.29</v>
      </c>
      <c r="J79" s="20">
        <f>ROUND('PU Wise OWE'!$AW$129/10000,2)</f>
        <v>1.43</v>
      </c>
      <c r="K79" s="22">
        <f t="shared" si="95"/>
        <v>0.1399999999999999</v>
      </c>
      <c r="L79" s="24">
        <f t="shared" si="92"/>
        <v>0.10852713178294565</v>
      </c>
      <c r="M79" s="22">
        <f t="shared" ref="M79:M80" si="108">J79-H79</f>
        <v>-0.69000000000000017</v>
      </c>
      <c r="N79" s="52">
        <f t="shared" ref="N79:N80" si="109">M79/H79</f>
        <v>-0.32547169811320759</v>
      </c>
      <c r="O79" s="52">
        <f t="shared" ref="O79:O87" si="110">J79/F79</f>
        <v>0.83139534883720922</v>
      </c>
    </row>
    <row r="80" spans="2:15">
      <c r="B80" s="23" t="s">
        <v>196</v>
      </c>
      <c r="C80" s="22">
        <v>1.65</v>
      </c>
      <c r="D80" s="66">
        <f t="shared" si="106"/>
        <v>1.5183485520936185E-4</v>
      </c>
      <c r="E80" s="23"/>
      <c r="F80" s="105">
        <f>ROUND('PU Wise OWE'!$AX$126/10000,2)</f>
        <v>3.65</v>
      </c>
      <c r="G80" s="24">
        <f t="shared" si="107"/>
        <v>3.2289112288263035E-4</v>
      </c>
      <c r="H80" s="70">
        <f>ROUND('PU Wise OWE'!$AX$128/10000,2)</f>
        <v>1.63</v>
      </c>
      <c r="I80" s="105">
        <f>ROUND('PU Wise OWE'!$AX$127/10000,2)</f>
        <v>3.08</v>
      </c>
      <c r="J80" s="20">
        <f>ROUND('PU Wise OWE'!$AX$129/10000,2)</f>
        <v>2.02</v>
      </c>
      <c r="K80" s="22">
        <f t="shared" si="95"/>
        <v>-1.06</v>
      </c>
      <c r="L80" s="24">
        <f t="shared" si="92"/>
        <v>-0.34415584415584416</v>
      </c>
      <c r="M80" s="22">
        <f t="shared" si="108"/>
        <v>0.39000000000000012</v>
      </c>
      <c r="N80" s="52">
        <f t="shared" si="109"/>
        <v>0.23926380368098168</v>
      </c>
      <c r="O80" s="52">
        <f t="shared" si="110"/>
        <v>0.55342465753424663</v>
      </c>
    </row>
    <row r="81" spans="2:15">
      <c r="B81" s="23" t="s">
        <v>198</v>
      </c>
      <c r="C81" s="22">
        <v>19.760000000000002</v>
      </c>
      <c r="D81" s="66">
        <f t="shared" si="106"/>
        <v>1.8183374175375702E-3</v>
      </c>
      <c r="E81" s="23"/>
      <c r="F81" s="105">
        <f>ROUND('PU Wise OWE'!$BC$126/10000,2)</f>
        <v>22.48</v>
      </c>
      <c r="G81" s="24">
        <f t="shared" si="107"/>
        <v>1.9886554636716525E-3</v>
      </c>
      <c r="H81" s="70">
        <f>ROUND('PU Wise OWE'!$BC$128/10000,2)</f>
        <v>18.71</v>
      </c>
      <c r="I81" s="105">
        <f>ROUND('PU Wise OWE'!$BC$127/10000,2)</f>
        <v>20.38</v>
      </c>
      <c r="J81" s="20">
        <f>ROUND('PU Wise OWE'!$BC$129/10000,2)</f>
        <v>21.07</v>
      </c>
      <c r="K81" s="22">
        <f t="shared" si="95"/>
        <v>0.69000000000000128</v>
      </c>
      <c r="L81" s="24">
        <f t="shared" si="92"/>
        <v>3.3856722276741968E-2</v>
      </c>
      <c r="M81" s="22">
        <f t="shared" ref="M81:M84" si="111">J81-H81</f>
        <v>2.3599999999999994</v>
      </c>
      <c r="N81" s="52">
        <f t="shared" ref="N81:N84" si="112">M81/H81</f>
        <v>0.1261357562800641</v>
      </c>
      <c r="O81" s="52">
        <f t="shared" si="110"/>
        <v>0.93727758007117434</v>
      </c>
    </row>
    <row r="82" spans="2:15">
      <c r="B82" s="23" t="s">
        <v>199</v>
      </c>
      <c r="C82" s="22">
        <v>19.64</v>
      </c>
      <c r="D82" s="66">
        <f t="shared" si="106"/>
        <v>1.8072948826132528E-3</v>
      </c>
      <c r="E82" s="23"/>
      <c r="F82" s="105">
        <f>ROUND('PU Wise OWE'!$BD$126/10000,2)</f>
        <v>22.35</v>
      </c>
      <c r="G82" s="24">
        <f t="shared" si="107"/>
        <v>1.9771552318977505E-3</v>
      </c>
      <c r="H82" s="70">
        <f>ROUND('PU Wise OWE'!$BD$128/10000,2)</f>
        <v>18.59</v>
      </c>
      <c r="I82" s="105">
        <f>ROUND('PU Wise OWE'!$BD$127/10000,2)</f>
        <v>20.25</v>
      </c>
      <c r="J82" s="20">
        <f>ROUND('PU Wise OWE'!$BD$129/10000,2)</f>
        <v>21.07</v>
      </c>
      <c r="K82" s="22">
        <f t="shared" si="95"/>
        <v>0.82000000000000028</v>
      </c>
      <c r="L82" s="24">
        <f t="shared" si="92"/>
        <v>4.0493827160493844E-2</v>
      </c>
      <c r="M82" s="22">
        <f t="shared" si="111"/>
        <v>2.4800000000000004</v>
      </c>
      <c r="N82" s="52">
        <f t="shared" si="112"/>
        <v>0.13340505648197959</v>
      </c>
      <c r="O82" s="52">
        <f t="shared" si="110"/>
        <v>0.94272930648769571</v>
      </c>
    </row>
    <row r="83" spans="2:15">
      <c r="B83" s="23" t="s">
        <v>200</v>
      </c>
      <c r="C83" s="22">
        <v>25.59</v>
      </c>
      <c r="D83" s="66">
        <f t="shared" si="106"/>
        <v>2.3548205726106487E-3</v>
      </c>
      <c r="E83" s="23"/>
      <c r="F83" s="105">
        <f>ROUND('PU Wise OWE'!$BF$126/10000,2)</f>
        <v>29.81</v>
      </c>
      <c r="G83" s="24">
        <f t="shared" si="107"/>
        <v>2.6370916090770443E-3</v>
      </c>
      <c r="H83" s="70">
        <f>ROUND('PU Wise OWE'!$BF$128/10000,2)</f>
        <v>24.12</v>
      </c>
      <c r="I83" s="105">
        <f>ROUND('PU Wise OWE'!$BF$127/10000,2)</f>
        <v>25.49</v>
      </c>
      <c r="J83" s="20">
        <f>ROUND('PU Wise OWE'!$BF$129/10000,2)</f>
        <v>20.27</v>
      </c>
      <c r="K83" s="22">
        <f t="shared" si="95"/>
        <v>-5.2199999999999989</v>
      </c>
      <c r="L83" s="24">
        <f t="shared" si="92"/>
        <v>-0.20478619066300507</v>
      </c>
      <c r="M83" s="22">
        <f t="shared" si="111"/>
        <v>-3.8500000000000014</v>
      </c>
      <c r="N83" s="52">
        <f t="shared" si="112"/>
        <v>-0.15961857379767833</v>
      </c>
      <c r="O83" s="52">
        <f t="shared" si="110"/>
        <v>0.67997316336799729</v>
      </c>
    </row>
    <row r="84" spans="2:15">
      <c r="B84" s="23" t="s">
        <v>201</v>
      </c>
      <c r="C84" s="22">
        <v>260.77</v>
      </c>
      <c r="D84" s="66">
        <f t="shared" si="106"/>
        <v>2.3996348601785025E-2</v>
      </c>
      <c r="E84" s="23"/>
      <c r="F84" s="105">
        <f>ROUND('PU Wise OWE'!$BG$126/10000,2)-ROUND('PU Wise OWE'!$BG$115/10000,2)</f>
        <v>308.8799999999992</v>
      </c>
      <c r="G84" s="24">
        <f t="shared" si="107"/>
        <v>2.7324550694790853E-2</v>
      </c>
      <c r="H84" s="70">
        <f>ROUND('PU Wise OWE'!$BG$128/10000,2)-ROUND('PU Wise OWE'!$BG$117/10000,2)</f>
        <v>243.15999999999985</v>
      </c>
      <c r="I84" s="105">
        <f>ROUND('PU Wise OWE'!$BG$127/10000,2)-ROUND('PU Wise OWE'!$BG$116/10000,2)</f>
        <v>261.99</v>
      </c>
      <c r="J84" s="20">
        <f>ROUND('PU Wise OWE'!$BG$129/10000,2)-ROUND('PU Wise OWE'!$BG$118/10000,2)</f>
        <v>208.86999999999989</v>
      </c>
      <c r="K84" s="22">
        <f t="shared" si="95"/>
        <v>-53.120000000000118</v>
      </c>
      <c r="L84" s="24">
        <f t="shared" si="92"/>
        <v>-0.20275583037520561</v>
      </c>
      <c r="M84" s="22">
        <f t="shared" si="111"/>
        <v>-34.289999999999964</v>
      </c>
      <c r="N84" s="52">
        <f t="shared" si="112"/>
        <v>-0.14101825958216804</v>
      </c>
      <c r="O84" s="52">
        <f t="shared" si="110"/>
        <v>0.67621730121730261</v>
      </c>
    </row>
    <row r="85" spans="2:15" s="36" customFormat="1">
      <c r="B85" s="25" t="s">
        <v>128</v>
      </c>
      <c r="C85" s="26">
        <f>C79+C80+C81+C82+C83+C84</f>
        <v>329.59999999999997</v>
      </c>
      <c r="D85" s="67">
        <f t="shared" si="106"/>
        <v>3.0330162592124645E-2</v>
      </c>
      <c r="E85" s="25"/>
      <c r="F85" s="138">
        <f>SUM(F79:F84)</f>
        <v>388.88999999999919</v>
      </c>
      <c r="G85" s="54">
        <f t="shared" si="107"/>
        <v>3.4402501035020787E-2</v>
      </c>
      <c r="H85" s="74">
        <f>SUM(H79:H84)</f>
        <v>308.32999999999987</v>
      </c>
      <c r="I85" s="138">
        <f>SUM(I79:I84)</f>
        <v>332.48</v>
      </c>
      <c r="J85" s="138">
        <f>SUM(J79:J84)</f>
        <v>274.7299999999999</v>
      </c>
      <c r="K85" s="26">
        <f t="shared" ref="K85" si="113">J85-I85</f>
        <v>-57.750000000000114</v>
      </c>
      <c r="L85" s="54">
        <f t="shared" ref="L85" si="114">K85/I85</f>
        <v>-0.17369465832531314</v>
      </c>
      <c r="M85" s="26">
        <f t="shared" ref="M85" si="115">J85-H85</f>
        <v>-33.599999999999966</v>
      </c>
      <c r="N85" s="55">
        <f t="shared" ref="N85" si="116">M85/H85</f>
        <v>-0.10897415107190342</v>
      </c>
      <c r="O85" s="55">
        <f t="shared" si="110"/>
        <v>0.70644655300984982</v>
      </c>
    </row>
    <row r="86" spans="2:15">
      <c r="O86" s="25"/>
    </row>
    <row r="87" spans="2:15" s="36" customFormat="1" ht="30" customHeight="1">
      <c r="B87" s="93" t="s">
        <v>202</v>
      </c>
      <c r="C87" s="112">
        <v>5286.38</v>
      </c>
      <c r="D87" s="248">
        <f t="shared" si="106"/>
        <v>0.48645863144343415</v>
      </c>
      <c r="E87" s="25"/>
      <c r="F87" s="284">
        <f>F37+F50+F55+F57+F64+F69+F74+F85</f>
        <v>5058.1099999999997</v>
      </c>
      <c r="G87" s="194">
        <f t="shared" ref="G87" si="117">F87/$F$7</f>
        <v>0.4474572102914689</v>
      </c>
      <c r="H87" s="112">
        <f>H37+H50+H55+H57+H64+H69+H74+H85</f>
        <v>4846.88</v>
      </c>
      <c r="I87" s="284">
        <f>I37+I50+I55+I57+I64+I69+I74+I85</f>
        <v>4698.380000000001</v>
      </c>
      <c r="J87" s="284">
        <f>J37+J50+J55+J57+J64+J69+J74+J85</f>
        <v>3005.2300000000005</v>
      </c>
      <c r="K87" s="193">
        <f t="shared" ref="K87" si="118">J87-I87</f>
        <v>-1693.1500000000005</v>
      </c>
      <c r="L87" s="194">
        <f t="shared" ref="L87" si="119">K87/I87</f>
        <v>-0.36036889310783721</v>
      </c>
      <c r="M87" s="193">
        <f t="shared" ref="M87" si="120">J87-H87</f>
        <v>-1841.6499999999996</v>
      </c>
      <c r="N87" s="195">
        <f t="shared" ref="N87" si="121">M87/H87</f>
        <v>-0.37996608127290127</v>
      </c>
      <c r="O87" s="195">
        <f t="shared" si="110"/>
        <v>0.594140894523844</v>
      </c>
    </row>
    <row r="88" spans="2:15">
      <c r="O88" s="92"/>
    </row>
    <row r="89" spans="2:15">
      <c r="C89" s="176"/>
      <c r="O89" s="176"/>
    </row>
    <row r="90" spans="2:15" ht="15" customHeight="1">
      <c r="B90" s="378" t="s">
        <v>251</v>
      </c>
      <c r="C90" s="381" t="s">
        <v>330</v>
      </c>
      <c r="D90" s="381" t="s">
        <v>171</v>
      </c>
      <c r="E90" s="381"/>
      <c r="F90" s="371" t="str">
        <f>'PU Wise OWE'!$B$5</f>
        <v>RG 2023-24</v>
      </c>
      <c r="G90" s="373" t="s">
        <v>337</v>
      </c>
      <c r="H90" s="371" t="str">
        <f>H77</f>
        <v>Actuals upto Feb-23</v>
      </c>
      <c r="I90" s="371" t="str">
        <f>J77</f>
        <v>Actuals upto Feb-24</v>
      </c>
      <c r="J90" s="381" t="s">
        <v>203</v>
      </c>
      <c r="K90" s="382" t="s">
        <v>145</v>
      </c>
      <c r="L90" s="382"/>
      <c r="M90" s="369" t="s">
        <v>338</v>
      </c>
      <c r="N90" s="187"/>
      <c r="O90" s="192"/>
    </row>
    <row r="91" spans="2:15" ht="30" customHeight="1">
      <c r="B91" s="379"/>
      <c r="C91" s="372"/>
      <c r="D91" s="372"/>
      <c r="E91" s="372"/>
      <c r="F91" s="372"/>
      <c r="G91" s="374"/>
      <c r="H91" s="372"/>
      <c r="I91" s="383"/>
      <c r="J91" s="372"/>
      <c r="K91" s="79" t="s">
        <v>143</v>
      </c>
      <c r="L91" s="79" t="s">
        <v>144</v>
      </c>
      <c r="M91" s="369"/>
      <c r="N91" s="187"/>
      <c r="O91" s="192"/>
    </row>
    <row r="92" spans="2:15">
      <c r="B92" s="20" t="s">
        <v>252</v>
      </c>
      <c r="C92" s="20">
        <v>0</v>
      </c>
      <c r="D92" s="66">
        <f t="shared" ref="D92:D105" si="122">C92/$C$7</f>
        <v>0</v>
      </c>
      <c r="E92" s="20"/>
      <c r="F92" s="105">
        <f>'PU Wise OWE'!V27/10000</f>
        <v>0.18640000000000001</v>
      </c>
      <c r="G92" s="182">
        <f t="shared" ref="G92:G105" si="123">F92/$F$7</f>
        <v>1.6489563097348576E-5</v>
      </c>
      <c r="H92" s="212">
        <f>'PU Wise OWE'!V29</f>
        <v>0</v>
      </c>
      <c r="I92" s="212">
        <f>'PU Wise OWE'!W30</f>
        <v>0</v>
      </c>
      <c r="J92" s="182">
        <f t="shared" ref="J92:J105" si="124">I92/$I$7</f>
        <v>0</v>
      </c>
      <c r="K92" s="22">
        <f>I92-H92</f>
        <v>0</v>
      </c>
      <c r="L92" s="52">
        <v>0</v>
      </c>
      <c r="M92" s="183">
        <v>0</v>
      </c>
      <c r="N92" s="187"/>
      <c r="O92" s="189"/>
    </row>
    <row r="93" spans="2:15">
      <c r="B93" s="20" t="s">
        <v>253</v>
      </c>
      <c r="C93" s="20">
        <v>65.05</v>
      </c>
      <c r="D93" s="66">
        <f t="shared" si="122"/>
        <v>5.9859741402236294E-3</v>
      </c>
      <c r="E93" s="20"/>
      <c r="F93" s="105">
        <f>'PU Wise OWE'!V38/10000</f>
        <v>80.548900000000003</v>
      </c>
      <c r="G93" s="182">
        <f t="shared" si="123"/>
        <v>7.1256232240988239E-3</v>
      </c>
      <c r="H93" s="109">
        <f>'PU Wise OWE'!V40/10000</f>
        <v>62.046700000000001</v>
      </c>
      <c r="I93" s="109">
        <f>'PU Wise OWE'!V41/10000</f>
        <v>61.3279</v>
      </c>
      <c r="J93" s="182">
        <f t="shared" si="124"/>
        <v>5.909237631175018E-3</v>
      </c>
      <c r="K93" s="22">
        <f t="shared" ref="K93:K94" si="125">I93-H93</f>
        <v>-0.71880000000000166</v>
      </c>
      <c r="L93" s="52">
        <f t="shared" ref="L93:L94" si="126">K93/H93</f>
        <v>-1.1584822399902037E-2</v>
      </c>
      <c r="M93" s="183">
        <f t="shared" ref="M93:M105" si="127">I93/F93</f>
        <v>0.76137476737733223</v>
      </c>
      <c r="N93" s="187"/>
      <c r="O93" s="189"/>
    </row>
    <row r="94" spans="2:15">
      <c r="B94" s="20" t="s">
        <v>263</v>
      </c>
      <c r="C94" s="20">
        <v>0.48</v>
      </c>
      <c r="D94" s="66">
        <f t="shared" si="122"/>
        <v>4.4170139697268902E-5</v>
      </c>
      <c r="E94" s="20"/>
      <c r="F94" s="105">
        <f>'PU Wise OWE'!V49/10000</f>
        <v>0.97360000000000002</v>
      </c>
      <c r="G94" s="182">
        <f t="shared" si="123"/>
        <v>8.6127889654391494E-5</v>
      </c>
      <c r="H94" s="109">
        <f>'PU Wise OWE'!V51/10000</f>
        <v>0.4829</v>
      </c>
      <c r="I94" s="105">
        <f>'PU Wise OWE'!V52/10000</f>
        <v>0.74109999999999998</v>
      </c>
      <c r="J94" s="182">
        <f t="shared" si="124"/>
        <v>7.1408543394830182E-5</v>
      </c>
      <c r="K94" s="22">
        <f t="shared" si="125"/>
        <v>0.25819999999999999</v>
      </c>
      <c r="L94" s="52">
        <f t="shared" si="126"/>
        <v>0.53468627044936834</v>
      </c>
      <c r="M94" s="183">
        <f t="shared" si="127"/>
        <v>0.76119556285949053</v>
      </c>
      <c r="N94" s="187"/>
      <c r="O94" s="189"/>
    </row>
    <row r="95" spans="2:15">
      <c r="B95" s="59" t="s">
        <v>254</v>
      </c>
      <c r="C95" s="27">
        <f>SUM(C92:C94)</f>
        <v>65.53</v>
      </c>
      <c r="D95" s="67">
        <f t="shared" si="122"/>
        <v>6.0301442799208993E-3</v>
      </c>
      <c r="E95" s="27">
        <f t="shared" ref="E95" si="128">SUM(E92:E93)</f>
        <v>0</v>
      </c>
      <c r="F95" s="104">
        <f>F92+F93+F94</f>
        <v>81.708900000000014</v>
      </c>
      <c r="G95" s="184">
        <f t="shared" si="123"/>
        <v>7.2282406768505647E-3</v>
      </c>
      <c r="H95" s="104">
        <f>SUM(H92:H94)</f>
        <v>62.529600000000002</v>
      </c>
      <c r="I95" s="104">
        <f>SUM(I92:I94)</f>
        <v>62.069000000000003</v>
      </c>
      <c r="J95" s="184">
        <f t="shared" si="124"/>
        <v>5.9806461745698482E-3</v>
      </c>
      <c r="K95" s="26">
        <f t="shared" ref="K95" si="129">I95-H95</f>
        <v>-0.46059999999999945</v>
      </c>
      <c r="L95" s="55">
        <f t="shared" ref="L95" si="130">K95/H95</f>
        <v>-7.3661114096363872E-3</v>
      </c>
      <c r="M95" s="185">
        <f t="shared" si="127"/>
        <v>0.75963573123613204</v>
      </c>
      <c r="N95" s="187"/>
      <c r="O95" s="190"/>
    </row>
    <row r="96" spans="2:15">
      <c r="B96" s="20" t="s">
        <v>255</v>
      </c>
      <c r="C96" s="20">
        <v>0</v>
      </c>
      <c r="D96" s="66">
        <f t="shared" si="122"/>
        <v>0</v>
      </c>
      <c r="E96" s="20"/>
      <c r="F96" s="105">
        <f>'PU Wise OWE'!AQ27</f>
        <v>0</v>
      </c>
      <c r="G96" s="182">
        <f t="shared" si="123"/>
        <v>0</v>
      </c>
      <c r="H96" s="212">
        <f>'PU Wise OWE'!AQ29/10000</f>
        <v>0</v>
      </c>
      <c r="I96" s="105">
        <f>'PU Wise OWE'!AQ30</f>
        <v>0</v>
      </c>
      <c r="J96" s="182">
        <f t="shared" si="124"/>
        <v>0</v>
      </c>
      <c r="K96" s="22">
        <f>I96-H96</f>
        <v>0</v>
      </c>
      <c r="L96" s="52">
        <v>0</v>
      </c>
      <c r="M96" s="183">
        <v>0</v>
      </c>
      <c r="N96" s="187"/>
      <c r="O96" s="189"/>
    </row>
    <row r="97" spans="2:15">
      <c r="B97" s="20" t="s">
        <v>256</v>
      </c>
      <c r="C97" s="20">
        <v>67.5</v>
      </c>
      <c r="D97" s="66">
        <f t="shared" si="122"/>
        <v>6.21142589492844E-3</v>
      </c>
      <c r="E97" s="20"/>
      <c r="F97" s="105">
        <f>'PU Wise OWE'!AQ38/10000</f>
        <v>85.722499999999997</v>
      </c>
      <c r="G97" s="182">
        <f t="shared" si="123"/>
        <v>7.5832970633715841E-3</v>
      </c>
      <c r="H97" s="109">
        <f>'PU Wise OWE'!AQ40/10000</f>
        <v>64.011499999999998</v>
      </c>
      <c r="I97" s="105">
        <f>'PU Wise OWE'!AQ41/10000</f>
        <v>70.233500000000006</v>
      </c>
      <c r="J97" s="182">
        <f t="shared" si="124"/>
        <v>6.7673349514516343E-3</v>
      </c>
      <c r="K97" s="22">
        <f t="shared" ref="K97:K99" si="131">I97-H97</f>
        <v>6.2220000000000084</v>
      </c>
      <c r="L97" s="52">
        <f t="shared" ref="L97:L99" si="132">K97/H97</f>
        <v>9.7201284144255468E-2</v>
      </c>
      <c r="M97" s="183">
        <f t="shared" si="127"/>
        <v>0.81931231590305942</v>
      </c>
      <c r="N97" s="187"/>
      <c r="O97" s="189"/>
    </row>
    <row r="98" spans="2:15">
      <c r="B98" s="20" t="s">
        <v>264</v>
      </c>
      <c r="C98" s="20">
        <v>0.01</v>
      </c>
      <c r="D98" s="66">
        <f t="shared" si="122"/>
        <v>9.2021124369310219E-7</v>
      </c>
      <c r="E98" s="20"/>
      <c r="F98" s="105">
        <f>'PU Wise OWE'!AQ49/10000</f>
        <v>6.7999999999999996E-3</v>
      </c>
      <c r="G98" s="182">
        <f t="shared" si="123"/>
        <v>6.0155058509640727E-7</v>
      </c>
      <c r="H98" s="109">
        <f>'PU Wise OWE'!AQ51/10000</f>
        <v>5.3E-3</v>
      </c>
      <c r="I98" s="109">
        <f>'PU Wise OWE'!AQ52/10000</f>
        <v>1.44E-2</v>
      </c>
      <c r="J98" s="182">
        <f t="shared" si="124"/>
        <v>1.3875091416617928E-6</v>
      </c>
      <c r="K98" s="22">
        <f t="shared" si="131"/>
        <v>9.1000000000000004E-3</v>
      </c>
      <c r="L98" s="52">
        <f t="shared" si="132"/>
        <v>1.7169811320754718</v>
      </c>
      <c r="M98" s="183">
        <v>0</v>
      </c>
      <c r="N98" s="187"/>
      <c r="O98" s="189"/>
    </row>
    <row r="99" spans="2:15">
      <c r="B99" s="59" t="s">
        <v>257</v>
      </c>
      <c r="C99" s="27">
        <f>SUM(C96:C98)</f>
        <v>67.510000000000005</v>
      </c>
      <c r="D99" s="67">
        <f t="shared" si="122"/>
        <v>6.2123461061721333E-3</v>
      </c>
      <c r="E99" s="27">
        <f t="shared" ref="E99" si="133">SUM(E96:E97)</f>
        <v>0</v>
      </c>
      <c r="F99" s="104">
        <f>SUM(F96:F98)</f>
        <v>85.729299999999995</v>
      </c>
      <c r="G99" s="184">
        <f t="shared" si="123"/>
        <v>7.5838986139566801E-3</v>
      </c>
      <c r="H99" s="104">
        <f>H97+H98</f>
        <v>64.016800000000003</v>
      </c>
      <c r="I99" s="104">
        <f>I97+I98</f>
        <v>70.247900000000001</v>
      </c>
      <c r="J99" s="184">
        <f t="shared" si="124"/>
        <v>6.7687224605932957E-3</v>
      </c>
      <c r="K99" s="26">
        <f t="shared" si="131"/>
        <v>6.2310999999999979</v>
      </c>
      <c r="L99" s="55">
        <f t="shared" si="132"/>
        <v>9.7335386960922712E-2</v>
      </c>
      <c r="M99" s="185">
        <f t="shared" si="127"/>
        <v>0.81941529908677668</v>
      </c>
      <c r="N99" s="187"/>
      <c r="O99" s="190"/>
    </row>
    <row r="100" spans="2:15">
      <c r="B100" s="20" t="s">
        <v>258</v>
      </c>
      <c r="C100" s="105">
        <v>13.03</v>
      </c>
      <c r="D100" s="66">
        <f t="shared" si="122"/>
        <v>1.1990352505321122E-3</v>
      </c>
      <c r="E100" s="20"/>
      <c r="F100" s="105">
        <f>'PU Wise OWE'!AC27/10000</f>
        <v>13.0259</v>
      </c>
      <c r="G100" s="182">
        <f t="shared" si="123"/>
        <v>1.1523143774128371E-3</v>
      </c>
      <c r="H100" s="109">
        <f>'PU Wise OWE'!AC29/10000</f>
        <v>10.486599999999999</v>
      </c>
      <c r="I100" s="105">
        <f>'PU Wise OWE'!AC30/10000</f>
        <v>7.1535000000000002</v>
      </c>
      <c r="J100" s="182">
        <f t="shared" si="124"/>
        <v>6.8927407256094686E-4</v>
      </c>
      <c r="K100" s="22">
        <f>I100-H100</f>
        <v>-3.3330999999999991</v>
      </c>
      <c r="L100" s="52">
        <f>K100/H100</f>
        <v>-0.31784372437205571</v>
      </c>
      <c r="M100" s="183">
        <f t="shared" si="127"/>
        <v>0.54917510498314892</v>
      </c>
      <c r="N100" s="187"/>
      <c r="O100" s="189"/>
    </row>
    <row r="101" spans="2:15">
      <c r="B101" s="20" t="s">
        <v>259</v>
      </c>
      <c r="C101" s="20">
        <v>165.34</v>
      </c>
      <c r="D101" s="66">
        <f t="shared" si="122"/>
        <v>1.5214772703221753E-2</v>
      </c>
      <c r="E101" s="20"/>
      <c r="F101" s="105">
        <f>'PU Wise OWE'!AC38/10000</f>
        <v>165.33250000000001</v>
      </c>
      <c r="G101" s="182">
        <f t="shared" si="123"/>
        <v>1.4625862075066436E-2</v>
      </c>
      <c r="H101" s="109">
        <f>'PU Wise OWE'!AC40/10000</f>
        <v>149.79339999999999</v>
      </c>
      <c r="I101" s="105">
        <f>'PU Wise OWE'!AC41/10000</f>
        <v>122.6096</v>
      </c>
      <c r="J101" s="182">
        <f t="shared" si="124"/>
        <v>1.1814023670520538E-2</v>
      </c>
      <c r="K101" s="22">
        <f t="shared" ref="K101:K102" si="134">I101-H101</f>
        <v>-27.183799999999991</v>
      </c>
      <c r="L101" s="52">
        <f t="shared" ref="L101:L102" si="135">K101/H101</f>
        <v>-0.18147528529294343</v>
      </c>
      <c r="M101" s="183">
        <f t="shared" si="127"/>
        <v>0.74159406045393372</v>
      </c>
      <c r="N101" s="187"/>
      <c r="O101" s="189"/>
    </row>
    <row r="102" spans="2:15">
      <c r="B102" s="59" t="s">
        <v>260</v>
      </c>
      <c r="C102" s="27">
        <f t="shared" ref="C102:I102" si="136">SUM(C100:C101)</f>
        <v>178.37</v>
      </c>
      <c r="D102" s="67">
        <f t="shared" si="122"/>
        <v>1.6413807953753863E-2</v>
      </c>
      <c r="E102" s="27">
        <f t="shared" si="136"/>
        <v>0</v>
      </c>
      <c r="F102" s="104">
        <f>F100+F101</f>
        <v>178.35840000000002</v>
      </c>
      <c r="G102" s="184">
        <f t="shared" si="123"/>
        <v>1.5778176452479274E-2</v>
      </c>
      <c r="H102" s="104">
        <f t="shared" ref="H102" si="137">SUM(H100:H101)</f>
        <v>160.28</v>
      </c>
      <c r="I102" s="104">
        <f t="shared" si="136"/>
        <v>129.76310000000001</v>
      </c>
      <c r="J102" s="184">
        <f t="shared" si="124"/>
        <v>1.2503297743081485E-2</v>
      </c>
      <c r="K102" s="22">
        <f t="shared" si="134"/>
        <v>-30.516899999999993</v>
      </c>
      <c r="L102" s="52">
        <f t="shared" si="135"/>
        <v>-0.19039742949837779</v>
      </c>
      <c r="M102" s="185">
        <f t="shared" si="127"/>
        <v>0.72754128765452031</v>
      </c>
      <c r="N102" s="187"/>
      <c r="O102" s="190"/>
    </row>
    <row r="103" spans="2:15">
      <c r="B103" s="20" t="s">
        <v>261</v>
      </c>
      <c r="C103" s="105">
        <v>15.19</v>
      </c>
      <c r="D103" s="66">
        <f t="shared" si="122"/>
        <v>1.3978008791698223E-3</v>
      </c>
      <c r="E103" s="20"/>
      <c r="F103" s="105">
        <f>'PU Wise OWE'!BB27/10000</f>
        <v>21.2224</v>
      </c>
      <c r="G103" s="182">
        <f t="shared" si="123"/>
        <v>1.8774039907573522E-3</v>
      </c>
      <c r="H103" s="109">
        <f>'PU Wise OWE'!BB29/10000</f>
        <v>10.1417</v>
      </c>
      <c r="I103" s="105">
        <f>'PU Wise OWE'!BB30/10000</f>
        <v>7.4630000000000001</v>
      </c>
      <c r="J103" s="182">
        <f t="shared" si="124"/>
        <v>7.1909588362652503E-4</v>
      </c>
      <c r="K103" s="22">
        <f>I103-H103</f>
        <v>-2.6787000000000001</v>
      </c>
      <c r="L103" s="52">
        <f>K103/H103</f>
        <v>-0.26412731593322619</v>
      </c>
      <c r="M103" s="183">
        <f t="shared" si="127"/>
        <v>0.35165674004825093</v>
      </c>
      <c r="N103" s="187"/>
      <c r="O103" s="189"/>
    </row>
    <row r="104" spans="2:15">
      <c r="B104" s="20" t="s">
        <v>262</v>
      </c>
      <c r="C104" s="105">
        <v>171.55</v>
      </c>
      <c r="D104" s="66">
        <f t="shared" si="122"/>
        <v>1.5786223885555169E-2</v>
      </c>
      <c r="E104" s="20"/>
      <c r="F104" s="105">
        <f>'PU Wise OWE'!BB38/10000</f>
        <v>171.61019999999999</v>
      </c>
      <c r="G104" s="182">
        <f t="shared" si="123"/>
        <v>1.5181208267428158E-2</v>
      </c>
      <c r="H104" s="109">
        <f>'PU Wise OWE'!BB40/10000</f>
        <v>154.30510000000001</v>
      </c>
      <c r="I104" s="105">
        <f>'PU Wise OWE'!BB41/10000</f>
        <v>138.6652</v>
      </c>
      <c r="J104" s="182">
        <f t="shared" si="124"/>
        <v>1.3361057821552835E-2</v>
      </c>
      <c r="K104" s="22">
        <f t="shared" ref="K104:K105" si="138">I104-H104</f>
        <v>-15.639900000000011</v>
      </c>
      <c r="L104" s="52">
        <f t="shared" ref="L104:L105" si="139">K104/H104</f>
        <v>-0.10135698690451586</v>
      </c>
      <c r="M104" s="183">
        <f t="shared" si="127"/>
        <v>0.80802423165988968</v>
      </c>
      <c r="N104" s="187"/>
      <c r="O104" s="189"/>
    </row>
    <row r="105" spans="2:15">
      <c r="B105" s="59" t="s">
        <v>292</v>
      </c>
      <c r="C105" s="104">
        <f>SUM(C103:C104)</f>
        <v>186.74</v>
      </c>
      <c r="D105" s="67">
        <f t="shared" si="122"/>
        <v>1.7184024764724991E-2</v>
      </c>
      <c r="E105" s="27">
        <f t="shared" ref="E105:F105" si="140">SUM(E103:E104)</f>
        <v>0</v>
      </c>
      <c r="F105" s="104">
        <f t="shared" si="140"/>
        <v>192.83259999999999</v>
      </c>
      <c r="G105" s="184">
        <f t="shared" si="123"/>
        <v>1.7058612258185508E-2</v>
      </c>
      <c r="H105" s="104">
        <f>SUM(H103:H104)</f>
        <v>164.4468</v>
      </c>
      <c r="I105" s="104">
        <f>SUM(I103:I104)</f>
        <v>146.12819999999999</v>
      </c>
      <c r="J105" s="184">
        <f t="shared" si="124"/>
        <v>1.4080153705179359E-2</v>
      </c>
      <c r="K105" s="26">
        <f t="shared" si="138"/>
        <v>-18.318600000000004</v>
      </c>
      <c r="L105" s="55">
        <f t="shared" si="139"/>
        <v>-0.11139529622954052</v>
      </c>
      <c r="M105" s="185">
        <f t="shared" si="127"/>
        <v>0.75779821461723795</v>
      </c>
      <c r="N105" s="187"/>
      <c r="O105" s="190"/>
    </row>
    <row r="106" spans="2:15">
      <c r="B106" s="176"/>
      <c r="C106" s="176"/>
      <c r="D106" s="176"/>
      <c r="E106" s="176"/>
      <c r="G106" s="176"/>
      <c r="H106" s="136"/>
      <c r="K106" s="176"/>
      <c r="L106" s="176"/>
      <c r="M106" s="176"/>
      <c r="N106" s="187"/>
      <c r="O106" s="188"/>
    </row>
    <row r="107" spans="2:15" ht="15" customHeight="1">
      <c r="B107" s="244"/>
      <c r="C107" s="381" t="s">
        <v>330</v>
      </c>
      <c r="D107" s="381" t="s">
        <v>171</v>
      </c>
      <c r="E107" s="381"/>
      <c r="F107" s="371" t="str">
        <f>'PU Wise OWE'!$B$5</f>
        <v>RG 2023-24</v>
      </c>
      <c r="G107" s="373" t="s">
        <v>337</v>
      </c>
      <c r="H107" s="371" t="str">
        <f>'PU Wise OWE'!$B$7</f>
        <v>Actuals upto Feb-23</v>
      </c>
      <c r="I107" s="371" t="str">
        <f>I90</f>
        <v>Actuals upto Feb-24</v>
      </c>
      <c r="J107" s="381" t="s">
        <v>203</v>
      </c>
      <c r="K107" s="382" t="s">
        <v>145</v>
      </c>
      <c r="L107" s="382"/>
      <c r="M107" s="369" t="s">
        <v>338</v>
      </c>
      <c r="N107" s="187"/>
      <c r="O107" s="192"/>
    </row>
    <row r="108" spans="2:15" ht="30">
      <c r="B108" s="78" t="s">
        <v>189</v>
      </c>
      <c r="C108" s="372"/>
      <c r="D108" s="372"/>
      <c r="E108" s="372"/>
      <c r="F108" s="372"/>
      <c r="G108" s="374"/>
      <c r="H108" s="372"/>
      <c r="I108" s="383"/>
      <c r="J108" s="372"/>
      <c r="K108" s="79" t="s">
        <v>143</v>
      </c>
      <c r="L108" s="79" t="s">
        <v>144</v>
      </c>
      <c r="M108" s="369"/>
      <c r="N108" s="187"/>
      <c r="O108" s="192"/>
    </row>
    <row r="109" spans="2:15">
      <c r="B109" s="20" t="s">
        <v>215</v>
      </c>
      <c r="C109" s="20">
        <v>383.04</v>
      </c>
      <c r="D109" s="66">
        <f t="shared" ref="D109:D112" si="141">C109/$C$7</f>
        <v>3.5247771478420592E-2</v>
      </c>
      <c r="E109" s="20"/>
      <c r="F109" s="56">
        <v>53.99</v>
      </c>
      <c r="G109" s="182">
        <f t="shared" ref="G109:G112" si="142">F109/$F$7</f>
        <v>4.7761347190227984E-3</v>
      </c>
      <c r="H109" s="288">
        <v>347.24</v>
      </c>
      <c r="I109" s="288">
        <v>-1440.31</v>
      </c>
      <c r="J109" s="182">
        <f t="shared" ref="J109:J112" si="143">I109/$I$7</f>
        <v>-0.13878078415464559</v>
      </c>
      <c r="K109" s="105">
        <f t="shared" ref="K109" si="144">I109-H109</f>
        <v>-1787.55</v>
      </c>
      <c r="L109" s="183">
        <f t="shared" ref="L109" si="145">K109/H109</f>
        <v>-5.1478804285220594</v>
      </c>
      <c r="M109" s="183">
        <f t="shared" ref="M109:M112" si="146">I109/F109</f>
        <v>-26.677347656973513</v>
      </c>
      <c r="N109" s="187"/>
      <c r="O109" s="189"/>
    </row>
    <row r="110" spans="2:15">
      <c r="B110" s="20" t="s">
        <v>214</v>
      </c>
      <c r="C110" s="20">
        <v>783.87</v>
      </c>
      <c r="D110" s="66">
        <f t="shared" si="141"/>
        <v>7.2132598759371197E-2</v>
      </c>
      <c r="E110" s="20"/>
      <c r="F110" s="106">
        <v>783.37</v>
      </c>
      <c r="G110" s="182">
        <f t="shared" si="142"/>
        <v>6.9299512036319497E-2</v>
      </c>
      <c r="H110" s="288">
        <v>712.61</v>
      </c>
      <c r="I110" s="288">
        <v>802.84</v>
      </c>
      <c r="J110" s="182">
        <f t="shared" si="143"/>
        <v>7.7357488839705127E-2</v>
      </c>
      <c r="K110" s="105">
        <f>I110-H110</f>
        <v>90.230000000000018</v>
      </c>
      <c r="L110" s="183">
        <f>K110/H110</f>
        <v>0.12661904828728199</v>
      </c>
      <c r="M110" s="183">
        <f t="shared" si="146"/>
        <v>1.0248541557629218</v>
      </c>
      <c r="N110" s="187"/>
      <c r="O110" s="189"/>
    </row>
    <row r="111" spans="2:15">
      <c r="B111" s="245" t="s">
        <v>213</v>
      </c>
      <c r="C111" s="20">
        <v>678.67</v>
      </c>
      <c r="D111" s="66">
        <f t="shared" si="141"/>
        <v>6.2451976475719762E-2</v>
      </c>
      <c r="E111" s="20"/>
      <c r="F111" s="106">
        <v>524.26</v>
      </c>
      <c r="G111" s="182">
        <f t="shared" si="142"/>
        <v>4.637778084450625E-2</v>
      </c>
      <c r="H111" s="288">
        <v>625.05999999999995</v>
      </c>
      <c r="I111" s="288">
        <v>637.03</v>
      </c>
      <c r="J111" s="182">
        <f t="shared" si="143"/>
        <v>6.1380899202278599E-2</v>
      </c>
      <c r="K111" s="105">
        <f t="shared" ref="K111" si="147">I111-H111</f>
        <v>11.970000000000027</v>
      </c>
      <c r="L111" s="183">
        <f t="shared" ref="L111" si="148">K111/H111</f>
        <v>1.9150161584487936E-2</v>
      </c>
      <c r="M111" s="183">
        <f t="shared" si="146"/>
        <v>1.2151031930721397</v>
      </c>
      <c r="N111" s="187"/>
      <c r="O111" s="189"/>
    </row>
    <row r="112" spans="2:15">
      <c r="B112" s="27" t="s">
        <v>128</v>
      </c>
      <c r="C112" s="27">
        <f>SUM(C109:C111)</f>
        <v>1845.58</v>
      </c>
      <c r="D112" s="67">
        <f t="shared" si="141"/>
        <v>0.16983234671351155</v>
      </c>
      <c r="E112" s="27"/>
      <c r="F112" s="74">
        <f>+F109+F110+F111</f>
        <v>1361.62</v>
      </c>
      <c r="G112" s="184">
        <f t="shared" si="142"/>
        <v>0.12045342759984853</v>
      </c>
      <c r="H112" s="74">
        <f>+H109+H110+H111</f>
        <v>1684.9099999999999</v>
      </c>
      <c r="I112" s="26">
        <f>SUM(I109:I111)</f>
        <v>-0.43999999999994088</v>
      </c>
      <c r="J112" s="184">
        <f t="shared" si="143"/>
        <v>-4.2396112661882419E-5</v>
      </c>
      <c r="K112" s="104">
        <f t="shared" ref="K112" si="149">I112-H112</f>
        <v>-1685.35</v>
      </c>
      <c r="L112" s="185">
        <f t="shared" ref="L112" si="150">K112/H112</f>
        <v>-1.0002611415446523</v>
      </c>
      <c r="M112" s="185">
        <f t="shared" si="146"/>
        <v>-3.2314448965198875E-4</v>
      </c>
      <c r="N112" s="187"/>
      <c r="O112" s="190"/>
    </row>
    <row r="113" spans="2:15">
      <c r="B113" s="176"/>
      <c r="C113" s="176"/>
      <c r="D113" s="176"/>
      <c r="E113" s="176"/>
      <c r="G113" s="176"/>
      <c r="H113" s="242"/>
      <c r="I113" s="41"/>
      <c r="K113" s="176"/>
      <c r="L113" s="176"/>
      <c r="M113" s="176"/>
      <c r="N113" s="187"/>
      <c r="O113" s="188"/>
    </row>
    <row r="114" spans="2:15">
      <c r="B114" s="197" t="s">
        <v>216</v>
      </c>
      <c r="C114" s="32"/>
      <c r="D114" s="32"/>
      <c r="E114" s="32"/>
      <c r="F114" s="32"/>
      <c r="G114" s="32"/>
      <c r="H114" s="287"/>
      <c r="I114" s="286"/>
      <c r="J114" s="32"/>
      <c r="K114" s="32"/>
      <c r="L114" s="32"/>
      <c r="M114" s="32"/>
      <c r="N114" s="187"/>
      <c r="O114" s="188"/>
    </row>
    <row r="115" spans="2:15">
      <c r="B115" s="20" t="s">
        <v>217</v>
      </c>
      <c r="C115" s="105">
        <v>50.51</v>
      </c>
      <c r="D115" s="66">
        <f t="shared" ref="D115:D118" si="151">C115/$C$7</f>
        <v>4.6479869918938594E-3</v>
      </c>
      <c r="E115" s="20"/>
      <c r="F115" s="106">
        <v>46.15</v>
      </c>
      <c r="G115" s="182">
        <f t="shared" ref="G115:G118" si="152">F115/$F$7</f>
        <v>4.0825822797351755E-3</v>
      </c>
      <c r="H115" s="289">
        <v>53.96</v>
      </c>
      <c r="I115" s="56">
        <v>52</v>
      </c>
      <c r="J115" s="182">
        <f t="shared" ref="J115:J118" si="153">I115/$I$7</f>
        <v>5.010449678223141E-3</v>
      </c>
      <c r="K115" s="105">
        <f t="shared" ref="K115" si="154">I115-H115</f>
        <v>-1.9600000000000009</v>
      </c>
      <c r="L115" s="183">
        <f t="shared" ref="L115" si="155">K115/H115</f>
        <v>-3.6323202372127515E-2</v>
      </c>
      <c r="M115" s="183">
        <f t="shared" ref="M115:M118" si="156">I115/F115</f>
        <v>1.1267605633802817</v>
      </c>
      <c r="N115" s="187"/>
      <c r="O115" s="189"/>
    </row>
    <row r="116" spans="2:15">
      <c r="B116" s="20" t="s">
        <v>218</v>
      </c>
      <c r="C116" s="105">
        <v>41.41</v>
      </c>
      <c r="D116" s="66">
        <f t="shared" si="151"/>
        <v>3.8105947601331357E-3</v>
      </c>
      <c r="E116" s="20"/>
      <c r="F116" s="106">
        <v>44.69</v>
      </c>
      <c r="G116" s="182">
        <f t="shared" si="152"/>
        <v>3.9534258305821239E-3</v>
      </c>
      <c r="H116" s="289">
        <v>38.75</v>
      </c>
      <c r="I116" s="106">
        <v>45.19</v>
      </c>
      <c r="J116" s="182">
        <f t="shared" si="153"/>
        <v>4.3542734799789174E-3</v>
      </c>
      <c r="K116" s="105">
        <f>I116-H116</f>
        <v>6.4399999999999977</v>
      </c>
      <c r="L116" s="183">
        <f>K116/H116</f>
        <v>0.16619354838709671</v>
      </c>
      <c r="M116" s="183">
        <f t="shared" si="156"/>
        <v>1.0111881852763482</v>
      </c>
      <c r="N116" s="187"/>
      <c r="O116" s="189"/>
    </row>
    <row r="117" spans="2:15">
      <c r="B117" s="245" t="s">
        <v>219</v>
      </c>
      <c r="C117" s="20">
        <v>36.520000000000003</v>
      </c>
      <c r="D117" s="66">
        <f t="shared" si="151"/>
        <v>3.3606114619672096E-3</v>
      </c>
      <c r="E117" s="20"/>
      <c r="F117" s="56">
        <v>42.61</v>
      </c>
      <c r="G117" s="182">
        <f t="shared" si="152"/>
        <v>3.7694221221996932E-3</v>
      </c>
      <c r="H117" s="289">
        <v>33.5</v>
      </c>
      <c r="I117" s="106">
        <v>33.950000000000003</v>
      </c>
      <c r="J117" s="182">
        <f t="shared" si="153"/>
        <v>3.2712455110706852E-3</v>
      </c>
      <c r="K117" s="105">
        <f t="shared" ref="K117" si="157">I117-H117</f>
        <v>0.45000000000000284</v>
      </c>
      <c r="L117" s="183">
        <f t="shared" ref="L117" si="158">K117/H117</f>
        <v>1.3432835820895607E-2</v>
      </c>
      <c r="M117" s="183">
        <f t="shared" si="156"/>
        <v>0.79676132363295005</v>
      </c>
      <c r="N117" s="187"/>
      <c r="O117" s="189"/>
    </row>
    <row r="118" spans="2:15">
      <c r="B118" s="27" t="s">
        <v>128</v>
      </c>
      <c r="C118" s="104">
        <f>SUM(C115:C117)</f>
        <v>128.44</v>
      </c>
      <c r="D118" s="67">
        <f t="shared" si="151"/>
        <v>1.1819193213994205E-2</v>
      </c>
      <c r="E118" s="27"/>
      <c r="F118" s="25">
        <f>SUM(F115:F117)</f>
        <v>133.44999999999999</v>
      </c>
      <c r="G118" s="184">
        <f t="shared" si="152"/>
        <v>1.1805430232516992E-2</v>
      </c>
      <c r="H118" s="290">
        <f>SUM(H115:H117)</f>
        <v>126.21000000000001</v>
      </c>
      <c r="I118" s="26">
        <f>SUM(I115:I117)</f>
        <v>131.13999999999999</v>
      </c>
      <c r="J118" s="184">
        <f t="shared" si="153"/>
        <v>1.2635968669272742E-2</v>
      </c>
      <c r="K118" s="104">
        <f t="shared" ref="K118" si="159">I118-H118</f>
        <v>4.9299999999999784</v>
      </c>
      <c r="L118" s="185">
        <f t="shared" ref="L118" si="160">K118/H118</f>
        <v>3.906188099199729E-2</v>
      </c>
      <c r="M118" s="185">
        <f t="shared" si="156"/>
        <v>0.98269014612214312</v>
      </c>
      <c r="N118" s="187"/>
      <c r="O118" s="190"/>
    </row>
    <row r="119" spans="2:15">
      <c r="H119" s="136"/>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04" right="0.31496062992126" top="0.893700787" bottom="0.15748031496063"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E26" sqref="E26"/>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277</v>
      </c>
      <c r="C1" s="36"/>
    </row>
    <row r="2" spans="1:14">
      <c r="K2" s="36" t="s">
        <v>148</v>
      </c>
    </row>
    <row r="3" spans="1:14" s="36" customFormat="1" ht="15" customHeight="1">
      <c r="B3" s="407" t="s">
        <v>149</v>
      </c>
      <c r="C3" s="413" t="s">
        <v>293</v>
      </c>
      <c r="D3" s="415" t="str">
        <f>'PU Wise OWE'!$B$7</f>
        <v>Actuals upto Feb-23</v>
      </c>
      <c r="E3" s="413" t="s">
        <v>171</v>
      </c>
      <c r="F3" s="413"/>
      <c r="G3" s="433" t="str">
        <f>'PU Wise OWE'!$B$5</f>
        <v>RG 2023-24</v>
      </c>
      <c r="H3" s="413" t="s">
        <v>310</v>
      </c>
      <c r="I3" s="415" t="str">
        <f>'PU Wise OWE'!B8</f>
        <v>Actuals upto Feb-24</v>
      </c>
      <c r="J3" s="413" t="s">
        <v>203</v>
      </c>
      <c r="K3" s="417" t="s">
        <v>145</v>
      </c>
      <c r="L3" s="417"/>
      <c r="M3" s="384" t="s">
        <v>305</v>
      </c>
      <c r="N3" s="429"/>
    </row>
    <row r="4" spans="1:14" ht="15.6" customHeight="1">
      <c r="A4" s="31"/>
      <c r="B4" s="408"/>
      <c r="C4" s="414"/>
      <c r="D4" s="414"/>
      <c r="E4" s="414"/>
      <c r="F4" s="414"/>
      <c r="G4" s="408"/>
      <c r="H4" s="414"/>
      <c r="I4" s="414"/>
      <c r="J4" s="414"/>
      <c r="K4" s="19" t="s">
        <v>143</v>
      </c>
      <c r="L4" s="18" t="s">
        <v>144</v>
      </c>
      <c r="M4" s="384"/>
      <c r="N4" s="429"/>
    </row>
    <row r="5" spans="1:14">
      <c r="A5" s="31"/>
      <c r="B5" s="61" t="s">
        <v>146</v>
      </c>
      <c r="C5" s="22">
        <v>4575.6000000000004</v>
      </c>
      <c r="D5" s="70">
        <f>ROUND('PU Wise OWE'!$AD$128/10000,2)</f>
        <v>5217.8500000000004</v>
      </c>
      <c r="E5" s="66">
        <f>D5/D7</f>
        <v>0.51991745649626542</v>
      </c>
      <c r="F5" s="66"/>
      <c r="G5" s="22">
        <f>ROUND('PU Wise OWE'!$AD$126/10000,2)</f>
        <v>6281.79</v>
      </c>
      <c r="H5" s="66">
        <f>G5/G7</f>
        <v>0.55570800734599413</v>
      </c>
      <c r="I5" s="23">
        <f>ROUND('PU Wise OWE'!$AD$129/10000,2)</f>
        <v>5746.08</v>
      </c>
      <c r="J5" s="24">
        <f>I5/$I$7</f>
        <v>0.65774725274725276</v>
      </c>
      <c r="K5" s="22">
        <f>I5-D5</f>
        <v>528.22999999999956</v>
      </c>
      <c r="L5" s="52">
        <f>K5/D5</f>
        <v>0.10123518307348803</v>
      </c>
      <c r="M5" s="52">
        <f>I5/G5</f>
        <v>0.91472016734083761</v>
      </c>
    </row>
    <row r="6" spans="1:14">
      <c r="A6" s="31"/>
      <c r="B6" s="78" t="s">
        <v>142</v>
      </c>
      <c r="C6" s="21">
        <v>3242.41</v>
      </c>
      <c r="D6" s="70">
        <f>D7-D5</f>
        <v>4818.07</v>
      </c>
      <c r="E6" s="66">
        <f>D6/D7</f>
        <v>0.48008254350373453</v>
      </c>
      <c r="F6" s="66"/>
      <c r="G6" s="21">
        <f t="shared" ref="G6:I6" si="0">G7-G5</f>
        <v>5022.3300000000008</v>
      </c>
      <c r="H6" s="66">
        <f>G6/G7</f>
        <v>0.44429199265400582</v>
      </c>
      <c r="I6" s="21">
        <f t="shared" si="0"/>
        <v>2989.92</v>
      </c>
      <c r="J6" s="24">
        <f t="shared" ref="J6:J7" si="1">I6/$I$7</f>
        <v>0.34225274725274724</v>
      </c>
      <c r="K6" s="22">
        <f>I6-D6</f>
        <v>-1828.1499999999996</v>
      </c>
      <c r="L6" s="52">
        <f>K6/D6</f>
        <v>-0.37943616427324628</v>
      </c>
      <c r="M6" s="52">
        <f>I6/G6</f>
        <v>0.59532527731152662</v>
      </c>
    </row>
    <row r="7" spans="1:14">
      <c r="A7" s="31"/>
      <c r="B7" s="27" t="s">
        <v>169</v>
      </c>
      <c r="C7" s="104">
        <f>SUM(C5:C6)</f>
        <v>7818.01</v>
      </c>
      <c r="D7" s="71">
        <f>ROUND('PU Wise OWE'!BK128/10000,2)</f>
        <v>10035.92</v>
      </c>
      <c r="E7" s="67">
        <f>SUM(E5:E6)</f>
        <v>1</v>
      </c>
      <c r="F7" s="67"/>
      <c r="G7" s="26">
        <f>ROUND('PU Wise OWE'!BK126/10000,2)</f>
        <v>11304.12</v>
      </c>
      <c r="H7" s="67">
        <f>SUM(H5:H6)</f>
        <v>1</v>
      </c>
      <c r="I7" s="25">
        <f>ROUND('PU Wise OWE'!BK129/10000,2)</f>
        <v>8736</v>
      </c>
      <c r="J7" s="54">
        <f t="shared" si="1"/>
        <v>1</v>
      </c>
      <c r="K7" s="26">
        <f>I7-D7</f>
        <v>-1299.92</v>
      </c>
      <c r="L7" s="55">
        <f>K7/D7</f>
        <v>-0.12952673995009925</v>
      </c>
      <c r="M7" s="52">
        <f>I7/G7</f>
        <v>0.77281557520620792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170</v>
      </c>
      <c r="C10" s="62"/>
      <c r="D10" s="73"/>
      <c r="E10" s="63"/>
      <c r="F10" s="63"/>
      <c r="G10" s="63"/>
      <c r="H10" s="63"/>
      <c r="I10" s="63"/>
      <c r="J10" s="63"/>
      <c r="K10" s="36" t="s">
        <v>148</v>
      </c>
    </row>
    <row r="11" spans="1:14" ht="15" customHeight="1">
      <c r="A11" s="31"/>
      <c r="B11" s="405"/>
      <c r="C11" s="405" t="s">
        <v>293</v>
      </c>
      <c r="D11" s="416" t="str">
        <f>'PU Wise OWE'!$B$7</f>
        <v>Actuals upto Feb-23</v>
      </c>
      <c r="E11" s="405" t="s">
        <v>171</v>
      </c>
      <c r="F11" s="405"/>
      <c r="G11" s="434" t="str">
        <f>'PU Wise OWE'!$B$5</f>
        <v>RG 2023-24</v>
      </c>
      <c r="H11" s="405" t="s">
        <v>310</v>
      </c>
      <c r="I11" s="416" t="str">
        <f>'PU Wise OWE'!B8</f>
        <v>Actuals upto Feb-24</v>
      </c>
      <c r="J11" s="405" t="s">
        <v>203</v>
      </c>
      <c r="K11" s="402" t="s">
        <v>145</v>
      </c>
      <c r="L11" s="402"/>
      <c r="M11" s="385" t="s">
        <v>305</v>
      </c>
      <c r="N11" s="429" t="s">
        <v>206</v>
      </c>
    </row>
    <row r="12" spans="1:14" ht="17.25" customHeight="1">
      <c r="A12" s="31"/>
      <c r="B12" s="406"/>
      <c r="C12" s="406"/>
      <c r="D12" s="406"/>
      <c r="E12" s="406"/>
      <c r="F12" s="406"/>
      <c r="G12" s="435"/>
      <c r="H12" s="406"/>
      <c r="I12" s="406"/>
      <c r="J12" s="406"/>
      <c r="K12" s="64" t="s">
        <v>143</v>
      </c>
      <c r="L12" s="65" t="s">
        <v>144</v>
      </c>
      <c r="M12" s="385"/>
      <c r="N12" s="429"/>
    </row>
    <row r="13" spans="1:14">
      <c r="A13" s="31"/>
      <c r="B13" s="20" t="s">
        <v>150</v>
      </c>
      <c r="C13" s="105">
        <v>2522.8000000000002</v>
      </c>
      <c r="D13" s="70">
        <f>ROUND('PU Wise OWE'!$C$128/10000,2)</f>
        <v>2410.29</v>
      </c>
      <c r="E13" s="66">
        <f>D13/$D$7</f>
        <v>0.24016632256933096</v>
      </c>
      <c r="F13" s="21"/>
      <c r="G13" s="22">
        <f>ROUND('PU Wise OWE'!$C$126/10000,2)</f>
        <v>2699.87</v>
      </c>
      <c r="H13" s="24">
        <f>G13/$G$7</f>
        <v>0.23883946738003486</v>
      </c>
      <c r="I13" s="23">
        <f>ROUND('PU Wise OWE'!$C$129/10000,2)</f>
        <v>2494.67</v>
      </c>
      <c r="J13" s="24">
        <f>I13/$I$7</f>
        <v>0.28556204212454211</v>
      </c>
      <c r="K13" s="22">
        <f t="shared" ref="K13:K28" si="2">I13-D13</f>
        <v>84.380000000000109</v>
      </c>
      <c r="L13" s="52">
        <f t="shared" ref="L13:L28" si="3">K13/D13</f>
        <v>3.5008235523526263E-2</v>
      </c>
      <c r="M13" s="52">
        <f>I13/G13</f>
        <v>0.92399634056454572</v>
      </c>
    </row>
    <row r="14" spans="1:14">
      <c r="A14" s="31"/>
      <c r="B14" s="20" t="s">
        <v>151</v>
      </c>
      <c r="C14" s="105">
        <v>441.91</v>
      </c>
      <c r="D14" s="70">
        <f>ROUND('PU Wise OWE'!$D$128/10000,2)</f>
        <v>934.2</v>
      </c>
      <c r="E14" s="66">
        <f t="shared" ref="E14:E27" si="4">D14/$D$7</f>
        <v>9.3085636394072496E-2</v>
      </c>
      <c r="F14" s="21"/>
      <c r="G14" s="22">
        <f>ROUND('PU Wise OWE'!$D$126/10000,2)</f>
        <v>1314.78</v>
      </c>
      <c r="H14" s="24">
        <f t="shared" ref="H14:H27" si="5">G14/$G$7</f>
        <v>0.11630980562839034</v>
      </c>
      <c r="I14" s="23">
        <f>ROUND('PU Wise OWE'!$D$129/10000,2)</f>
        <v>1189.4000000000001</v>
      </c>
      <c r="J14" s="24">
        <f t="shared" ref="J14:J28" si="6">I14/$I$7</f>
        <v>0.13614926739926742</v>
      </c>
      <c r="K14" s="22">
        <f t="shared" si="2"/>
        <v>255.20000000000005</v>
      </c>
      <c r="L14" s="52">
        <f t="shared" si="3"/>
        <v>0.27317490901305935</v>
      </c>
      <c r="M14" s="52">
        <f t="shared" ref="M14:M27" si="7">I14/G14</f>
        <v>0.90463803830298617</v>
      </c>
    </row>
    <row r="15" spans="1:14">
      <c r="B15" s="23" t="s">
        <v>172</v>
      </c>
      <c r="C15" s="22">
        <v>98.2</v>
      </c>
      <c r="D15" s="70">
        <f>ROUND('PU Wise OWE'!$E$128/10000,2)</f>
        <v>101.82</v>
      </c>
      <c r="E15" s="66">
        <f t="shared" si="4"/>
        <v>1.0145557158686E-2</v>
      </c>
      <c r="F15" s="21"/>
      <c r="G15" s="22">
        <f>ROUND('PU Wise OWE'!$E$126/10000,2)</f>
        <v>103.65</v>
      </c>
      <c r="H15" s="24">
        <f t="shared" si="5"/>
        <v>9.169223256653326E-3</v>
      </c>
      <c r="I15" s="23">
        <f>ROUND('PU Wise OWE'!$E$129/10000,2)</f>
        <v>101.27</v>
      </c>
      <c r="J15" s="24">
        <f t="shared" si="6"/>
        <v>1.1592261904761904E-2</v>
      </c>
      <c r="K15" s="22">
        <f t="shared" si="2"/>
        <v>-0.54999999999999716</v>
      </c>
      <c r="L15" s="52">
        <f t="shared" si="3"/>
        <v>-5.4016892555489807E-3</v>
      </c>
      <c r="M15" s="52">
        <f t="shared" si="7"/>
        <v>0.97703810902074284</v>
      </c>
    </row>
    <row r="16" spans="1:14">
      <c r="B16" s="23" t="s">
        <v>173</v>
      </c>
      <c r="C16" s="22">
        <v>264.85000000000002</v>
      </c>
      <c r="D16" s="70">
        <f>ROUND('PU Wise OWE'!$F$128/10000,2)</f>
        <v>295.57</v>
      </c>
      <c r="E16" s="66">
        <f t="shared" si="4"/>
        <v>2.9451211249192897E-2</v>
      </c>
      <c r="F16" s="21"/>
      <c r="G16" s="22">
        <f>ROUND('PU Wise OWE'!$F$126/10000,2)</f>
        <v>338.26</v>
      </c>
      <c r="H16" s="24">
        <f t="shared" si="5"/>
        <v>2.9923603075692754E-2</v>
      </c>
      <c r="I16" s="23">
        <f>ROUND('PU Wise OWE'!$F$129/10000,2)</f>
        <v>309.54000000000002</v>
      </c>
      <c r="J16" s="24">
        <f t="shared" si="6"/>
        <v>3.5432692307692311E-2</v>
      </c>
      <c r="K16" s="22">
        <f t="shared" si="2"/>
        <v>13.970000000000027</v>
      </c>
      <c r="L16" s="52">
        <f t="shared" si="3"/>
        <v>4.7264607368812897E-2</v>
      </c>
      <c r="M16" s="52">
        <f t="shared" si="7"/>
        <v>0.91509489741618877</v>
      </c>
    </row>
    <row r="17" spans="1:14">
      <c r="B17" s="23" t="s">
        <v>174</v>
      </c>
      <c r="C17" s="22">
        <v>134.78</v>
      </c>
      <c r="D17" s="70">
        <f>ROUND('PU Wise OWE'!$G$128/10000,2)</f>
        <v>155.77000000000001</v>
      </c>
      <c r="E17" s="66">
        <f t="shared" si="4"/>
        <v>1.5521247678339406E-2</v>
      </c>
      <c r="F17" s="21"/>
      <c r="G17" s="22">
        <f>ROUND('PU Wise OWE'!$G$126/10000,2)</f>
        <v>187.54</v>
      </c>
      <c r="H17" s="24">
        <f t="shared" si="5"/>
        <v>1.659041128367356E-2</v>
      </c>
      <c r="I17" s="23">
        <f>ROUND('PU Wise OWE'!$G$129/10000,2)</f>
        <v>171.99</v>
      </c>
      <c r="J17" s="24">
        <f t="shared" si="6"/>
        <v>1.96875E-2</v>
      </c>
      <c r="K17" s="22">
        <f t="shared" si="2"/>
        <v>16.22</v>
      </c>
      <c r="L17" s="52">
        <f t="shared" si="3"/>
        <v>0.1041278808499711</v>
      </c>
      <c r="M17" s="52">
        <f t="shared" si="7"/>
        <v>0.91708435533752808</v>
      </c>
    </row>
    <row r="18" spans="1:14">
      <c r="A18" s="31"/>
      <c r="B18" s="20" t="s">
        <v>152</v>
      </c>
      <c r="C18" s="105">
        <v>247.05</v>
      </c>
      <c r="D18" s="70">
        <f>ROUND('PU Wise OWE'!$H$128/10000,2)</f>
        <v>306.33</v>
      </c>
      <c r="E18" s="66">
        <f t="shared" si="4"/>
        <v>3.0523360090554726E-2</v>
      </c>
      <c r="F18" s="21"/>
      <c r="G18" s="22">
        <f>ROUND('PU Wise OWE'!$H$126/10000,2)</f>
        <v>380.2</v>
      </c>
      <c r="H18" s="24">
        <f t="shared" si="5"/>
        <v>3.3633754772596183E-2</v>
      </c>
      <c r="I18" s="23">
        <f>ROUND('PU Wise OWE'!$H$129/10000,2)</f>
        <v>354.99</v>
      </c>
      <c r="J18" s="24">
        <f t="shared" si="6"/>
        <v>4.0635302197802196E-2</v>
      </c>
      <c r="K18" s="22">
        <f t="shared" si="2"/>
        <v>48.660000000000025</v>
      </c>
      <c r="L18" s="52">
        <f t="shared" si="3"/>
        <v>0.15884830085202242</v>
      </c>
      <c r="M18" s="52">
        <f t="shared" si="7"/>
        <v>0.93369279326670174</v>
      </c>
    </row>
    <row r="19" spans="1:14" ht="45" customHeight="1">
      <c r="A19" s="31"/>
      <c r="B19" s="56" t="s">
        <v>153</v>
      </c>
      <c r="C19" s="106">
        <v>188.24</v>
      </c>
      <c r="D19" s="70">
        <f>ROUND('PU Wise OWE'!$J$128/10000,2)</f>
        <v>257.23</v>
      </c>
      <c r="E19" s="66">
        <f t="shared" si="4"/>
        <v>2.5630933686199175E-2</v>
      </c>
      <c r="F19" s="21"/>
      <c r="G19" s="22">
        <f>ROUND('PU Wise OWE'!$J$126/10000,2)</f>
        <v>308.26</v>
      </c>
      <c r="H19" s="24">
        <f t="shared" si="5"/>
        <v>2.7269703435561544E-2</v>
      </c>
      <c r="I19" s="23">
        <f>ROUND('PU Wise OWE'!$J$129/10000,2)</f>
        <v>280.79000000000002</v>
      </c>
      <c r="J19" s="24">
        <f t="shared" si="6"/>
        <v>3.2141712454212455E-2</v>
      </c>
      <c r="K19" s="22">
        <f t="shared" si="2"/>
        <v>23.560000000000002</v>
      </c>
      <c r="L19" s="52">
        <f t="shared" si="3"/>
        <v>9.1591182987987407E-2</v>
      </c>
      <c r="M19" s="52">
        <f t="shared" si="7"/>
        <v>0.91088691364432628</v>
      </c>
      <c r="N19" s="69"/>
    </row>
    <row r="20" spans="1:14">
      <c r="A20" s="31"/>
      <c r="B20" s="20" t="s">
        <v>154</v>
      </c>
      <c r="C20" s="105">
        <v>12.03</v>
      </c>
      <c r="D20" s="70">
        <f>ROUND('PU Wise OWE'!$K$128/10000,2)</f>
        <v>12.67</v>
      </c>
      <c r="E20" s="66">
        <f t="shared" si="4"/>
        <v>1.2624652249121156E-3</v>
      </c>
      <c r="F20" s="21"/>
      <c r="G20" s="22">
        <f>ROUND('PU Wise OWE'!$K$126/10000,2)</f>
        <v>20.149999999999999</v>
      </c>
      <c r="H20" s="24">
        <f t="shared" si="5"/>
        <v>1.7825359249547951E-3</v>
      </c>
      <c r="I20" s="23">
        <f>ROUND('PU Wise OWE'!$K$129/10000,2)</f>
        <v>20.41</v>
      </c>
      <c r="J20" s="24">
        <f t="shared" si="6"/>
        <v>2.3363095238095239E-3</v>
      </c>
      <c r="K20" s="22">
        <f t="shared" si="2"/>
        <v>7.74</v>
      </c>
      <c r="L20" s="52">
        <f t="shared" si="3"/>
        <v>0.61089187056037886</v>
      </c>
      <c r="M20" s="52">
        <f t="shared" si="7"/>
        <v>1.0129032258064516</v>
      </c>
    </row>
    <row r="21" spans="1:14">
      <c r="A21" s="31"/>
      <c r="B21" s="20" t="s">
        <v>155</v>
      </c>
      <c r="C21" s="105">
        <v>48.93</v>
      </c>
      <c r="D21" s="70">
        <f>ROUND('PU Wise OWE'!$L$128/10000,2)</f>
        <v>52.76</v>
      </c>
      <c r="E21" s="66">
        <f t="shared" si="4"/>
        <v>5.2571164377555818E-3</v>
      </c>
      <c r="F21" s="21"/>
      <c r="G21" s="22">
        <f>ROUND('PU Wise OWE'!$L$126/10000,2)</f>
        <v>86.53</v>
      </c>
      <c r="H21" s="24">
        <f t="shared" si="5"/>
        <v>7.654731195351783E-3</v>
      </c>
      <c r="I21" s="23">
        <f>ROUND('PU Wise OWE'!$L$129/10000,2)</f>
        <v>77.569999999999993</v>
      </c>
      <c r="J21" s="24">
        <f t="shared" si="6"/>
        <v>8.8793498168498169E-3</v>
      </c>
      <c r="K21" s="22">
        <f t="shared" si="2"/>
        <v>24.809999999999995</v>
      </c>
      <c r="L21" s="52">
        <f t="shared" si="3"/>
        <v>0.47024260803639112</v>
      </c>
      <c r="M21" s="52">
        <f t="shared" si="7"/>
        <v>0.89645209753842592</v>
      </c>
      <c r="N21" s="69"/>
    </row>
    <row r="22" spans="1:14">
      <c r="A22" s="31"/>
      <c r="B22" s="20" t="s">
        <v>177</v>
      </c>
      <c r="C22" s="105">
        <v>120.4</v>
      </c>
      <c r="D22" s="70">
        <f>ROUND('PU Wise OWE'!$M$128/10000,2)</f>
        <v>125.42</v>
      </c>
      <c r="E22" s="66">
        <f t="shared" si="4"/>
        <v>1.2497110379516776E-2</v>
      </c>
      <c r="F22" s="21"/>
      <c r="G22" s="22">
        <f>ROUND('PU Wise OWE'!$M$126/10000,2)</f>
        <v>142.96</v>
      </c>
      <c r="H22" s="24">
        <f t="shared" si="5"/>
        <v>1.2646716418438586E-2</v>
      </c>
      <c r="I22" s="23">
        <f>ROUND('PU Wise OWE'!$M$129/10000,2)</f>
        <v>133.86000000000001</v>
      </c>
      <c r="J22" s="24">
        <f t="shared" si="6"/>
        <v>1.53228021978022E-2</v>
      </c>
      <c r="K22" s="22">
        <f t="shared" si="2"/>
        <v>8.4400000000000119</v>
      </c>
      <c r="L22" s="52">
        <f t="shared" si="3"/>
        <v>6.7293892521129106E-2</v>
      </c>
      <c r="M22" s="52">
        <f t="shared" si="7"/>
        <v>0.93634583100167879</v>
      </c>
      <c r="N22" s="69"/>
    </row>
    <row r="23" spans="1:14">
      <c r="A23" s="31"/>
      <c r="B23" s="56" t="s">
        <v>156</v>
      </c>
      <c r="C23" s="106">
        <v>88.73</v>
      </c>
      <c r="D23" s="70">
        <f>ROUND('PU Wise OWE'!$P$128/10000,2)</f>
        <v>111.1</v>
      </c>
      <c r="E23" s="66">
        <f t="shared" si="4"/>
        <v>1.1070235713317762E-2</v>
      </c>
      <c r="F23" s="21"/>
      <c r="G23" s="22">
        <f>ROUND('PU Wise OWE'!$P$126/10000,2)</f>
        <v>127.18</v>
      </c>
      <c r="H23" s="24">
        <f t="shared" si="5"/>
        <v>1.1250765207729571E-2</v>
      </c>
      <c r="I23" s="23">
        <f>ROUND('PU Wise OWE'!$P$129/10000,2)</f>
        <v>119.94</v>
      </c>
      <c r="J23" s="24">
        <f t="shared" si="6"/>
        <v>1.3729395604395605E-2</v>
      </c>
      <c r="K23" s="22">
        <f t="shared" si="2"/>
        <v>8.8400000000000034</v>
      </c>
      <c r="L23" s="52">
        <f t="shared" si="3"/>
        <v>7.9567956795679601E-2</v>
      </c>
      <c r="M23" s="52">
        <f t="shared" si="7"/>
        <v>0.94307281019028144</v>
      </c>
    </row>
    <row r="24" spans="1:14">
      <c r="B24" s="56" t="s">
        <v>157</v>
      </c>
      <c r="C24" s="106">
        <v>81.78</v>
      </c>
      <c r="D24" s="70">
        <f>ROUND('PU Wise OWE'!$S$128/10000,2)</f>
        <v>89</v>
      </c>
      <c r="E24" s="66">
        <f t="shared" si="4"/>
        <v>8.8681456209296211E-3</v>
      </c>
      <c r="F24" s="21"/>
      <c r="G24" s="22">
        <f>ROUND('PU Wise OWE'!$S$126/10000,2)</f>
        <v>98.12</v>
      </c>
      <c r="H24" s="24">
        <f t="shared" si="5"/>
        <v>8.6800210896558067E-3</v>
      </c>
      <c r="I24" s="23">
        <f>ROUND('PU Wise OWE'!$S$129/10000,2)</f>
        <v>99.92</v>
      </c>
      <c r="J24" s="24">
        <f t="shared" si="6"/>
        <v>1.1437728937728937E-2</v>
      </c>
      <c r="K24" s="22">
        <f t="shared" si="2"/>
        <v>10.920000000000002</v>
      </c>
      <c r="L24" s="52">
        <f t="shared" si="3"/>
        <v>0.12269662921348316</v>
      </c>
      <c r="M24" s="52">
        <f t="shared" si="7"/>
        <v>1.0183448838157358</v>
      </c>
      <c r="N24" s="69"/>
    </row>
    <row r="25" spans="1:14">
      <c r="B25" s="56" t="s">
        <v>158</v>
      </c>
      <c r="C25" s="106">
        <v>90.5</v>
      </c>
      <c r="D25" s="70">
        <f>ROUND('PU Wise OWE'!$T$128/10000,2)</f>
        <v>115.32</v>
      </c>
      <c r="E25" s="66">
        <f t="shared" si="4"/>
        <v>1.1490725314669705E-2</v>
      </c>
      <c r="F25" s="21"/>
      <c r="G25" s="22">
        <f>ROUND('PU Wise OWE'!$T$126/10000,2)</f>
        <v>176.47</v>
      </c>
      <c r="H25" s="24">
        <f t="shared" si="5"/>
        <v>1.5611122316465146E-2</v>
      </c>
      <c r="I25" s="23">
        <f>ROUND('PU Wise OWE'!$T$129/10000,2)</f>
        <v>171.98</v>
      </c>
      <c r="J25" s="24">
        <f t="shared" si="6"/>
        <v>1.9686355311355309E-2</v>
      </c>
      <c r="K25" s="22">
        <f t="shared" si="2"/>
        <v>56.66</v>
      </c>
      <c r="L25" s="52">
        <f t="shared" si="3"/>
        <v>0.49132847728061046</v>
      </c>
      <c r="M25" s="52">
        <f t="shared" si="7"/>
        <v>0.97455658185527283</v>
      </c>
    </row>
    <row r="26" spans="1:14">
      <c r="B26" s="56" t="s">
        <v>176</v>
      </c>
      <c r="C26" s="106">
        <v>41.07</v>
      </c>
      <c r="D26" s="70">
        <f>ROUND('PU Wise OWE'!$V$128/10000,2)</f>
        <v>62.53</v>
      </c>
      <c r="E26" s="66">
        <f t="shared" si="4"/>
        <v>6.2306196143452714E-3</v>
      </c>
      <c r="F26" s="22"/>
      <c r="G26" s="22">
        <f>ROUND('PU Wise OWE'!$V$126/10000,2)</f>
        <v>81.709999999999994</v>
      </c>
      <c r="H26" s="24">
        <f t="shared" si="5"/>
        <v>7.2283379865040343E-3</v>
      </c>
      <c r="I26" s="23">
        <f>ROUND('PU Wise OWE'!$V$129/10000,2)</f>
        <v>62.07</v>
      </c>
      <c r="J26" s="24">
        <f t="shared" si="6"/>
        <v>7.1050824175824178E-3</v>
      </c>
      <c r="K26" s="22">
        <f t="shared" si="2"/>
        <v>-0.46000000000000085</v>
      </c>
      <c r="L26" s="52">
        <f t="shared" si="3"/>
        <v>-7.3564688949304471E-3</v>
      </c>
      <c r="M26" s="52">
        <f t="shared" si="7"/>
        <v>0.75963774323828182</v>
      </c>
      <c r="N26" s="69"/>
    </row>
    <row r="27" spans="1:14">
      <c r="B27" s="56" t="s">
        <v>175</v>
      </c>
      <c r="C27" s="106">
        <v>169.78</v>
      </c>
      <c r="D27" s="70">
        <f>ROUND('PU Wise OWE'!$AC$128/10000,2)</f>
        <v>160.28</v>
      </c>
      <c r="E27" s="66">
        <f t="shared" si="4"/>
        <v>1.5970633484523593E-2</v>
      </c>
      <c r="F27" s="22"/>
      <c r="G27" s="22">
        <f>ROUND('PU Wise OWE'!$AC$126/10000,2)</f>
        <v>178.36</v>
      </c>
      <c r="H27" s="24">
        <f t="shared" si="5"/>
        <v>1.5778317993793412E-2</v>
      </c>
      <c r="I27" s="23">
        <f>ROUND('PU Wise OWE'!$AC$129/10000,2)</f>
        <v>129.76</v>
      </c>
      <c r="J27" s="24">
        <f t="shared" si="6"/>
        <v>1.4853479853479852E-2</v>
      </c>
      <c r="K27" s="22">
        <f t="shared" si="2"/>
        <v>-30.52000000000001</v>
      </c>
      <c r="L27" s="52">
        <f t="shared" si="3"/>
        <v>-0.19041677065136017</v>
      </c>
      <c r="M27" s="52">
        <f t="shared" si="7"/>
        <v>0.72751738057860493</v>
      </c>
    </row>
    <row r="28" spans="1:14">
      <c r="B28" s="25" t="s">
        <v>147</v>
      </c>
      <c r="C28" s="26">
        <f>SUM(C13:C27)</f>
        <v>4551.0499999999993</v>
      </c>
      <c r="D28" s="74">
        <f>SUM(D13:D27)</f>
        <v>5190.2900000000009</v>
      </c>
      <c r="E28" s="54">
        <f>SUM(E13:E27)</f>
        <v>0.51717132061634608</v>
      </c>
      <c r="F28" s="26"/>
      <c r="G28" s="26">
        <f>G5</f>
        <v>6281.79</v>
      </c>
      <c r="H28" s="54">
        <f t="shared" ref="H28:I28" si="8">SUM(H13:H27)</f>
        <v>0.5523685169654956</v>
      </c>
      <c r="I28" s="26">
        <f t="shared" si="8"/>
        <v>5718.159999999998</v>
      </c>
      <c r="J28" s="54">
        <f t="shared" si="6"/>
        <v>0.65455128205128188</v>
      </c>
      <c r="K28" s="26">
        <f t="shared" si="2"/>
        <v>527.86999999999716</v>
      </c>
      <c r="L28" s="55">
        <f t="shared" si="3"/>
        <v>0.10170337302925214</v>
      </c>
    </row>
    <row r="29" spans="1:14">
      <c r="I29" s="68"/>
      <c r="J29" s="68"/>
    </row>
    <row r="31" spans="1:14">
      <c r="B31" s="75" t="s">
        <v>178</v>
      </c>
      <c r="C31" s="75"/>
      <c r="D31" s="76"/>
      <c r="E31" s="77"/>
      <c r="K31" t="s">
        <v>148</v>
      </c>
    </row>
    <row r="32" spans="1:14" ht="15" customHeight="1">
      <c r="B32" s="369"/>
      <c r="C32" s="396" t="s">
        <v>293</v>
      </c>
      <c r="D32" s="401" t="str">
        <f>'PU Wise OWE'!$B$7</f>
        <v>Actuals upto Feb-23</v>
      </c>
      <c r="E32" s="396" t="s">
        <v>171</v>
      </c>
      <c r="F32" s="396"/>
      <c r="G32" s="430" t="str">
        <f>'PU Wise OWE'!$B$5</f>
        <v>RG 2023-24</v>
      </c>
      <c r="H32" s="396" t="s">
        <v>310</v>
      </c>
      <c r="I32" s="401" t="str">
        <f>'PU Wise OWE'!B8</f>
        <v>Actuals upto Feb-24</v>
      </c>
      <c r="J32" s="396" t="s">
        <v>203</v>
      </c>
      <c r="K32" s="368" t="s">
        <v>145</v>
      </c>
      <c r="L32" s="368"/>
      <c r="M32" s="369" t="s">
        <v>305</v>
      </c>
      <c r="N32" s="429" t="s">
        <v>206</v>
      </c>
    </row>
    <row r="33" spans="2:14" ht="17.25" customHeight="1">
      <c r="B33" s="369"/>
      <c r="C33" s="397"/>
      <c r="D33" s="397"/>
      <c r="E33" s="397"/>
      <c r="F33" s="397"/>
      <c r="G33" s="431"/>
      <c r="H33" s="397"/>
      <c r="I33" s="397"/>
      <c r="J33" s="397"/>
      <c r="K33" s="79" t="s">
        <v>143</v>
      </c>
      <c r="L33" s="80" t="s">
        <v>144</v>
      </c>
      <c r="M33" s="369"/>
      <c r="N33" s="429"/>
    </row>
    <row r="34" spans="2:14">
      <c r="B34" s="84" t="s">
        <v>179</v>
      </c>
      <c r="C34" s="107">
        <v>10.44</v>
      </c>
      <c r="D34" s="70">
        <f>ROUND(('PU Wise OWE'!$AE$128+'PU Wise OWE'!$AF$128)/10000,2)</f>
        <v>7.23</v>
      </c>
      <c r="E34" s="85">
        <f>D34/$D$7</f>
        <v>7.2041227909349617E-4</v>
      </c>
      <c r="F34" s="21"/>
      <c r="G34" s="22">
        <f>ROUND(('PU Wise OWE'!$AE$126+'PU Wise OWE'!$AF$126)/10000,2)</f>
        <v>8.2899999999999991</v>
      </c>
      <c r="H34" s="24">
        <f t="shared" ref="H34:H37" si="9">G34/$G$7</f>
        <v>7.3336093388959062E-4</v>
      </c>
      <c r="I34" s="23">
        <f>ROUND(('PU Wise OWE'!$AE$129+'PU Wise OWE'!$AF$129)/10000,2)</f>
        <v>8.69</v>
      </c>
      <c r="J34" s="24">
        <f t="shared" ref="J34:J37" si="10">I34/$I$7</f>
        <v>9.9473443223443221E-4</v>
      </c>
      <c r="K34" s="22">
        <f>I34-D34</f>
        <v>1.4599999999999991</v>
      </c>
      <c r="L34" s="52">
        <f>K34/D34</f>
        <v>0.201936376210235</v>
      </c>
      <c r="M34" s="52">
        <f t="shared" ref="M34:M37" si="11">I34/G34</f>
        <v>1.0482509047044632</v>
      </c>
      <c r="N34" s="432"/>
    </row>
    <row r="35" spans="2:14" ht="16.5" customHeight="1">
      <c r="B35" s="84" t="s">
        <v>180</v>
      </c>
      <c r="C35" s="107">
        <v>21.76</v>
      </c>
      <c r="D35" s="70">
        <f>ROUND('PU Wise OWE'!$AG$128/10000,2)</f>
        <v>16.45</v>
      </c>
      <c r="E35" s="85">
        <f t="shared" ref="E35:E37" si="12">D35/$D$7</f>
        <v>1.6391123085875534E-3</v>
      </c>
      <c r="F35" s="21"/>
      <c r="G35" s="22">
        <f>ROUND('PU Wise OWE'!$AG$126/10000,2)</f>
        <v>19.18</v>
      </c>
      <c r="H35" s="24">
        <f t="shared" si="9"/>
        <v>1.6967265032572193E-3</v>
      </c>
      <c r="I35" s="23">
        <f>ROUND('PU Wise OWE'!$AG$129/10000,2)</f>
        <v>19.2</v>
      </c>
      <c r="J35" s="24">
        <f t="shared" si="10"/>
        <v>2.1978021978021978E-3</v>
      </c>
      <c r="K35" s="22">
        <f>I35-D35</f>
        <v>2.75</v>
      </c>
      <c r="L35" s="52">
        <f>K35/D35</f>
        <v>0.16717325227963525</v>
      </c>
      <c r="M35" s="52">
        <f t="shared" si="11"/>
        <v>1.0010427528675703</v>
      </c>
      <c r="N35" s="432"/>
    </row>
    <row r="36" spans="2:14" ht="15.75" customHeight="1">
      <c r="B36" s="84" t="s">
        <v>181</v>
      </c>
      <c r="C36" s="107">
        <v>2.42</v>
      </c>
      <c r="D36" s="70">
        <f>ROUND('PU Wise OWE'!$AJ$128/10000,2)</f>
        <v>3.05</v>
      </c>
      <c r="E36" s="85">
        <f t="shared" si="12"/>
        <v>3.0390836116668925E-4</v>
      </c>
      <c r="F36" s="21"/>
      <c r="G36" s="22">
        <f>ROUND('PU Wise OWE'!$AJ$126/10000,2)</f>
        <v>4.42</v>
      </c>
      <c r="H36" s="24">
        <f t="shared" si="9"/>
        <v>3.9100788031266474E-4</v>
      </c>
      <c r="I36" s="23">
        <f>ROUND('PU Wise OWE'!$AJ$129/10000,2)</f>
        <v>2.82</v>
      </c>
      <c r="J36" s="24">
        <f t="shared" si="10"/>
        <v>3.2280219780219776E-4</v>
      </c>
      <c r="K36" s="22">
        <f>I36-D36</f>
        <v>-0.22999999999999998</v>
      </c>
      <c r="L36" s="52">
        <f>K36/D36</f>
        <v>-7.5409836065573763E-2</v>
      </c>
      <c r="M36" s="52">
        <f t="shared" si="11"/>
        <v>0.63800904977375561</v>
      </c>
      <c r="N36" s="432"/>
    </row>
    <row r="37" spans="2:14">
      <c r="B37" s="25" t="s">
        <v>147</v>
      </c>
      <c r="C37" s="26">
        <v>34.619999999999997</v>
      </c>
      <c r="D37" s="74">
        <f>SUM(D34:D36)</f>
        <v>26.73</v>
      </c>
      <c r="E37" s="86">
        <f t="shared" si="12"/>
        <v>2.663432948847739E-3</v>
      </c>
      <c r="F37" s="26"/>
      <c r="G37" s="74">
        <f t="shared" ref="G37:I37" si="13">SUM(G34:G36)</f>
        <v>31.89</v>
      </c>
      <c r="H37" s="54">
        <f t="shared" si="9"/>
        <v>2.821095317459475E-3</v>
      </c>
      <c r="I37" s="74">
        <f t="shared" si="13"/>
        <v>30.71</v>
      </c>
      <c r="J37" s="54">
        <f t="shared" si="10"/>
        <v>3.5153388278388281E-3</v>
      </c>
      <c r="K37" s="26">
        <f>I37-D37</f>
        <v>3.9800000000000004</v>
      </c>
      <c r="L37" s="55">
        <f>K37/D37</f>
        <v>0.14889637111859336</v>
      </c>
      <c r="M37" s="52">
        <f t="shared" si="11"/>
        <v>0.96299780495453124</v>
      </c>
    </row>
    <row r="39" spans="2:14">
      <c r="B39" s="82"/>
      <c r="C39" s="82"/>
      <c r="D39" s="83"/>
      <c r="E39" s="82"/>
      <c r="K39" t="s">
        <v>148</v>
      </c>
    </row>
    <row r="40" spans="2:14" ht="15" customHeight="1">
      <c r="B40" s="369" t="s">
        <v>162</v>
      </c>
      <c r="C40" s="396" t="s">
        <v>293</v>
      </c>
      <c r="D40" s="401" t="str">
        <f>'PU Wise OWE'!$B$7</f>
        <v>Actuals upto Feb-23</v>
      </c>
      <c r="E40" s="396" t="s">
        <v>171</v>
      </c>
      <c r="F40" s="396"/>
      <c r="G40" s="430" t="str">
        <f>'PU Wise OWE'!$B$5</f>
        <v>RG 2023-24</v>
      </c>
      <c r="H40" s="396" t="s">
        <v>310</v>
      </c>
      <c r="I40" s="401" t="str">
        <f>'PU Wise OWE'!B8</f>
        <v>Actuals upto Feb-24</v>
      </c>
      <c r="J40" s="396" t="s">
        <v>203</v>
      </c>
      <c r="K40" s="368" t="s">
        <v>145</v>
      </c>
      <c r="L40" s="368"/>
      <c r="M40" s="369" t="s">
        <v>305</v>
      </c>
      <c r="N40" s="429" t="s">
        <v>206</v>
      </c>
    </row>
    <row r="41" spans="2:14">
      <c r="B41" s="369"/>
      <c r="C41" s="397"/>
      <c r="D41" s="397"/>
      <c r="E41" s="397"/>
      <c r="F41" s="397"/>
      <c r="G41" s="431"/>
      <c r="H41" s="397"/>
      <c r="I41" s="397"/>
      <c r="J41" s="397"/>
      <c r="K41" s="79" t="s">
        <v>143</v>
      </c>
      <c r="L41" s="80" t="s">
        <v>144</v>
      </c>
      <c r="M41" s="369"/>
      <c r="N41" s="429"/>
    </row>
    <row r="42" spans="2:14">
      <c r="B42" s="27" t="s">
        <v>163</v>
      </c>
      <c r="C42" s="104">
        <v>273.47000000000003</v>
      </c>
      <c r="D42" s="70">
        <f>SUM(D43:D47)</f>
        <v>438.09000000000003</v>
      </c>
      <c r="E42" s="85">
        <f t="shared" ref="E42:E49" si="14">D42/$D$7</f>
        <v>4.3652201292955703E-2</v>
      </c>
      <c r="F42" s="97"/>
      <c r="G42" s="21">
        <f>SUM(G43:G47)</f>
        <v>207.54</v>
      </c>
      <c r="H42" s="24">
        <f t="shared" ref="H42:H49" si="15">G42/$G$7</f>
        <v>1.8359677710427701E-2</v>
      </c>
      <c r="I42" s="21">
        <f>SUM(I43:I47)</f>
        <v>208.92</v>
      </c>
      <c r="J42" s="24">
        <f t="shared" ref="J42:J49" si="16">I42/$I$7</f>
        <v>2.3914835164835162E-2</v>
      </c>
      <c r="K42" s="22">
        <f t="shared" ref="K42:K49" si="17">I42-D42</f>
        <v>-229.17000000000004</v>
      </c>
      <c r="L42" s="52">
        <f t="shared" ref="L42:L49" si="18">K42/D42</f>
        <v>-0.52311168937889485</v>
      </c>
      <c r="M42" s="52">
        <f t="shared" ref="M42:M49" si="19">I42/G42</f>
        <v>1.0066493206128939</v>
      </c>
    </row>
    <row r="43" spans="2:14">
      <c r="B43" s="57" t="s">
        <v>159</v>
      </c>
      <c r="C43" s="21">
        <v>19.690000000000001</v>
      </c>
      <c r="D43" s="70">
        <f>ROUND('PU Wise OWE'!$AK$84/10000,2)</f>
        <v>64.89</v>
      </c>
      <c r="E43" s="85">
        <f t="shared" si="14"/>
        <v>6.4657749364283494E-3</v>
      </c>
      <c r="F43" s="97"/>
      <c r="G43" s="21">
        <f>ROUND('PU Wise OWE'!$AK$82/10000,2)</f>
        <v>37.65</v>
      </c>
      <c r="H43" s="24">
        <f t="shared" si="15"/>
        <v>3.3306440483646667E-3</v>
      </c>
      <c r="I43" s="21">
        <f>ROUND('PU Wise OWE'!$AK$85/10000,2)</f>
        <v>32.450000000000003</v>
      </c>
      <c r="J43" s="24">
        <f t="shared" si="16"/>
        <v>3.7145146520146523E-3</v>
      </c>
      <c r="K43" s="22">
        <f t="shared" si="17"/>
        <v>-32.44</v>
      </c>
      <c r="L43" s="52">
        <f t="shared" si="18"/>
        <v>-0.49992294652488822</v>
      </c>
      <c r="M43" s="52">
        <f t="shared" si="19"/>
        <v>0.86188579017264288</v>
      </c>
    </row>
    <row r="44" spans="2:14">
      <c r="B44" s="58" t="s">
        <v>166</v>
      </c>
      <c r="C44" s="108">
        <v>114.4</v>
      </c>
      <c r="D44" s="70">
        <f>ROUND('PU Wise OWE'!$AR$84/10000,2)</f>
        <v>11.51</v>
      </c>
      <c r="E44" s="85">
        <f t="shared" si="14"/>
        <v>1.1468804055831453E-3</v>
      </c>
      <c r="F44" s="97"/>
      <c r="G44" s="21">
        <f>ROUND('PU Wise OWE'!$AR$82/10000,2)</f>
        <v>13.2</v>
      </c>
      <c r="H44" s="24">
        <f t="shared" si="15"/>
        <v>1.1677158416577317E-3</v>
      </c>
      <c r="I44" s="21">
        <f>ROUND('PU Wise OWE'!$AR$85/10000,2)</f>
        <v>11.41</v>
      </c>
      <c r="J44" s="24">
        <f t="shared" si="16"/>
        <v>1.3060897435897437E-3</v>
      </c>
      <c r="K44" s="22">
        <f t="shared" si="17"/>
        <v>-9.9999999999999645E-2</v>
      </c>
      <c r="L44" s="52">
        <f t="shared" si="18"/>
        <v>-8.6880973066898043E-3</v>
      </c>
      <c r="M44" s="52">
        <f t="shared" si="19"/>
        <v>0.86439393939393949</v>
      </c>
    </row>
    <row r="45" spans="2:14">
      <c r="B45" s="58" t="s">
        <v>167</v>
      </c>
      <c r="C45" s="108">
        <v>46.69</v>
      </c>
      <c r="D45" s="70">
        <f>ROUND('PU Wise OWE'!$AU$84/10000,2)</f>
        <v>7.1</v>
      </c>
      <c r="E45" s="85">
        <f t="shared" si="14"/>
        <v>7.074588079618012E-4</v>
      </c>
      <c r="F45" s="97"/>
      <c r="G45" s="21">
        <f>ROUND('PU Wise OWE'!$AU$82/10000,2)</f>
        <v>10.01</v>
      </c>
      <c r="H45" s="24">
        <f t="shared" si="15"/>
        <v>8.8551784659044656E-4</v>
      </c>
      <c r="I45" s="21">
        <f>ROUND('PU Wise OWE'!$AU$85/10000,2)</f>
        <v>9.18</v>
      </c>
      <c r="J45" s="24">
        <f t="shared" si="16"/>
        <v>1.0508241758241759E-3</v>
      </c>
      <c r="K45" s="22">
        <f t="shared" si="17"/>
        <v>2.08</v>
      </c>
      <c r="L45" s="52">
        <f t="shared" si="18"/>
        <v>0.29295774647887324</v>
      </c>
      <c r="M45" s="52">
        <f t="shared" si="19"/>
        <v>0.91708291708291712</v>
      </c>
    </row>
    <row r="46" spans="2:14">
      <c r="B46" s="57" t="s">
        <v>164</v>
      </c>
      <c r="C46" s="21">
        <v>54.55</v>
      </c>
      <c r="D46" s="70">
        <f>ROUND('PU Wise OWE'!$AZ$84/10000,2)</f>
        <v>39.18</v>
      </c>
      <c r="E46" s="85">
        <f t="shared" si="14"/>
        <v>3.9039769149216016E-3</v>
      </c>
      <c r="F46" s="97"/>
      <c r="G46" s="21">
        <f>ROUND('PU Wise OWE'!$AZ$82/10000,2)</f>
        <v>1.68</v>
      </c>
      <c r="H46" s="24">
        <f t="shared" si="15"/>
        <v>1.4861837984734769E-4</v>
      </c>
      <c r="I46" s="21">
        <f>ROUND('PU Wise OWE'!$AZ$85/10000,2)</f>
        <v>1.22</v>
      </c>
      <c r="J46" s="24">
        <f t="shared" si="16"/>
        <v>1.3965201465201464E-4</v>
      </c>
      <c r="K46" s="22">
        <f t="shared" si="17"/>
        <v>-37.96</v>
      </c>
      <c r="L46" s="52">
        <f t="shared" si="18"/>
        <v>-0.96886166411434405</v>
      </c>
      <c r="M46" s="52">
        <f t="shared" si="19"/>
        <v>0.72619047619047616</v>
      </c>
    </row>
    <row r="47" spans="2:14">
      <c r="B47" s="58" t="s">
        <v>165</v>
      </c>
      <c r="C47" s="108">
        <v>38.14</v>
      </c>
      <c r="D47" s="70">
        <f>ROUND('PU Wise OWE'!$BA$84/10000,2)</f>
        <v>315.41000000000003</v>
      </c>
      <c r="E47" s="85">
        <f t="shared" si="14"/>
        <v>3.1428110228060809E-2</v>
      </c>
      <c r="F47" s="97"/>
      <c r="G47" s="21">
        <f>ROUND('PU Wise OWE'!$BA$82/10000,2)</f>
        <v>145</v>
      </c>
      <c r="H47" s="24">
        <f t="shared" si="15"/>
        <v>1.2827181593967509E-2</v>
      </c>
      <c r="I47" s="21">
        <f>ROUND('PU Wise OWE'!$BA$85/10000,2)</f>
        <v>154.66</v>
      </c>
      <c r="J47" s="24">
        <f t="shared" si="16"/>
        <v>1.7703754578754578E-2</v>
      </c>
      <c r="K47" s="22">
        <f t="shared" si="17"/>
        <v>-160.75000000000003</v>
      </c>
      <c r="L47" s="52">
        <f t="shared" si="18"/>
        <v>-0.50965410101138209</v>
      </c>
      <c r="M47" s="52">
        <f t="shared" si="19"/>
        <v>1.0666206896551724</v>
      </c>
    </row>
    <row r="48" spans="2:14">
      <c r="B48" s="59" t="s">
        <v>168</v>
      </c>
      <c r="C48" s="103">
        <v>663.48</v>
      </c>
      <c r="D48" s="70">
        <f>ROUND('PU Wise OWE'!$AM$84/10000,2)-ROUND('PU Wise OWE'!$BJ$84/10000,2)</f>
        <v>1364.27</v>
      </c>
      <c r="E48" s="85">
        <f t="shared" si="14"/>
        <v>0.13593870816028825</v>
      </c>
      <c r="F48" s="97"/>
      <c r="G48" s="21">
        <f>ROUND('PU Wise OWE'!$AM$82/10000,2)-ROUND('PU Wise OWE'!$BJ$82/10000,2)</f>
        <v>1590.14</v>
      </c>
      <c r="H48" s="24">
        <f t="shared" si="15"/>
        <v>0.14066906579194136</v>
      </c>
      <c r="I48" s="21">
        <f>ROUND('PU Wise OWE'!$AM$85/10000,2)-ROUND('PU Wise OWE'!$BJ$85/10000,2)</f>
        <v>1423.78</v>
      </c>
      <c r="J48" s="24">
        <f t="shared" si="16"/>
        <v>0.16297847985347985</v>
      </c>
      <c r="K48" s="22">
        <f t="shared" si="17"/>
        <v>59.509999999999991</v>
      </c>
      <c r="L48" s="52">
        <f t="shared" si="18"/>
        <v>4.3620397721858571E-2</v>
      </c>
      <c r="M48" s="52">
        <f t="shared" si="19"/>
        <v>0.89538028098154876</v>
      </c>
    </row>
    <row r="49" spans="2:14" s="36" customFormat="1">
      <c r="B49" s="60" t="s">
        <v>128</v>
      </c>
      <c r="C49" s="74">
        <f>C42+C48</f>
        <v>936.95</v>
      </c>
      <c r="D49" s="74">
        <f>D42+D48</f>
        <v>1802.3600000000001</v>
      </c>
      <c r="E49" s="86">
        <f t="shared" si="14"/>
        <v>0.17959090945324396</v>
      </c>
      <c r="F49" s="98"/>
      <c r="G49" s="26">
        <f>G42+G48</f>
        <v>1797.68</v>
      </c>
      <c r="H49" s="54">
        <f t="shared" si="15"/>
        <v>0.15902874350236904</v>
      </c>
      <c r="I49" s="26">
        <f>I42+I48</f>
        <v>1632.7</v>
      </c>
      <c r="J49" s="54">
        <f t="shared" si="16"/>
        <v>0.18689331501831502</v>
      </c>
      <c r="K49" s="26">
        <f t="shared" si="17"/>
        <v>-169.66000000000008</v>
      </c>
      <c r="L49" s="55">
        <f t="shared" si="18"/>
        <v>-9.4132137863689874E-2</v>
      </c>
      <c r="M49" s="52">
        <f t="shared" si="19"/>
        <v>0.90822615815940544</v>
      </c>
    </row>
    <row r="51" spans="2:14">
      <c r="B51" s="75" t="s">
        <v>182</v>
      </c>
      <c r="C51" s="75"/>
    </row>
    <row r="52" spans="2:14" ht="48" customHeight="1">
      <c r="B52" s="81" t="s">
        <v>183</v>
      </c>
      <c r="C52" s="109">
        <v>188.88</v>
      </c>
      <c r="D52" s="70">
        <f>ROUND('PU Wise OWE'!$AK$128/10000,2)-D43</f>
        <v>128.33999999999997</v>
      </c>
      <c r="E52" s="85">
        <f t="shared" ref="E52:E56" si="20">D52/$D$7</f>
        <v>1.2788065269551768E-2</v>
      </c>
      <c r="F52" s="389"/>
      <c r="G52" s="22">
        <f>ROUND('PU Wise OWE'!$AK$126/10000,2)-G43</f>
        <v>186.57</v>
      </c>
      <c r="H52" s="24">
        <f t="shared" ref="H52:H54" si="21">G52/$G$7</f>
        <v>1.6504601861975984E-2</v>
      </c>
      <c r="I52" s="22">
        <f>ROUND('PU Wise OWE'!$AK$129/10000,2)-I43</f>
        <v>164.12</v>
      </c>
      <c r="J52" s="24">
        <f t="shared" ref="J52:J56" si="22">I52/$I$7</f>
        <v>1.8786630036630038E-2</v>
      </c>
      <c r="K52" s="22">
        <f>I52-D52</f>
        <v>35.78000000000003</v>
      </c>
      <c r="L52" s="52">
        <f>K52/D52</f>
        <v>0.2787907121707966</v>
      </c>
      <c r="M52" s="52">
        <f t="shared" ref="M52:M54" si="23">I52/G52</f>
        <v>0.87966982901859903</v>
      </c>
    </row>
    <row r="53" spans="2:14">
      <c r="B53" s="20" t="s">
        <v>160</v>
      </c>
      <c r="C53" s="105">
        <v>121.46</v>
      </c>
      <c r="D53" s="70">
        <f>ROUND('PU Wise OWE'!$AL$128/10000,2)</f>
        <v>124.43</v>
      </c>
      <c r="E53" s="85">
        <f t="shared" si="20"/>
        <v>1.2398464714744638E-2</v>
      </c>
      <c r="F53" s="390"/>
      <c r="G53" s="22">
        <f>ROUND('PU Wise OWE'!$AL$126/10000,2)</f>
        <v>129.22</v>
      </c>
      <c r="H53" s="24">
        <f t="shared" si="21"/>
        <v>1.1431230383258493E-2</v>
      </c>
      <c r="I53" s="23">
        <f>ROUND('PU Wise OWE'!$AL$129/10000,2)</f>
        <v>130.86000000000001</v>
      </c>
      <c r="J53" s="24">
        <f t="shared" si="22"/>
        <v>1.4979395604395606E-2</v>
      </c>
      <c r="K53" s="22">
        <f>I53-D53</f>
        <v>6.4300000000000068</v>
      </c>
      <c r="L53" s="52">
        <f>K53/D53</f>
        <v>5.1675640922607138E-2</v>
      </c>
      <c r="M53" s="52">
        <f t="shared" si="23"/>
        <v>1.0126915338182945</v>
      </c>
    </row>
    <row r="54" spans="2:14" s="36" customFormat="1">
      <c r="B54" s="25" t="s">
        <v>128</v>
      </c>
      <c r="C54" s="26">
        <f>C52+C53</f>
        <v>310.33999999999997</v>
      </c>
      <c r="D54" s="74">
        <f>SUM(D52:D53)</f>
        <v>252.76999999999998</v>
      </c>
      <c r="E54" s="86">
        <f t="shared" si="20"/>
        <v>2.5186529984296404E-2</v>
      </c>
      <c r="F54" s="391"/>
      <c r="G54" s="74">
        <f t="shared" ref="G54:I54" si="24">SUM(G52:G53)</f>
        <v>315.78999999999996</v>
      </c>
      <c r="H54" s="54">
        <f t="shared" si="21"/>
        <v>2.7935832245234476E-2</v>
      </c>
      <c r="I54" s="74">
        <f t="shared" si="24"/>
        <v>294.98</v>
      </c>
      <c r="J54" s="54">
        <f t="shared" si="22"/>
        <v>3.376602564102564E-2</v>
      </c>
      <c r="K54" s="26">
        <f>I54-D54</f>
        <v>42.210000000000036</v>
      </c>
      <c r="L54" s="102">
        <f>K54/D54</f>
        <v>0.16698975353087803</v>
      </c>
      <c r="M54" s="52">
        <f t="shared" si="23"/>
        <v>0.93410177649703929</v>
      </c>
    </row>
    <row r="56" spans="2:14" s="36" customFormat="1">
      <c r="B56" s="78" t="s">
        <v>161</v>
      </c>
      <c r="C56" s="110">
        <v>348.19</v>
      </c>
      <c r="D56" s="71">
        <f>ROUND('PU Wise OWE'!$AO$128/10000,2)</f>
        <v>356.51</v>
      </c>
      <c r="E56" s="86">
        <f t="shared" si="20"/>
        <v>3.5523399947388977E-2</v>
      </c>
      <c r="F56" s="53"/>
      <c r="G56" s="26">
        <f>ROUND('PU Wise OWE'!$AO$126/10000,2)</f>
        <v>422.86</v>
      </c>
      <c r="H56" s="54">
        <f t="shared" ref="H56" si="25">G56/$G$7</f>
        <v>3.7407600060862765E-2</v>
      </c>
      <c r="I56" s="25">
        <f>ROUND('PU Wise OWE'!$AO$129/10000,2)</f>
        <v>410.27</v>
      </c>
      <c r="J56" s="54">
        <f t="shared" si="22"/>
        <v>4.6963141025641024E-2</v>
      </c>
      <c r="K56" s="26">
        <f>I56-D56</f>
        <v>53.759999999999991</v>
      </c>
      <c r="L56" s="55">
        <f>K56/D56</f>
        <v>0.15079520911054387</v>
      </c>
      <c r="M56" s="52">
        <f t="shared" ref="M56" si="26">I56/G56</f>
        <v>0.97022655252329371</v>
      </c>
      <c r="N56" s="118"/>
    </row>
    <row r="57" spans="2:14" s="36" customFormat="1">
      <c r="B57" s="116"/>
      <c r="C57" s="117"/>
      <c r="D57" s="113"/>
      <c r="E57" s="114"/>
      <c r="F57" s="115"/>
      <c r="G57" s="91"/>
      <c r="H57" s="90"/>
      <c r="I57" s="88"/>
      <c r="J57" s="90"/>
      <c r="K57" s="26"/>
      <c r="L57" s="55"/>
      <c r="M57" s="100"/>
    </row>
    <row r="58" spans="2:14">
      <c r="C58" s="396" t="s">
        <v>293</v>
      </c>
      <c r="D58" s="401" t="str">
        <f>'PU Wise OWE'!$B$7</f>
        <v>Actuals upto Feb-23</v>
      </c>
      <c r="E58" s="396" t="s">
        <v>171</v>
      </c>
      <c r="F58" s="396"/>
      <c r="G58" s="430" t="str">
        <f>'PU Wise OWE'!$B$5</f>
        <v>RG 2023-24</v>
      </c>
      <c r="H58" s="396" t="s">
        <v>312</v>
      </c>
      <c r="I58" s="401" t="str">
        <f>'PU Wise OWE'!B8</f>
        <v>Actuals upto Feb-24</v>
      </c>
      <c r="J58" s="396" t="s">
        <v>203</v>
      </c>
      <c r="K58" s="368" t="s">
        <v>145</v>
      </c>
      <c r="L58" s="368"/>
      <c r="M58" s="369" t="s">
        <v>305</v>
      </c>
      <c r="N58" s="429" t="s">
        <v>206</v>
      </c>
    </row>
    <row r="59" spans="2:14">
      <c r="B59" s="75" t="s">
        <v>184</v>
      </c>
      <c r="C59" s="397"/>
      <c r="D59" s="397"/>
      <c r="E59" s="397"/>
      <c r="F59" s="397"/>
      <c r="G59" s="431"/>
      <c r="H59" s="397"/>
      <c r="I59" s="397"/>
      <c r="J59" s="397"/>
      <c r="K59" s="79" t="s">
        <v>143</v>
      </c>
      <c r="L59" s="80" t="s">
        <v>144</v>
      </c>
      <c r="M59" s="369"/>
      <c r="N59" s="429"/>
    </row>
    <row r="60" spans="2:14">
      <c r="B60" s="23" t="s">
        <v>185</v>
      </c>
      <c r="C60" s="22">
        <v>80.099999999999994</v>
      </c>
      <c r="D60" s="70">
        <f>ROUND('PU Wise OWE'!$AM$62/10000,2)</f>
        <v>88.15</v>
      </c>
      <c r="E60" s="85">
        <f t="shared" ref="E60:E64" si="27">D60/$D$7</f>
        <v>8.7834498481454623E-3</v>
      </c>
      <c r="F60" s="386"/>
      <c r="G60" s="22">
        <f>ROUND('PU Wise OWE'!$AM$60/10000,2)</f>
        <v>98.7</v>
      </c>
      <c r="H60" s="24" t="b">
        <f>H58=G60/$G$7</f>
        <v>0</v>
      </c>
      <c r="I60" s="23">
        <f>ROUND('PU Wise OWE'!$AM$63/10000,2)</f>
        <v>67.56</v>
      </c>
      <c r="J60" s="94">
        <f t="shared" ref="J60:J64" si="28">I60/$I$7</f>
        <v>7.733516483516484E-3</v>
      </c>
      <c r="K60" s="22">
        <f>I60-D60</f>
        <v>-20.590000000000003</v>
      </c>
      <c r="L60" s="52">
        <f>K60/D60</f>
        <v>-0.23357912648893933</v>
      </c>
      <c r="M60" s="52">
        <f t="shared" ref="M60:M64" si="29">I60/G60</f>
        <v>0.68449848024316107</v>
      </c>
      <c r="N60" s="69"/>
    </row>
    <row r="61" spans="2:14">
      <c r="B61" s="23" t="s">
        <v>186</v>
      </c>
      <c r="C61" s="22">
        <v>21.26</v>
      </c>
      <c r="D61" s="70">
        <f>ROUND('PU Wise OWE'!$AM$95/10000,2)</f>
        <v>6.66</v>
      </c>
      <c r="E61" s="85">
        <f t="shared" si="27"/>
        <v>6.6361629028529527E-4</v>
      </c>
      <c r="F61" s="387"/>
      <c r="G61" s="22">
        <f>ROUND('PU Wise OWE'!$AM$93/10000,2)</f>
        <v>9.08</v>
      </c>
      <c r="H61" s="24">
        <f t="shared" ref="H61:H64" si="30">G61/$G$7</f>
        <v>8.0324695774637914E-4</v>
      </c>
      <c r="I61" s="23">
        <f>ROUND('PU Wise OWE'!$AM$96/10000,2)</f>
        <v>16.670000000000002</v>
      </c>
      <c r="J61" s="94">
        <f t="shared" si="28"/>
        <v>1.908195970695971E-3</v>
      </c>
      <c r="K61" s="22">
        <f>I61-D61</f>
        <v>10.010000000000002</v>
      </c>
      <c r="L61" s="52">
        <f>K61/D61</f>
        <v>1.5030030030030033</v>
      </c>
      <c r="M61" s="52">
        <f t="shared" si="29"/>
        <v>1.8359030837004406</v>
      </c>
    </row>
    <row r="62" spans="2:14">
      <c r="B62" s="23" t="s">
        <v>187</v>
      </c>
      <c r="C62" s="22">
        <v>9.89</v>
      </c>
      <c r="D62" s="70">
        <f>ROUND('PU Wise OWE'!$AN$18/10000,2)</f>
        <v>20.97</v>
      </c>
      <c r="E62" s="85">
        <f t="shared" si="27"/>
        <v>2.089494535628024E-3</v>
      </c>
      <c r="F62" s="387"/>
      <c r="G62" s="22">
        <f>ROUND('PU Wise OWE'!$AN$16/10000,2)</f>
        <v>25.19</v>
      </c>
      <c r="H62" s="24">
        <f>G62/$G$7</f>
        <v>2.2283910644968381E-3</v>
      </c>
      <c r="I62" s="23">
        <f>ROUND('PU Wise OWE'!$AN$19/10000,2)</f>
        <v>20.54</v>
      </c>
      <c r="J62" s="94">
        <f t="shared" si="28"/>
        <v>2.3511904761904759E-3</v>
      </c>
      <c r="K62" s="22">
        <f>I62-D62</f>
        <v>-0.42999999999999972</v>
      </c>
      <c r="L62" s="52">
        <f>K62/D62</f>
        <v>-2.0505484024797318E-2</v>
      </c>
      <c r="M62" s="52">
        <f t="shared" si="29"/>
        <v>0.81540293767368</v>
      </c>
      <c r="N62" s="69"/>
    </row>
    <row r="63" spans="2:14">
      <c r="B63" s="23" t="s">
        <v>188</v>
      </c>
      <c r="C63" s="22">
        <v>1.64</v>
      </c>
      <c r="D63" s="70">
        <f>ROUND('PU Wise OWE'!$AN$62/10000,2)</f>
        <v>9.4</v>
      </c>
      <c r="E63" s="85">
        <f t="shared" si="27"/>
        <v>9.3663560490717351E-4</v>
      </c>
      <c r="F63" s="387"/>
      <c r="G63" s="22">
        <f>ROUND('PU Wise OWE'!$AN$60/10000,2)</f>
        <v>21.17</v>
      </c>
      <c r="H63" s="24">
        <f>G63/$G$7</f>
        <v>1.8727685127192563E-3</v>
      </c>
      <c r="I63" s="23">
        <f>ROUND('PU Wise OWE'!$AN$63/10000,2)</f>
        <v>20.68</v>
      </c>
      <c r="J63" s="94">
        <f t="shared" si="28"/>
        <v>2.3672161172161171E-3</v>
      </c>
      <c r="K63" s="22">
        <f>I63-D63</f>
        <v>11.28</v>
      </c>
      <c r="L63" s="52">
        <f>K63/D63</f>
        <v>1.2</v>
      </c>
      <c r="M63" s="52">
        <f t="shared" si="29"/>
        <v>0.97685403873405752</v>
      </c>
    </row>
    <row r="64" spans="2:14" s="36" customFormat="1">
      <c r="B64" s="25" t="s">
        <v>128</v>
      </c>
      <c r="C64" s="26">
        <f>C60+C61+C62+C63</f>
        <v>112.89</v>
      </c>
      <c r="D64" s="74">
        <f>SUM(D60:D63)</f>
        <v>125.18</v>
      </c>
      <c r="E64" s="86">
        <f t="shared" si="27"/>
        <v>1.2473196278965955E-2</v>
      </c>
      <c r="F64" s="388"/>
      <c r="G64" s="26">
        <f>SUM(G60:G63)</f>
        <v>154.13999999999999</v>
      </c>
      <c r="H64" s="54">
        <f t="shared" si="30"/>
        <v>1.3635736350994149E-2</v>
      </c>
      <c r="I64" s="26">
        <f>SUM(I60:I63)</f>
        <v>125.45000000000002</v>
      </c>
      <c r="J64" s="54">
        <f t="shared" si="28"/>
        <v>1.436011904761905E-2</v>
      </c>
      <c r="K64" s="26">
        <f>I64-D64</f>
        <v>0.27000000000001023</v>
      </c>
      <c r="L64" s="55">
        <f>K64/D64</f>
        <v>2.1568940725356306E-3</v>
      </c>
      <c r="M64" s="52">
        <f t="shared" si="29"/>
        <v>0.81387050733099797</v>
      </c>
    </row>
    <row r="66" spans="2:13">
      <c r="B66" s="75" t="s">
        <v>189</v>
      </c>
      <c r="C66" s="75"/>
    </row>
    <row r="67" spans="2:13">
      <c r="B67" s="23" t="s">
        <v>190</v>
      </c>
      <c r="C67" s="22">
        <v>1117.51</v>
      </c>
      <c r="D67" s="70">
        <f>ROUND('PU Wise OWE'!$AP$73/10000,2)</f>
        <v>1684.96</v>
      </c>
      <c r="E67" s="85">
        <f t="shared" ref="E67:E69" si="31">D67/$D$7</f>
        <v>0.16789292860046712</v>
      </c>
      <c r="F67" s="23"/>
      <c r="G67" s="22">
        <f>ROUND('PU Wise OWE'!$AP$71/10000,2)</f>
        <v>1637.46</v>
      </c>
      <c r="H67" s="24">
        <f t="shared" ref="H67:H69" si="32">G67/$G$7</f>
        <v>0.14485515015764164</v>
      </c>
      <c r="I67" s="23">
        <f>ROUND('PU Wise OWE'!$AP$74/10000,2)</f>
        <v>-0.43</v>
      </c>
      <c r="J67" s="94">
        <f t="shared" ref="J67:J69" si="33">I67/$I$7</f>
        <v>-4.9221611721611722E-5</v>
      </c>
      <c r="K67" s="22">
        <f>I67-D67</f>
        <v>-1685.39</v>
      </c>
      <c r="L67" s="52">
        <f>K67/D67</f>
        <v>-1.0002551989364734</v>
      </c>
      <c r="M67" s="52">
        <f t="shared" ref="M67:M68" si="34">I67/G67</f>
        <v>-2.6260183454863018E-4</v>
      </c>
    </row>
    <row r="68" spans="2:13">
      <c r="B68" s="87" t="s">
        <v>191</v>
      </c>
      <c r="C68" s="111">
        <v>38.520000000000003</v>
      </c>
      <c r="D68" s="70">
        <f>ROUND('PU Wise OWE'!$AP$128/10000,2)-D67</f>
        <v>61.579999999999927</v>
      </c>
      <c r="E68" s="85">
        <f t="shared" si="31"/>
        <v>6.135959632998263E-3</v>
      </c>
      <c r="F68" s="23"/>
      <c r="G68" s="22">
        <f>ROUND('PU Wise OWE'!$AP$126/10000,2)-G67</f>
        <v>30.849999999999909</v>
      </c>
      <c r="H68" s="24">
        <f t="shared" si="32"/>
        <v>2.7290934632682516E-3</v>
      </c>
      <c r="I68" s="23">
        <f>ROUND('PU Wise OWE'!$AP$129/10000,2)-I67</f>
        <v>20.46</v>
      </c>
      <c r="J68" s="94">
        <f t="shared" si="33"/>
        <v>2.3420329670329671E-3</v>
      </c>
      <c r="K68" s="22">
        <f>I68-D68</f>
        <v>-41.119999999999926</v>
      </c>
      <c r="L68" s="52">
        <f>K68/D68</f>
        <v>-0.66774926924326039</v>
      </c>
      <c r="M68" s="52">
        <f t="shared" si="34"/>
        <v>0.66320907617504254</v>
      </c>
    </row>
    <row r="69" spans="2:13" s="36" customFormat="1">
      <c r="B69" s="25" t="s">
        <v>128</v>
      </c>
      <c r="C69" s="26">
        <f>C67+C68</f>
        <v>1156.03</v>
      </c>
      <c r="D69" s="74">
        <f>SUM(D67:D68)</f>
        <v>1746.54</v>
      </c>
      <c r="E69" s="86">
        <f t="shared" si="31"/>
        <v>0.17402888823346538</v>
      </c>
      <c r="F69" s="88"/>
      <c r="G69" s="89">
        <f>SUM(G67:G68)</f>
        <v>1668.31</v>
      </c>
      <c r="H69" s="90">
        <f t="shared" si="32"/>
        <v>0.14758424362090988</v>
      </c>
      <c r="I69" s="89">
        <f>SUM(I67:I68)</f>
        <v>20.03</v>
      </c>
      <c r="J69" s="54">
        <f t="shared" si="33"/>
        <v>2.2928113553113555E-3</v>
      </c>
      <c r="K69" s="91">
        <f>I69-D69</f>
        <v>-1726.51</v>
      </c>
      <c r="L69" s="101">
        <f>K69/D69</f>
        <v>-0.98853161107103193</v>
      </c>
    </row>
    <row r="70" spans="2:13">
      <c r="F70" s="31"/>
      <c r="G70" s="34"/>
      <c r="H70" s="34"/>
      <c r="I70" s="31"/>
      <c r="J70" s="31"/>
      <c r="K70" s="34"/>
      <c r="L70" s="92"/>
    </row>
    <row r="71" spans="2:13">
      <c r="B71" s="75" t="s">
        <v>193</v>
      </c>
      <c r="C71" s="75"/>
      <c r="F71" s="31"/>
      <c r="G71" s="34"/>
      <c r="H71" s="34"/>
      <c r="I71" s="31"/>
      <c r="J71" s="31"/>
      <c r="K71" s="34"/>
      <c r="L71" s="92"/>
    </row>
    <row r="72" spans="2:13">
      <c r="B72" s="23" t="s">
        <v>192</v>
      </c>
      <c r="C72" s="22">
        <v>12.31</v>
      </c>
      <c r="D72" s="70">
        <f>ROUND('PU Wise OWE'!$AQ$29/10000,2)+ROUND('PU Wise OWE'!$BB$29/10000,2)</f>
        <v>10.14</v>
      </c>
      <c r="E72" s="85">
        <f t="shared" ref="E72:E74" si="35">D72/$D$7</f>
        <v>1.0103707482722064E-3</v>
      </c>
      <c r="F72" s="23"/>
      <c r="G72" s="70">
        <f>ROUND('PU Wise OWE'!$AQ$27/10000,2)+ROUND('PU Wise OWE'!$BB$27/10000,2)</f>
        <v>21.22</v>
      </c>
      <c r="H72" s="24">
        <f t="shared" ref="H72:H74" si="36">G72/$G$7</f>
        <v>1.8771916787861415E-3</v>
      </c>
      <c r="I72" s="70">
        <f>ROUND('PU Wise OWE'!$AQ$30/10000,2)+ROUND('PU Wise OWE'!$BB$30/10000,2)</f>
        <v>7.46</v>
      </c>
      <c r="J72" s="94">
        <f t="shared" ref="J72:J74" si="37">I72/$I$7</f>
        <v>8.539377289377289E-4</v>
      </c>
      <c r="K72" s="22">
        <f>I72-D72</f>
        <v>-2.6800000000000006</v>
      </c>
      <c r="L72" s="52">
        <f>K72/D72</f>
        <v>-0.26429980276134124</v>
      </c>
      <c r="M72" s="52">
        <f t="shared" ref="M72:M73" si="38">I72/G72</f>
        <v>0.351555136663525</v>
      </c>
    </row>
    <row r="73" spans="2:13">
      <c r="B73" s="23" t="s">
        <v>194</v>
      </c>
      <c r="C73" s="22">
        <v>114.52</v>
      </c>
      <c r="D73" s="70">
        <f>ROUND('PU Wise OWE'!$AQ$40/10000,2)+ROUND('PU Wise OWE'!$BB$40/10000,2)</f>
        <v>218.32</v>
      </c>
      <c r="E73" s="85">
        <f t="shared" si="35"/>
        <v>2.1753860134397243E-2</v>
      </c>
      <c r="F73" s="23"/>
      <c r="G73" s="70">
        <f>ROUND('PU Wise OWE'!$AQ$38/10000,2)+ROUND('PU Wise OWE'!$BB$38/10000,2)</f>
        <v>257.33000000000004</v>
      </c>
      <c r="H73" s="24">
        <f t="shared" si="36"/>
        <v>2.2764266479832134E-2</v>
      </c>
      <c r="I73" s="70">
        <f>ROUND('PU Wise OWE'!$AQ$41/10000,2)+ROUND('PU Wise OWE'!$BB$41/10000,2)</f>
        <v>208.89999999999998</v>
      </c>
      <c r="J73" s="94">
        <f t="shared" si="37"/>
        <v>2.3912545787545786E-2</v>
      </c>
      <c r="K73" s="22">
        <f>I73-D73</f>
        <v>-9.4200000000000159</v>
      </c>
      <c r="L73" s="52">
        <f>K73/D73</f>
        <v>-4.3147673140344525E-2</v>
      </c>
      <c r="M73" s="52">
        <f t="shared" si="38"/>
        <v>0.81179808028601386</v>
      </c>
    </row>
    <row r="74" spans="2:13" s="36" customFormat="1">
      <c r="B74" s="25" t="s">
        <v>128</v>
      </c>
      <c r="C74" s="26">
        <f>C72+C73</f>
        <v>126.83</v>
      </c>
      <c r="D74" s="74">
        <f>SUM(D72:D73)</f>
        <v>228.45999999999998</v>
      </c>
      <c r="E74" s="86">
        <f t="shared" si="35"/>
        <v>2.2764230882669448E-2</v>
      </c>
      <c r="F74" s="25"/>
      <c r="G74" s="74">
        <f>SUM(G72:G73)</f>
        <v>278.55000000000007</v>
      </c>
      <c r="H74" s="54">
        <f t="shared" si="36"/>
        <v>2.4641458158618276E-2</v>
      </c>
      <c r="I74" s="74">
        <f t="shared" ref="I74" si="39">SUM(I72:I73)</f>
        <v>216.35999999999999</v>
      </c>
      <c r="J74" s="54">
        <f t="shared" si="37"/>
        <v>2.4766483516483515E-2</v>
      </c>
      <c r="K74" s="26">
        <f>I74-D74</f>
        <v>-12.099999999999994</v>
      </c>
      <c r="L74" s="55">
        <f>K74/D74</f>
        <v>-5.2963319618313909E-2</v>
      </c>
    </row>
    <row r="75" spans="2:13">
      <c r="E75" s="31"/>
      <c r="F75" s="31"/>
      <c r="G75" s="34"/>
      <c r="H75" s="34"/>
      <c r="I75" s="31"/>
      <c r="J75" s="31"/>
      <c r="K75" s="34"/>
      <c r="L75" s="92"/>
    </row>
    <row r="76" spans="2:13">
      <c r="B76" s="75" t="s">
        <v>195</v>
      </c>
      <c r="C76" s="75"/>
      <c r="E76" s="31"/>
      <c r="F76" s="31"/>
      <c r="G76" s="34"/>
      <c r="H76" s="34"/>
      <c r="I76" s="31"/>
      <c r="J76" s="31"/>
      <c r="K76" s="34"/>
      <c r="L76" s="92"/>
    </row>
    <row r="77" spans="2:13">
      <c r="B77" s="23" t="s">
        <v>197</v>
      </c>
      <c r="C77" s="22">
        <v>2</v>
      </c>
      <c r="D77" s="70">
        <f>ROUND('PU Wise OWE'!$AW$128/10000,2)</f>
        <v>2.12</v>
      </c>
      <c r="E77" s="85">
        <f t="shared" ref="E77:E83" si="40">D77/$D$7</f>
        <v>2.1124122153225614E-4</v>
      </c>
      <c r="F77" s="23"/>
      <c r="G77" s="22">
        <f>ROUND('PU Wise OWE'!$AW$126/10000,2)</f>
        <v>1.72</v>
      </c>
      <c r="H77" s="24">
        <f t="shared" ref="H77:H83" si="41">G77/$G$7</f>
        <v>1.5215691270085594E-4</v>
      </c>
      <c r="I77" s="23">
        <f>ROUND('PU Wise OWE'!$AW$129/10000,2)</f>
        <v>1.43</v>
      </c>
      <c r="J77" s="94">
        <f t="shared" ref="J77:J85" si="42">I77/$I$7</f>
        <v>1.6369047619047618E-4</v>
      </c>
      <c r="K77" s="22">
        <f t="shared" ref="K77:K83" si="43">I77-D77</f>
        <v>-0.69000000000000017</v>
      </c>
      <c r="L77" s="52">
        <f t="shared" ref="L77:L83" si="44">K77/D77</f>
        <v>-0.32547169811320759</v>
      </c>
      <c r="M77" s="52">
        <f t="shared" ref="M77:M82" si="45">I77/G77</f>
        <v>0.83139534883720922</v>
      </c>
    </row>
    <row r="78" spans="2:13">
      <c r="B78" s="23" t="s">
        <v>196</v>
      </c>
      <c r="C78" s="22">
        <v>1.66</v>
      </c>
      <c r="D78" s="70">
        <f>ROUND('PU Wise OWE'!$AX$128/10000,2)</f>
        <v>1.63</v>
      </c>
      <c r="E78" s="85">
        <f t="shared" si="40"/>
        <v>1.6241659957432899E-4</v>
      </c>
      <c r="F78" s="23"/>
      <c r="G78" s="22">
        <f>ROUND('PU Wise OWE'!$AX$126/10000,2)</f>
        <v>3.65</v>
      </c>
      <c r="H78" s="24">
        <f t="shared" si="41"/>
        <v>3.2289112288263035E-4</v>
      </c>
      <c r="I78" s="23">
        <f>ROUND('PU Wise OWE'!$AX$129/10000,2)</f>
        <v>2.02</v>
      </c>
      <c r="J78" s="94">
        <f t="shared" si="42"/>
        <v>2.3122710622710624E-4</v>
      </c>
      <c r="K78" s="22">
        <f t="shared" si="43"/>
        <v>0.39000000000000012</v>
      </c>
      <c r="L78" s="52">
        <f t="shared" si="44"/>
        <v>0.23926380368098168</v>
      </c>
      <c r="M78" s="52">
        <f t="shared" si="45"/>
        <v>0.55342465753424663</v>
      </c>
    </row>
    <row r="79" spans="2:13">
      <c r="B79" s="23" t="s">
        <v>198</v>
      </c>
      <c r="C79" s="22">
        <v>16.940000000000001</v>
      </c>
      <c r="D79" s="70">
        <f>ROUND('PU Wise OWE'!$BC$128/10000,2)</f>
        <v>18.71</v>
      </c>
      <c r="E79" s="85">
        <f t="shared" si="40"/>
        <v>1.8643034221077889E-3</v>
      </c>
      <c r="F79" s="23"/>
      <c r="G79" s="22">
        <f>ROUND('PU Wise OWE'!$BC$126/10000,2)</f>
        <v>22.48</v>
      </c>
      <c r="H79" s="24">
        <f t="shared" si="41"/>
        <v>1.9886554636716525E-3</v>
      </c>
      <c r="I79" s="23">
        <f>ROUND('PU Wise OWE'!$BC$129/10000,2)</f>
        <v>21.07</v>
      </c>
      <c r="J79" s="94">
        <f t="shared" si="42"/>
        <v>2.4118589743589744E-3</v>
      </c>
      <c r="K79" s="22">
        <f t="shared" si="43"/>
        <v>2.3599999999999994</v>
      </c>
      <c r="L79" s="52">
        <f t="shared" si="44"/>
        <v>0.1261357562800641</v>
      </c>
      <c r="M79" s="52">
        <f t="shared" si="45"/>
        <v>0.93727758007117434</v>
      </c>
    </row>
    <row r="80" spans="2:13">
      <c r="B80" s="23" t="s">
        <v>199</v>
      </c>
      <c r="C80" s="22">
        <v>16.95</v>
      </c>
      <c r="D80" s="70">
        <f>ROUND('PU Wise OWE'!$BD$128/10000,2)</f>
        <v>18.59</v>
      </c>
      <c r="E80" s="85">
        <f t="shared" si="40"/>
        <v>1.852346371832378E-3</v>
      </c>
      <c r="F80" s="23"/>
      <c r="G80" s="22">
        <f>ROUND('PU Wise OWE'!$BD$126/10000,2)</f>
        <v>22.35</v>
      </c>
      <c r="H80" s="24">
        <f t="shared" si="41"/>
        <v>1.9771552318977505E-3</v>
      </c>
      <c r="I80" s="23">
        <f>ROUND('PU Wise OWE'!$BD$129/10000,2)</f>
        <v>21.07</v>
      </c>
      <c r="J80" s="94">
        <f t="shared" si="42"/>
        <v>2.4118589743589744E-3</v>
      </c>
      <c r="K80" s="22">
        <f t="shared" si="43"/>
        <v>2.4800000000000004</v>
      </c>
      <c r="L80" s="52">
        <f t="shared" si="44"/>
        <v>0.13340505648197959</v>
      </c>
      <c r="M80" s="52">
        <f t="shared" si="45"/>
        <v>0.94272930648769571</v>
      </c>
    </row>
    <row r="81" spans="2:13">
      <c r="B81" s="23" t="s">
        <v>200</v>
      </c>
      <c r="C81" s="22">
        <v>17.329999999999998</v>
      </c>
      <c r="D81" s="70">
        <f>ROUND('PU Wise OWE'!$BF$128/10000,2)</f>
        <v>24.12</v>
      </c>
      <c r="E81" s="85">
        <f t="shared" si="40"/>
        <v>2.4033671053575556E-3</v>
      </c>
      <c r="F81" s="23"/>
      <c r="G81" s="22">
        <f>ROUND('PU Wise OWE'!$BF$126/10000,2)</f>
        <v>29.81</v>
      </c>
      <c r="H81" s="24">
        <f t="shared" si="41"/>
        <v>2.6370916090770443E-3</v>
      </c>
      <c r="I81" s="23">
        <f>ROUND('PU Wise OWE'!$BF$129/10000,2)</f>
        <v>20.27</v>
      </c>
      <c r="J81" s="94">
        <f t="shared" si="42"/>
        <v>2.3202838827838827E-3</v>
      </c>
      <c r="K81" s="22">
        <f t="shared" si="43"/>
        <v>-3.8500000000000014</v>
      </c>
      <c r="L81" s="52">
        <f t="shared" si="44"/>
        <v>-0.15961857379767833</v>
      </c>
      <c r="M81" s="52">
        <f t="shared" si="45"/>
        <v>0.67997316336799729</v>
      </c>
    </row>
    <row r="82" spans="2:13">
      <c r="B82" s="23" t="s">
        <v>201</v>
      </c>
      <c r="C82" s="22">
        <v>166.71</v>
      </c>
      <c r="D82" s="70">
        <f>ROUND('PU Wise OWE'!$BG$128/10000,2)-ROUND('PU Wise OWE'!$BG$117/10000,2)</f>
        <v>243.15999999999985</v>
      </c>
      <c r="E82" s="85">
        <f t="shared" si="40"/>
        <v>2.4228969541407252E-2</v>
      </c>
      <c r="F82" s="23"/>
      <c r="G82" s="22">
        <f>ROUND('PU Wise OWE'!$BG$126/10000,2)-ROUND('PU Wise OWE'!$BG$115/10000,2)</f>
        <v>308.8799999999992</v>
      </c>
      <c r="H82" s="24">
        <f t="shared" si="41"/>
        <v>2.7324550694790853E-2</v>
      </c>
      <c r="I82" s="23">
        <f>ROUND('PU Wise OWE'!$BG$129/10000,2)-ROUND('PU Wise OWE'!$BG$118/10000,2)</f>
        <v>208.86999999999989</v>
      </c>
      <c r="J82" s="94">
        <f t="shared" si="42"/>
        <v>2.3909111721611708E-2</v>
      </c>
      <c r="K82" s="22">
        <f t="shared" si="43"/>
        <v>-34.289999999999964</v>
      </c>
      <c r="L82" s="52">
        <f t="shared" si="44"/>
        <v>-0.14101825958216804</v>
      </c>
      <c r="M82" s="52">
        <f t="shared" si="45"/>
        <v>0.67621730121730261</v>
      </c>
    </row>
    <row r="83" spans="2:13" s="36" customFormat="1">
      <c r="B83" s="25" t="s">
        <v>128</v>
      </c>
      <c r="C83" s="26">
        <f>C77+C78+C79+C80+C81+C82</f>
        <v>221.59</v>
      </c>
      <c r="D83" s="74">
        <f>SUM(D77:D82)</f>
        <v>308.32999999999987</v>
      </c>
      <c r="E83" s="86">
        <f t="shared" si="40"/>
        <v>3.0722644261811559E-2</v>
      </c>
      <c r="F83" s="25"/>
      <c r="G83" s="74">
        <f>SUM(G77:G82)</f>
        <v>388.88999999999919</v>
      </c>
      <c r="H83" s="54">
        <f t="shared" si="41"/>
        <v>3.4402501035020787E-2</v>
      </c>
      <c r="I83" s="74">
        <f>SUM(I77:I82)</f>
        <v>274.7299999999999</v>
      </c>
      <c r="J83" s="54">
        <f t="shared" si="42"/>
        <v>3.1448031135531122E-2</v>
      </c>
      <c r="K83" s="26">
        <f t="shared" si="43"/>
        <v>-33.599999999999966</v>
      </c>
      <c r="L83" s="55">
        <f t="shared" si="44"/>
        <v>-0.10897415107190342</v>
      </c>
      <c r="M83" s="25"/>
    </row>
    <row r="85" spans="2:13" s="36" customFormat="1" ht="31.5" customHeight="1">
      <c r="B85" s="93" t="s">
        <v>202</v>
      </c>
      <c r="C85" s="112">
        <v>3247.44</v>
      </c>
      <c r="D85" s="74">
        <f>D37+D49+D54+D56+D64+D69+D74+D83</f>
        <v>4846.88</v>
      </c>
      <c r="E85" s="86">
        <f t="shared" ref="E85" si="46">D85/$D$7</f>
        <v>0.48295323199068946</v>
      </c>
      <c r="F85" s="25"/>
      <c r="G85" s="74">
        <f>G37+G49+G54+G56+G64+G69+G74+G83</f>
        <v>5058.1099999999997</v>
      </c>
      <c r="H85" s="54">
        <f t="shared" ref="H85" si="47">G85/$G$7</f>
        <v>0.4474572102914689</v>
      </c>
      <c r="I85" s="74">
        <f>I37+I49+I54+I56+I64+I69+I74+I83</f>
        <v>3005.23</v>
      </c>
      <c r="J85" s="54">
        <f t="shared" si="42"/>
        <v>0.34400526556776556</v>
      </c>
      <c r="K85" s="26">
        <f>I85-D85</f>
        <v>-1841.65</v>
      </c>
      <c r="L85" s="55">
        <f>K85/D85</f>
        <v>-0.37996608127290132</v>
      </c>
      <c r="M85" s="52">
        <f t="shared" ref="M85" si="48">I85/G85</f>
        <v>0.59414089452384389</v>
      </c>
    </row>
    <row r="86" spans="2:13">
      <c r="B86" s="176"/>
      <c r="C86" s="176"/>
      <c r="D86" s="136"/>
      <c r="E86" s="176"/>
      <c r="F86" s="176"/>
      <c r="G86" s="176"/>
      <c r="H86" s="176"/>
      <c r="I86" s="176"/>
      <c r="J86" s="176"/>
      <c r="K86" s="176"/>
      <c r="L86" s="176"/>
      <c r="M86" s="176"/>
    </row>
    <row r="87" spans="2:13" s="146" customFormat="1" ht="16.5" customHeight="1">
      <c r="B87" s="238"/>
      <c r="C87" s="423" t="s">
        <v>293</v>
      </c>
      <c r="D87" s="425" t="s">
        <v>294</v>
      </c>
      <c r="E87" s="423" t="s">
        <v>171</v>
      </c>
      <c r="F87" s="423"/>
      <c r="G87" s="426" t="s">
        <v>298</v>
      </c>
      <c r="H87" s="423" t="s">
        <v>300</v>
      </c>
      <c r="I87" s="425" t="s">
        <v>295</v>
      </c>
      <c r="J87" s="423" t="s">
        <v>203</v>
      </c>
      <c r="K87" s="428" t="s">
        <v>145</v>
      </c>
      <c r="L87" s="428"/>
      <c r="M87" s="422" t="s">
        <v>297</v>
      </c>
    </row>
    <row r="88" spans="2:13" s="146" customFormat="1">
      <c r="B88" s="224" t="s">
        <v>251</v>
      </c>
      <c r="C88" s="424"/>
      <c r="D88" s="424"/>
      <c r="E88" s="424"/>
      <c r="F88" s="424"/>
      <c r="G88" s="427"/>
      <c r="H88" s="424"/>
      <c r="I88" s="436"/>
      <c r="J88" s="424"/>
      <c r="K88" s="225" t="s">
        <v>143</v>
      </c>
      <c r="L88" s="225" t="s">
        <v>144</v>
      </c>
      <c r="M88" s="422"/>
    </row>
    <row r="89" spans="2:13" s="146" customFormat="1" ht="15" customHeight="1">
      <c r="B89" s="226" t="s">
        <v>252</v>
      </c>
      <c r="C89" s="226">
        <v>17</v>
      </c>
      <c r="D89" s="231">
        <v>0</v>
      </c>
      <c r="E89" s="239">
        <f t="shared" ref="E89:E102" si="49">D89/$D$7</f>
        <v>0</v>
      </c>
      <c r="F89" s="226"/>
      <c r="G89" s="229">
        <v>0.69</v>
      </c>
      <c r="H89" s="227">
        <f t="shared" ref="H89:H102" si="50">G89/$G$7</f>
        <v>6.1039691723017796E-5</v>
      </c>
      <c r="I89" s="226">
        <v>0</v>
      </c>
      <c r="J89" s="227">
        <f t="shared" ref="J89:J102" si="51">I89/$I$7</f>
        <v>0</v>
      </c>
      <c r="K89" s="229">
        <f>I89-D89</f>
        <v>0</v>
      </c>
      <c r="L89" s="230">
        <v>0</v>
      </c>
      <c r="M89" s="230">
        <f t="shared" ref="M89:M102" si="52">I89/G89</f>
        <v>0</v>
      </c>
    </row>
    <row r="90" spans="2:13" s="146" customFormat="1">
      <c r="B90" s="226" t="s">
        <v>253</v>
      </c>
      <c r="C90" s="226">
        <v>33.630000000000003</v>
      </c>
      <c r="D90" s="228">
        <v>1.86</v>
      </c>
      <c r="E90" s="239">
        <f t="shared" si="49"/>
        <v>1.8533427926886625E-4</v>
      </c>
      <c r="F90" s="226"/>
      <c r="G90" s="229">
        <v>33.28</v>
      </c>
      <c r="H90" s="227">
        <f t="shared" si="50"/>
        <v>2.9440593341188877E-3</v>
      </c>
      <c r="I90" s="229">
        <v>2.77</v>
      </c>
      <c r="J90" s="227">
        <f t="shared" si="51"/>
        <v>3.1707875457875456E-4</v>
      </c>
      <c r="K90" s="229">
        <f t="shared" ref="K90:K102" si="53">I90-D90</f>
        <v>0.90999999999999992</v>
      </c>
      <c r="L90" s="230">
        <f t="shared" ref="L90:L102" si="54">K90/D90</f>
        <v>0.48924731182795694</v>
      </c>
      <c r="M90" s="230">
        <f t="shared" si="52"/>
        <v>8.3233173076923073E-2</v>
      </c>
    </row>
    <row r="91" spans="2:13" s="146" customFormat="1">
      <c r="B91" s="226" t="s">
        <v>263</v>
      </c>
      <c r="C91" s="226">
        <v>7.44</v>
      </c>
      <c r="D91" s="228">
        <v>0.04</v>
      </c>
      <c r="E91" s="239">
        <f t="shared" si="49"/>
        <v>3.9856834251369086E-6</v>
      </c>
      <c r="F91" s="226"/>
      <c r="G91" s="229">
        <v>0.53</v>
      </c>
      <c r="H91" s="227">
        <f t="shared" si="50"/>
        <v>4.6885560308984691E-5</v>
      </c>
      <c r="I91" s="229">
        <v>0</v>
      </c>
      <c r="J91" s="227">
        <f t="shared" si="51"/>
        <v>0</v>
      </c>
      <c r="K91" s="229">
        <f t="shared" si="53"/>
        <v>-0.04</v>
      </c>
      <c r="L91" s="230">
        <f t="shared" si="54"/>
        <v>-1</v>
      </c>
      <c r="M91" s="230">
        <f t="shared" si="52"/>
        <v>0</v>
      </c>
    </row>
    <row r="92" spans="2:13" s="146" customFormat="1">
      <c r="B92" s="240" t="s">
        <v>254</v>
      </c>
      <c r="C92" s="233">
        <f>SUM(C89:C91)</f>
        <v>58.07</v>
      </c>
      <c r="D92" s="236">
        <f>SUM(D89:D91)</f>
        <v>1.9000000000000001</v>
      </c>
      <c r="E92" s="241">
        <f t="shared" si="49"/>
        <v>1.8931996269400315E-4</v>
      </c>
      <c r="F92" s="233">
        <f t="shared" ref="F92:G92" si="55">SUM(F89:F90)</f>
        <v>0</v>
      </c>
      <c r="G92" s="236">
        <f t="shared" si="55"/>
        <v>33.97</v>
      </c>
      <c r="H92" s="235">
        <f t="shared" si="50"/>
        <v>3.0050990258419052E-3</v>
      </c>
      <c r="I92" s="236">
        <f>SUM(I89:I91)</f>
        <v>2.77</v>
      </c>
      <c r="J92" s="235">
        <f t="shared" si="51"/>
        <v>3.1707875457875456E-4</v>
      </c>
      <c r="K92" s="236">
        <f t="shared" si="53"/>
        <v>0.86999999999999988</v>
      </c>
      <c r="L92" s="237">
        <f t="shared" si="54"/>
        <v>0.45789473684210519</v>
      </c>
      <c r="M92" s="237">
        <f t="shared" si="52"/>
        <v>8.1542537533117465E-2</v>
      </c>
    </row>
    <row r="93" spans="2:13" s="146" customFormat="1">
      <c r="B93" s="226" t="s">
        <v>255</v>
      </c>
      <c r="C93" s="226">
        <v>0</v>
      </c>
      <c r="D93" s="231">
        <v>0</v>
      </c>
      <c r="E93" s="239">
        <f t="shared" si="49"/>
        <v>0</v>
      </c>
      <c r="F93" s="226"/>
      <c r="G93" s="229">
        <v>0</v>
      </c>
      <c r="H93" s="227">
        <f t="shared" si="50"/>
        <v>0</v>
      </c>
      <c r="I93" s="229">
        <v>0</v>
      </c>
      <c r="J93" s="227">
        <f t="shared" si="51"/>
        <v>0</v>
      </c>
      <c r="K93" s="229">
        <f t="shared" si="53"/>
        <v>0</v>
      </c>
      <c r="L93" s="230">
        <v>0</v>
      </c>
      <c r="M93" s="230">
        <v>0</v>
      </c>
    </row>
    <row r="94" spans="2:13" s="146" customFormat="1">
      <c r="B94" s="226" t="s">
        <v>256</v>
      </c>
      <c r="C94" s="226">
        <v>13.17</v>
      </c>
      <c r="D94" s="228">
        <v>0.17</v>
      </c>
      <c r="E94" s="239">
        <f t="shared" si="49"/>
        <v>1.6939154556831859E-5</v>
      </c>
      <c r="F94" s="226"/>
      <c r="G94" s="229">
        <v>14.55</v>
      </c>
      <c r="H94" s="227">
        <f t="shared" si="50"/>
        <v>1.2871413254636362E-3</v>
      </c>
      <c r="I94" s="229">
        <v>3.38</v>
      </c>
      <c r="J94" s="227">
        <f t="shared" si="51"/>
        <v>3.8690476190476192E-4</v>
      </c>
      <c r="K94" s="229">
        <f t="shared" si="53"/>
        <v>3.21</v>
      </c>
      <c r="L94" s="230">
        <f t="shared" si="54"/>
        <v>18.882352941176467</v>
      </c>
      <c r="M94" s="230">
        <f t="shared" si="52"/>
        <v>0.23230240549828177</v>
      </c>
    </row>
    <row r="95" spans="2:13" s="146" customFormat="1">
      <c r="B95" s="226" t="s">
        <v>264</v>
      </c>
      <c r="C95" s="226">
        <v>-0.3</v>
      </c>
      <c r="D95" s="228">
        <v>0</v>
      </c>
      <c r="E95" s="239">
        <f t="shared" si="49"/>
        <v>0</v>
      </c>
      <c r="F95" s="226"/>
      <c r="G95" s="229">
        <v>0.05</v>
      </c>
      <c r="H95" s="227">
        <f t="shared" si="50"/>
        <v>4.4231660668853483E-6</v>
      </c>
      <c r="I95" s="229">
        <v>0</v>
      </c>
      <c r="J95" s="227">
        <f t="shared" si="51"/>
        <v>0</v>
      </c>
      <c r="K95" s="229">
        <f t="shared" si="53"/>
        <v>0</v>
      </c>
      <c r="L95" s="230">
        <v>0</v>
      </c>
      <c r="M95" s="230">
        <v>0</v>
      </c>
    </row>
    <row r="96" spans="2:13" s="146" customFormat="1">
      <c r="B96" s="240" t="s">
        <v>257</v>
      </c>
      <c r="C96" s="233">
        <f>SUM(C93:C95)</f>
        <v>12.87</v>
      </c>
      <c r="D96" s="233">
        <f>SUM(D93:D95)</f>
        <v>0.17</v>
      </c>
      <c r="E96" s="241">
        <f t="shared" si="49"/>
        <v>1.6939154556831859E-5</v>
      </c>
      <c r="F96" s="233">
        <f t="shared" ref="F96" si="56">SUM(F93:F94)</f>
        <v>0</v>
      </c>
      <c r="G96" s="236">
        <f>SUM(G93:G95)</f>
        <v>14.600000000000001</v>
      </c>
      <c r="H96" s="235">
        <f t="shared" si="50"/>
        <v>1.2915644915305216E-3</v>
      </c>
      <c r="I96" s="236">
        <f>SUM(I93:I95)</f>
        <v>3.38</v>
      </c>
      <c r="J96" s="235">
        <f t="shared" si="51"/>
        <v>3.8690476190476192E-4</v>
      </c>
      <c r="K96" s="236">
        <f t="shared" si="53"/>
        <v>3.21</v>
      </c>
      <c r="L96" s="237">
        <f t="shared" si="54"/>
        <v>18.882352941176467</v>
      </c>
      <c r="M96" s="237">
        <f t="shared" si="52"/>
        <v>0.23150684931506846</v>
      </c>
    </row>
    <row r="97" spans="2:13" s="146" customFormat="1">
      <c r="B97" s="226" t="s">
        <v>258</v>
      </c>
      <c r="C97" s="229">
        <v>24.12</v>
      </c>
      <c r="D97" s="228">
        <v>1.61</v>
      </c>
      <c r="E97" s="239">
        <f t="shared" si="49"/>
        <v>1.6042375786176058E-4</v>
      </c>
      <c r="F97" s="226"/>
      <c r="G97" s="229">
        <v>17.600000000000001</v>
      </c>
      <c r="H97" s="227">
        <f t="shared" si="50"/>
        <v>1.5569544555436425E-3</v>
      </c>
      <c r="I97" s="229">
        <v>0.15</v>
      </c>
      <c r="J97" s="227">
        <f t="shared" si="51"/>
        <v>1.717032967032967E-5</v>
      </c>
      <c r="K97" s="229">
        <f t="shared" si="53"/>
        <v>-1.4600000000000002</v>
      </c>
      <c r="L97" s="230">
        <f t="shared" si="54"/>
        <v>-0.90683229813664601</v>
      </c>
      <c r="M97" s="230">
        <f t="shared" si="52"/>
        <v>8.5227272727272721E-3</v>
      </c>
    </row>
    <row r="98" spans="2:13" s="146" customFormat="1">
      <c r="B98" s="226" t="s">
        <v>259</v>
      </c>
      <c r="C98" s="226">
        <v>145.66</v>
      </c>
      <c r="D98" s="228">
        <v>4.3499999999999996</v>
      </c>
      <c r="E98" s="239">
        <f t="shared" si="49"/>
        <v>4.3344307248363871E-4</v>
      </c>
      <c r="F98" s="226"/>
      <c r="G98" s="229">
        <v>11.56</v>
      </c>
      <c r="H98" s="227">
        <f t="shared" si="50"/>
        <v>1.0226359946638925E-3</v>
      </c>
      <c r="I98" s="229">
        <v>6.27</v>
      </c>
      <c r="J98" s="227">
        <f t="shared" si="51"/>
        <v>7.1771978021978019E-4</v>
      </c>
      <c r="K98" s="229">
        <f t="shared" si="53"/>
        <v>1.92</v>
      </c>
      <c r="L98" s="230">
        <f t="shared" si="54"/>
        <v>0.44137931034482758</v>
      </c>
      <c r="M98" s="230">
        <f t="shared" si="52"/>
        <v>0.54238754325259508</v>
      </c>
    </row>
    <row r="99" spans="2:13" s="146" customFormat="1">
      <c r="B99" s="240" t="s">
        <v>260</v>
      </c>
      <c r="C99" s="233">
        <f t="shared" ref="C99" si="57">SUM(C97:C98)</f>
        <v>169.78</v>
      </c>
      <c r="D99" s="236">
        <f t="shared" ref="D99:I99" si="58">SUM(D97:D98)</f>
        <v>5.96</v>
      </c>
      <c r="E99" s="241">
        <f t="shared" si="49"/>
        <v>5.9386683034539929E-4</v>
      </c>
      <c r="F99" s="233">
        <f t="shared" si="58"/>
        <v>0</v>
      </c>
      <c r="G99" s="236">
        <f t="shared" si="58"/>
        <v>29.160000000000004</v>
      </c>
      <c r="H99" s="235">
        <f t="shared" si="50"/>
        <v>2.579590450207535E-3</v>
      </c>
      <c r="I99" s="236">
        <f t="shared" si="58"/>
        <v>6.42</v>
      </c>
      <c r="J99" s="235">
        <f t="shared" si="51"/>
        <v>7.348901098901099E-4</v>
      </c>
      <c r="K99" s="236">
        <f t="shared" si="53"/>
        <v>0.45999999999999996</v>
      </c>
      <c r="L99" s="237">
        <f t="shared" si="54"/>
        <v>7.7181208053691275E-2</v>
      </c>
      <c r="M99" s="237">
        <f t="shared" si="52"/>
        <v>0.22016460905349791</v>
      </c>
    </row>
    <row r="100" spans="2:13" s="146" customFormat="1">
      <c r="B100" s="226" t="s">
        <v>261</v>
      </c>
      <c r="C100" s="229">
        <v>12.31</v>
      </c>
      <c r="D100" s="228">
        <v>4.28</v>
      </c>
      <c r="E100" s="239">
        <f t="shared" si="49"/>
        <v>4.2646812648964921E-4</v>
      </c>
      <c r="F100" s="226"/>
      <c r="G100" s="229">
        <v>13.17</v>
      </c>
      <c r="H100" s="227">
        <f t="shared" si="50"/>
        <v>1.1650619420176006E-3</v>
      </c>
      <c r="I100" s="229">
        <v>1.93</v>
      </c>
      <c r="J100" s="227">
        <f t="shared" si="51"/>
        <v>2.209249084249084E-4</v>
      </c>
      <c r="K100" s="229">
        <f t="shared" si="53"/>
        <v>-2.3500000000000005</v>
      </c>
      <c r="L100" s="230">
        <f t="shared" si="54"/>
        <v>-0.54906542056074781</v>
      </c>
      <c r="M100" s="230">
        <f t="shared" si="52"/>
        <v>0.14654517843583903</v>
      </c>
    </row>
    <row r="101" spans="2:13" s="146" customFormat="1">
      <c r="B101" s="226" t="s">
        <v>262</v>
      </c>
      <c r="C101" s="229">
        <v>101.34</v>
      </c>
      <c r="D101" s="228">
        <v>1.64</v>
      </c>
      <c r="E101" s="239">
        <f t="shared" si="49"/>
        <v>1.6341302043061323E-4</v>
      </c>
      <c r="F101" s="226"/>
      <c r="G101" s="229">
        <v>65.03</v>
      </c>
      <c r="H101" s="227">
        <f t="shared" si="50"/>
        <v>5.7527697865910835E-3</v>
      </c>
      <c r="I101" s="229">
        <v>5.95</v>
      </c>
      <c r="J101" s="227">
        <f t="shared" si="51"/>
        <v>6.8108974358974366E-4</v>
      </c>
      <c r="K101" s="229">
        <f t="shared" si="53"/>
        <v>4.3100000000000005</v>
      </c>
      <c r="L101" s="230">
        <f t="shared" si="54"/>
        <v>2.6280487804878052</v>
      </c>
      <c r="M101" s="230">
        <f t="shared" si="52"/>
        <v>9.1496232508073191E-2</v>
      </c>
    </row>
    <row r="102" spans="2:13" s="146" customFormat="1">
      <c r="B102" s="240" t="s">
        <v>292</v>
      </c>
      <c r="C102" s="236">
        <f>SUM(C100:C101)</f>
        <v>113.65</v>
      </c>
      <c r="D102" s="236">
        <f t="shared" ref="D102:I102" si="59">SUM(D100:D101)</f>
        <v>5.92</v>
      </c>
      <c r="E102" s="241">
        <f t="shared" si="49"/>
        <v>5.8988114692026241E-4</v>
      </c>
      <c r="F102" s="233">
        <f t="shared" si="59"/>
        <v>0</v>
      </c>
      <c r="G102" s="236">
        <f t="shared" si="59"/>
        <v>78.2</v>
      </c>
      <c r="H102" s="235">
        <f t="shared" si="50"/>
        <v>6.917831728608684E-3</v>
      </c>
      <c r="I102" s="236">
        <f t="shared" si="59"/>
        <v>7.88</v>
      </c>
      <c r="J102" s="235">
        <f t="shared" si="51"/>
        <v>9.0201465201465204E-4</v>
      </c>
      <c r="K102" s="236">
        <f t="shared" si="53"/>
        <v>1.96</v>
      </c>
      <c r="L102" s="237">
        <f t="shared" si="54"/>
        <v>0.33108108108108109</v>
      </c>
      <c r="M102" s="237">
        <f t="shared" si="52"/>
        <v>0.10076726342710997</v>
      </c>
    </row>
    <row r="103" spans="2:13">
      <c r="B103" s="41"/>
      <c r="C103" s="41"/>
      <c r="D103" s="242"/>
      <c r="E103" s="41"/>
      <c r="F103" s="41"/>
      <c r="G103" s="41"/>
      <c r="H103" s="41"/>
      <c r="I103" s="41"/>
      <c r="J103" s="41"/>
      <c r="K103" s="41"/>
      <c r="L103" s="41"/>
      <c r="M103" s="41"/>
    </row>
    <row r="104" spans="2:13" ht="15" customHeight="1">
      <c r="B104" s="223"/>
      <c r="C104" s="423" t="s">
        <v>293</v>
      </c>
      <c r="D104" s="425" t="str">
        <f>'PU Wise OWE'!$B$7</f>
        <v>Actuals upto Feb-23</v>
      </c>
      <c r="E104" s="423" t="s">
        <v>171</v>
      </c>
      <c r="F104" s="423"/>
      <c r="G104" s="426" t="str">
        <f>'PU Wise OWE'!$B$5</f>
        <v>RG 2023-24</v>
      </c>
      <c r="H104" s="423" t="s">
        <v>301</v>
      </c>
      <c r="I104" s="425" t="str">
        <f>I40</f>
        <v>Actuals upto Feb-24</v>
      </c>
      <c r="J104" s="423" t="s">
        <v>203</v>
      </c>
      <c r="K104" s="428" t="s">
        <v>145</v>
      </c>
      <c r="L104" s="428"/>
      <c r="M104" s="422" t="s">
        <v>297</v>
      </c>
    </row>
    <row r="105" spans="2:13">
      <c r="B105" s="224" t="s">
        <v>189</v>
      </c>
      <c r="C105" s="424"/>
      <c r="D105" s="424"/>
      <c r="E105" s="424"/>
      <c r="F105" s="424"/>
      <c r="G105" s="427"/>
      <c r="H105" s="424"/>
      <c r="I105" s="424"/>
      <c r="J105" s="424"/>
      <c r="K105" s="225" t="s">
        <v>143</v>
      </c>
      <c r="L105" s="225" t="s">
        <v>144</v>
      </c>
      <c r="M105" s="422"/>
    </row>
    <row r="106" spans="2:13">
      <c r="B106" s="226" t="s">
        <v>215</v>
      </c>
      <c r="C106" s="226">
        <v>305.92</v>
      </c>
      <c r="D106" s="228">
        <v>19.18</v>
      </c>
      <c r="E106" s="239">
        <f t="shared" ref="E106:E109" si="60">D106/$D$7</f>
        <v>1.9111352023531475E-3</v>
      </c>
      <c r="F106" s="226"/>
      <c r="G106" s="226">
        <v>115.89</v>
      </c>
      <c r="H106" s="227">
        <f t="shared" ref="H106:H109" si="61">G106/$G$7</f>
        <v>1.0252014309826859E-2</v>
      </c>
      <c r="I106" s="229">
        <v>28.26</v>
      </c>
      <c r="J106" s="227">
        <f t="shared" ref="J106:J109" si="62">I106/$I$7</f>
        <v>3.2348901098901103E-3</v>
      </c>
      <c r="K106" s="229">
        <f>I106-D106</f>
        <v>9.0800000000000018</v>
      </c>
      <c r="L106" s="230">
        <f>K106/D106</f>
        <v>0.47340980187695525</v>
      </c>
      <c r="M106" s="230">
        <f t="shared" ref="M106:M109" si="63">I106/G106</f>
        <v>0.24385192855293814</v>
      </c>
    </row>
    <row r="107" spans="2:13">
      <c r="B107" s="226" t="s">
        <v>214</v>
      </c>
      <c r="C107" s="226">
        <v>266.58999999999997</v>
      </c>
      <c r="D107" s="231">
        <v>27.95</v>
      </c>
      <c r="E107" s="239">
        <f t="shared" si="60"/>
        <v>2.7849962933144145E-3</v>
      </c>
      <c r="F107" s="226"/>
      <c r="G107" s="229">
        <v>750</v>
      </c>
      <c r="H107" s="227">
        <f t="shared" si="61"/>
        <v>6.6347491003280218E-2</v>
      </c>
      <c r="I107" s="229">
        <v>40.58</v>
      </c>
      <c r="J107" s="227">
        <f t="shared" si="62"/>
        <v>4.6451465201465198E-3</v>
      </c>
      <c r="K107" s="229">
        <f t="shared" ref="K107:K109" si="64">I107-D107</f>
        <v>12.629999999999999</v>
      </c>
      <c r="L107" s="230">
        <f t="shared" ref="L107:L109" si="65">K107/D107</f>
        <v>0.45187835420393557</v>
      </c>
      <c r="M107" s="230">
        <f t="shared" si="63"/>
        <v>5.4106666666666664E-2</v>
      </c>
    </row>
    <row r="108" spans="2:13" ht="15.75" customHeight="1">
      <c r="B108" s="232" t="s">
        <v>213</v>
      </c>
      <c r="C108" s="226">
        <v>544.78</v>
      </c>
      <c r="D108" s="231">
        <v>165.44</v>
      </c>
      <c r="E108" s="239">
        <f t="shared" si="60"/>
        <v>1.6484786646366253E-2</v>
      </c>
      <c r="F108" s="226"/>
      <c r="G108" s="229">
        <v>676.5</v>
      </c>
      <c r="H108" s="227">
        <f t="shared" si="61"/>
        <v>5.9845436884958754E-2</v>
      </c>
      <c r="I108" s="226">
        <v>301.26</v>
      </c>
      <c r="J108" s="227">
        <f t="shared" si="62"/>
        <v>3.4484890109890108E-2</v>
      </c>
      <c r="K108" s="229">
        <f t="shared" si="64"/>
        <v>135.82</v>
      </c>
      <c r="L108" s="230">
        <f t="shared" si="65"/>
        <v>0.82096228239845259</v>
      </c>
      <c r="M108" s="230">
        <f t="shared" si="63"/>
        <v>0.44532150776053214</v>
      </c>
    </row>
    <row r="109" spans="2:13">
      <c r="B109" s="233" t="s">
        <v>128</v>
      </c>
      <c r="C109" s="233">
        <f>SUM(C106:C108)</f>
        <v>1117.29</v>
      </c>
      <c r="D109" s="234">
        <f>+D106+D107+D108</f>
        <v>212.57</v>
      </c>
      <c r="E109" s="241">
        <f t="shared" si="60"/>
        <v>2.1180918142033815E-2</v>
      </c>
      <c r="F109" s="233"/>
      <c r="G109" s="234">
        <f>+G106+G107+G108</f>
        <v>1542.3899999999999</v>
      </c>
      <c r="H109" s="235">
        <f t="shared" si="61"/>
        <v>0.13644494219806583</v>
      </c>
      <c r="I109" s="236">
        <f>SUM(I106:I108)</f>
        <v>370.1</v>
      </c>
      <c r="J109" s="235">
        <f t="shared" si="62"/>
        <v>4.2364926739926742E-2</v>
      </c>
      <c r="K109" s="236">
        <f t="shared" si="64"/>
        <v>157.53000000000003</v>
      </c>
      <c r="L109" s="237">
        <f t="shared" si="65"/>
        <v>0.74107352871995125</v>
      </c>
      <c r="M109" s="237">
        <f t="shared" si="63"/>
        <v>0.23995228184830039</v>
      </c>
    </row>
    <row r="110" spans="2:13">
      <c r="B110" s="41"/>
      <c r="C110" s="41"/>
      <c r="D110" s="242"/>
      <c r="E110" s="41"/>
      <c r="F110" s="41"/>
      <c r="G110" s="41"/>
      <c r="H110" s="41"/>
      <c r="I110" s="41"/>
      <c r="J110" s="41"/>
      <c r="K110" s="41"/>
      <c r="L110" s="41"/>
      <c r="M110" s="41"/>
    </row>
    <row r="111" spans="2:13">
      <c r="B111" s="224" t="s">
        <v>216</v>
      </c>
      <c r="C111" s="226"/>
      <c r="D111" s="231"/>
      <c r="E111" s="226"/>
      <c r="F111" s="226"/>
      <c r="G111" s="226"/>
      <c r="H111" s="226"/>
      <c r="I111" s="226"/>
      <c r="J111" s="226"/>
      <c r="K111" s="226"/>
      <c r="L111" s="226"/>
      <c r="M111" s="226"/>
    </row>
    <row r="112" spans="2:13">
      <c r="B112" s="226" t="s">
        <v>217</v>
      </c>
      <c r="C112" s="229">
        <v>28.69</v>
      </c>
      <c r="D112" s="228">
        <v>5.63</v>
      </c>
      <c r="E112" s="239">
        <f t="shared" ref="E112:E115" si="66">D112/$D$7</f>
        <v>5.6098494208801984E-4</v>
      </c>
      <c r="F112" s="226"/>
      <c r="G112" s="229">
        <v>27.91</v>
      </c>
      <c r="H112" s="227">
        <f t="shared" ref="H112:H115" si="67">G112/$G$7</f>
        <v>2.4690112985354009E-3</v>
      </c>
      <c r="I112" s="226">
        <v>0.22</v>
      </c>
      <c r="J112" s="227">
        <f t="shared" ref="J112" si="68">I112/$I$7</f>
        <v>2.5183150183150183E-5</v>
      </c>
      <c r="K112" s="229">
        <f>I112-D112</f>
        <v>-5.41</v>
      </c>
      <c r="L112" s="230">
        <f>K112/D112</f>
        <v>-0.96092362344582594</v>
      </c>
      <c r="M112" s="230">
        <f t="shared" ref="M112" si="69">I112/G112</f>
        <v>7.8824793980652088E-3</v>
      </c>
    </row>
    <row r="113" spans="2:13">
      <c r="B113" s="226" t="s">
        <v>218</v>
      </c>
      <c r="C113" s="229">
        <v>38.6</v>
      </c>
      <c r="D113" s="231">
        <v>2.54</v>
      </c>
      <c r="E113" s="239">
        <f t="shared" si="66"/>
        <v>2.5309089749619366E-4</v>
      </c>
      <c r="F113" s="226"/>
      <c r="G113" s="226">
        <v>33.72</v>
      </c>
      <c r="H113" s="227">
        <f t="shared" si="67"/>
        <v>2.9829831955074785E-3</v>
      </c>
      <c r="I113" s="229">
        <v>0.11</v>
      </c>
      <c r="J113" s="227">
        <f t="shared" ref="J113:J115" si="70">I113/$I$7</f>
        <v>1.2591575091575092E-5</v>
      </c>
      <c r="K113" s="229">
        <f t="shared" ref="K113:K115" si="71">I113-D113</f>
        <v>-2.4300000000000002</v>
      </c>
      <c r="L113" s="230">
        <f t="shared" ref="L113:L115" si="72">K113/D113</f>
        <v>-0.95669291338582685</v>
      </c>
      <c r="M113" s="230">
        <f t="shared" ref="M113:M115" si="73">I113/G113</f>
        <v>3.2621589561091344E-3</v>
      </c>
    </row>
    <row r="114" spans="2:13">
      <c r="B114" s="232" t="s">
        <v>219</v>
      </c>
      <c r="C114" s="226">
        <v>33.32</v>
      </c>
      <c r="D114" s="231">
        <v>2.81</v>
      </c>
      <c r="E114" s="239">
        <f t="shared" si="66"/>
        <v>2.799942606158678E-4</v>
      </c>
      <c r="F114" s="226"/>
      <c r="G114" s="226">
        <v>33.19</v>
      </c>
      <c r="H114" s="227">
        <f t="shared" si="67"/>
        <v>2.9360976351984936E-3</v>
      </c>
      <c r="I114" s="229">
        <v>3.03</v>
      </c>
      <c r="J114" s="227">
        <f t="shared" si="70"/>
        <v>3.4684065934065933E-4</v>
      </c>
      <c r="K114" s="229">
        <f t="shared" si="71"/>
        <v>0.21999999999999975</v>
      </c>
      <c r="L114" s="230">
        <f t="shared" si="72"/>
        <v>7.8291814946619132E-2</v>
      </c>
      <c r="M114" s="230">
        <f t="shared" si="73"/>
        <v>9.1292557999397408E-2</v>
      </c>
    </row>
    <row r="115" spans="2:13">
      <c r="B115" s="233" t="s">
        <v>128</v>
      </c>
      <c r="C115" s="236">
        <f>SUM(C112:C114)</f>
        <v>100.61000000000001</v>
      </c>
      <c r="D115" s="243">
        <f>SUM(D112:D114)</f>
        <v>10.98</v>
      </c>
      <c r="E115" s="241">
        <f t="shared" si="66"/>
        <v>1.0940701002000812E-3</v>
      </c>
      <c r="F115" s="233"/>
      <c r="G115" s="233">
        <f>SUM(G112:G114)</f>
        <v>94.82</v>
      </c>
      <c r="H115" s="235">
        <f t="shared" si="67"/>
        <v>8.3880921292413726E-3</v>
      </c>
      <c r="I115" s="233">
        <f>SUM(I112:I114)</f>
        <v>3.36</v>
      </c>
      <c r="J115" s="235">
        <f t="shared" si="70"/>
        <v>3.8461538461538462E-4</v>
      </c>
      <c r="K115" s="236">
        <f t="shared" si="71"/>
        <v>-7.620000000000001</v>
      </c>
      <c r="L115" s="237">
        <f t="shared" si="72"/>
        <v>-0.69398907103825147</v>
      </c>
      <c r="M115" s="237">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66" t="s">
        <v>210</v>
      </c>
      <c r="D1" s="366"/>
      <c r="E1" s="366"/>
      <c r="F1" s="366"/>
      <c r="G1" s="366"/>
      <c r="H1" s="366"/>
      <c r="I1" s="366"/>
      <c r="J1" s="366"/>
      <c r="K1" s="36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67" t="s">
        <v>67</v>
      </c>
      <c r="N2" s="367"/>
      <c r="O2" s="367"/>
      <c r="P2" s="1"/>
      <c r="Q2" s="1"/>
      <c r="R2" s="1"/>
      <c r="S2" s="1"/>
      <c r="T2" s="1"/>
      <c r="U2" s="1"/>
      <c r="V2" s="1"/>
      <c r="W2" s="1"/>
      <c r="X2" s="1"/>
      <c r="Y2" s="1"/>
      <c r="Z2" s="1"/>
      <c r="AA2" s="1"/>
      <c r="AB2" s="1"/>
      <c r="AC2" s="2"/>
      <c r="AD2" s="1"/>
      <c r="AE2" s="1"/>
      <c r="AF2" s="1"/>
      <c r="AG2" s="1"/>
      <c r="AH2" s="1"/>
      <c r="AI2" s="1"/>
      <c r="AJ2" s="1"/>
      <c r="AK2" s="1"/>
      <c r="AL2" s="1"/>
      <c r="AM2" s="1"/>
      <c r="AN2" s="1"/>
      <c r="AO2" s="1"/>
      <c r="AP2" s="367" t="s">
        <v>67</v>
      </c>
      <c r="AQ2" s="367"/>
      <c r="AR2" s="367"/>
      <c r="AS2" s="1"/>
      <c r="AT2" s="1"/>
      <c r="AU2" s="1"/>
      <c r="AV2" s="2"/>
      <c r="AW2" s="1"/>
      <c r="AX2" s="1"/>
      <c r="AY2" s="1"/>
      <c r="AZ2" s="1"/>
      <c r="BA2" s="1"/>
      <c r="BB2" s="1"/>
      <c r="BC2" s="1"/>
      <c r="BD2" s="1"/>
      <c r="BE2" s="1"/>
      <c r="BF2" s="1"/>
      <c r="BG2" s="2"/>
      <c r="BH2" s="367" t="s">
        <v>67</v>
      </c>
      <c r="BI2" s="367"/>
      <c r="BJ2" s="367"/>
    </row>
    <row r="3" spans="1:63" ht="47.25">
      <c r="A3" s="3"/>
      <c r="B3" s="3"/>
      <c r="C3" s="3" t="s">
        <v>68</v>
      </c>
      <c r="D3" s="4" t="s">
        <v>69</v>
      </c>
      <c r="E3" s="3" t="s">
        <v>70</v>
      </c>
      <c r="F3" s="3" t="s">
        <v>71</v>
      </c>
      <c r="G3" s="3" t="s">
        <v>72</v>
      </c>
      <c r="H3" s="3" t="s">
        <v>73</v>
      </c>
      <c r="I3" s="3" t="s">
        <v>74</v>
      </c>
      <c r="J3" s="3" t="s">
        <v>75</v>
      </c>
      <c r="K3" s="4" t="s">
        <v>76</v>
      </c>
      <c r="L3" s="3" t="s">
        <v>77</v>
      </c>
      <c r="M3" s="3" t="s">
        <v>78</v>
      </c>
      <c r="N3" s="3" t="s">
        <v>79</v>
      </c>
      <c r="O3" s="3" t="s">
        <v>80</v>
      </c>
      <c r="P3" s="4" t="s">
        <v>81</v>
      </c>
      <c r="Q3" s="3" t="s">
        <v>82</v>
      </c>
      <c r="R3" s="4" t="s">
        <v>83</v>
      </c>
      <c r="S3" s="3" t="s">
        <v>84</v>
      </c>
      <c r="T3" s="3" t="s">
        <v>85</v>
      </c>
      <c r="U3" s="3" t="s">
        <v>101</v>
      </c>
      <c r="V3" s="3" t="s">
        <v>86</v>
      </c>
      <c r="W3" s="3" t="s">
        <v>87</v>
      </c>
      <c r="X3" s="3" t="s">
        <v>88</v>
      </c>
      <c r="Y3" s="3" t="s">
        <v>89</v>
      </c>
      <c r="Z3" s="3" t="s">
        <v>90</v>
      </c>
      <c r="AA3" s="3" t="s">
        <v>91</v>
      </c>
      <c r="AB3" s="3" t="s">
        <v>117</v>
      </c>
      <c r="AC3" s="4" t="s">
        <v>92</v>
      </c>
      <c r="AD3" s="3" t="s">
        <v>93</v>
      </c>
      <c r="AE3" s="3" t="s">
        <v>94</v>
      </c>
      <c r="AF3" s="3" t="s">
        <v>95</v>
      </c>
      <c r="AG3" s="3" t="s">
        <v>96</v>
      </c>
      <c r="AH3" s="3" t="s">
        <v>97</v>
      </c>
      <c r="AI3" s="3" t="s">
        <v>98</v>
      </c>
      <c r="AJ3" s="3" t="s">
        <v>99</v>
      </c>
      <c r="AK3" s="3" t="s">
        <v>100</v>
      </c>
      <c r="AL3" s="3" t="s">
        <v>102</v>
      </c>
      <c r="AM3" s="3" t="s">
        <v>103</v>
      </c>
      <c r="AN3" s="3" t="s">
        <v>104</v>
      </c>
      <c r="AO3" s="3" t="s">
        <v>105</v>
      </c>
      <c r="AP3" s="3" t="s">
        <v>106</v>
      </c>
      <c r="AQ3" s="3" t="s">
        <v>107</v>
      </c>
      <c r="AR3" s="3" t="s">
        <v>108</v>
      </c>
      <c r="AS3" s="3" t="s">
        <v>109</v>
      </c>
      <c r="AT3" s="39" t="s">
        <v>110</v>
      </c>
      <c r="AU3" s="39" t="s">
        <v>111</v>
      </c>
      <c r="AV3" s="39" t="s">
        <v>112</v>
      </c>
      <c r="AW3" s="3" t="s">
        <v>113</v>
      </c>
      <c r="AX3" s="3" t="s">
        <v>114</v>
      </c>
      <c r="AY3" s="3" t="s">
        <v>115</v>
      </c>
      <c r="AZ3" s="3" t="s">
        <v>116</v>
      </c>
      <c r="BA3" s="3" t="s">
        <v>118</v>
      </c>
      <c r="BB3" s="3" t="s">
        <v>119</v>
      </c>
      <c r="BC3" s="3" t="s">
        <v>120</v>
      </c>
      <c r="BD3" s="3" t="s">
        <v>121</v>
      </c>
      <c r="BE3" s="3" t="s">
        <v>122</v>
      </c>
      <c r="BF3" s="3" t="s">
        <v>123</v>
      </c>
      <c r="BG3" s="4" t="s">
        <v>142</v>
      </c>
      <c r="BH3" s="43" t="s">
        <v>124</v>
      </c>
      <c r="BI3" s="3" t="s">
        <v>125</v>
      </c>
      <c r="BJ3" s="47" t="s">
        <v>126</v>
      </c>
    </row>
    <row r="4" spans="1:63" ht="15.75">
      <c r="A4" s="128" t="s">
        <v>205</v>
      </c>
      <c r="B4" s="5" t="s">
        <v>127</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128</v>
      </c>
      <c r="BI4" s="5">
        <v>98</v>
      </c>
      <c r="BJ4" s="48"/>
    </row>
    <row r="5" spans="1:63" ht="15.75">
      <c r="A5" s="8" t="s">
        <v>129</v>
      </c>
      <c r="B5" s="11" t="s">
        <v>211</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129</v>
      </c>
      <c r="B6" s="5" t="s">
        <v>208</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212</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209</v>
      </c>
      <c r="C8" s="9">
        <f>IF('Upto Month Current'!$B$4="",0,'Upto Month Current'!$B$4)</f>
        <v>2390763</v>
      </c>
      <c r="D8" s="9">
        <f>IF('Upto Month Current'!$B$5="",0,'Upto Month Current'!$B$5)</f>
        <v>1087869</v>
      </c>
      <c r="E8" s="9">
        <f>IF('Upto Month Current'!$B$6="",0,'Upto Month Current'!$B$6)</f>
        <v>64479</v>
      </c>
      <c r="F8" s="9">
        <f>IF('Upto Month Current'!$B$7="",0,'Upto Month Current'!$B$7)</f>
        <v>288245</v>
      </c>
      <c r="G8" s="9">
        <f>IF('Upto Month Current'!$B$8="",0,'Upto Month Current'!$B$8)</f>
        <v>124395</v>
      </c>
      <c r="H8" s="9">
        <f>IF('Upto Month Current'!$B$9="",0,'Upto Month Current'!$B$9)</f>
        <v>0</v>
      </c>
      <c r="I8" s="9">
        <f>IF('Upto Month Current'!$B$10="",0,'Upto Month Current'!$B$10)</f>
        <v>0</v>
      </c>
      <c r="J8" s="9">
        <f>IF('Upto Month Current'!$B$11="",0,'Upto Month Current'!$B$11)</f>
        <v>1934</v>
      </c>
      <c r="K8" s="9">
        <f>IF('Upto Month Current'!$B$12="",0,'Upto Month Current'!$B$12)</f>
        <v>126</v>
      </c>
      <c r="L8" s="9">
        <f>IF('Upto Month Current'!$B$13="",0,'Upto Month Current'!$B$13)</f>
        <v>3575</v>
      </c>
      <c r="M8" s="9">
        <f>IF('Upto Month Current'!$B$14="",0,'Upto Month Current'!$B$14)</f>
        <v>8315</v>
      </c>
      <c r="N8" s="9">
        <f>IF('Upto Month Current'!$B$15="",0,'Upto Month Current'!$B$15)</f>
        <v>1156</v>
      </c>
      <c r="O8" s="9">
        <f>IF('Upto Month Current'!$B$16="",0,'Upto Month Current'!$B$16)</f>
        <v>20499</v>
      </c>
      <c r="P8" s="9">
        <f>IF('Upto Month Current'!$B$17="",0,'Upto Month Current'!$B$17)</f>
        <v>72589</v>
      </c>
      <c r="Q8" s="9">
        <f>IF('Upto Month Current'!$B$18="",0,'Upto Month Current'!$B$18)</f>
        <v>0</v>
      </c>
      <c r="R8" s="9">
        <f>IF('Upto Month Current'!$B$21="",0,'Upto Month Current'!$B$21)</f>
        <v>18929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858</v>
      </c>
      <c r="X8" s="9">
        <f>IF('Upto Month Current'!$B$40="",0,'Upto Month Current'!$B$40)</f>
        <v>0</v>
      </c>
      <c r="Y8" s="9">
        <f>IF('Upto Month Current'!$B$42="",0,'Upto Month Current'!$B$42)</f>
        <v>6165</v>
      </c>
      <c r="Z8" s="9">
        <f>IF('Upto Month Current'!$B$43="",0,'Upto Month Current'!$B$43)</f>
        <v>1626</v>
      </c>
      <c r="AA8" s="9">
        <f>IF('Upto Month Current'!$B$44="",0,'Upto Month Current'!$B$44)</f>
        <v>1044</v>
      </c>
      <c r="AB8" s="9">
        <f>IF('Upto Month Current'!$B$51="",0,'Upto Month Current'!$B$51)</f>
        <v>0</v>
      </c>
      <c r="AC8" s="121">
        <f t="shared" si="0"/>
        <v>4092567</v>
      </c>
      <c r="AD8" s="9">
        <f>IF('Upto Month Current'!$B$19="",0,'Upto Month Current'!$B$19)</f>
        <v>18574</v>
      </c>
      <c r="AE8" s="9">
        <f>IF('Upto Month Current'!$B$20="",0,'Upto Month Current'!$B$20)</f>
        <v>7674</v>
      </c>
      <c r="AF8" s="9">
        <f>IF('Upto Month Current'!$B$22="",0,'Upto Month Current'!$B$22)</f>
        <v>86374</v>
      </c>
      <c r="AG8" s="9">
        <f>IF('Upto Month Current'!$B$23="",0,'Upto Month Current'!$B$23)</f>
        <v>0</v>
      </c>
      <c r="AH8" s="9">
        <f>IF('Upto Month Current'!$B$24="",0,'Upto Month Current'!$B$24)</f>
        <v>0</v>
      </c>
      <c r="AI8" s="9">
        <f>IF('Upto Month Current'!$B$25="",0,'Upto Month Current'!$B$25)</f>
        <v>6304</v>
      </c>
      <c r="AJ8" s="9">
        <f>IF('Upto Month Current'!$B$28="",0,'Upto Month Current'!$B$28)</f>
        <v>23119</v>
      </c>
      <c r="AK8" s="9">
        <f>IF('Upto Month Current'!$B$29="",0,'Upto Month Current'!$B$29)</f>
        <v>21890</v>
      </c>
      <c r="AL8" s="9">
        <f>IF('Upto Month Current'!$B$31="",0,'Upto Month Current'!$B$31)</f>
        <v>1211</v>
      </c>
      <c r="AM8" s="9">
        <f>IF('Upto Month Current'!$B$32="",0,'Upto Month Current'!$B$32)</f>
        <v>0</v>
      </c>
      <c r="AN8" s="9">
        <f>IF('Upto Month Current'!$B$33="",0,'Upto Month Current'!$B$33)</f>
        <v>102240</v>
      </c>
      <c r="AO8" s="9">
        <f>IF('Upto Month Current'!$B$34="",0,'Upto Month Current'!$B$34)</f>
        <v>301</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10277</v>
      </c>
      <c r="AW8" s="9">
        <f>IF('Upto Month Current'!$B$46="",0,'Upto Month Current'!$B$46)</f>
        <v>14449</v>
      </c>
      <c r="AX8" s="9">
        <f>IF('Upto Month Current'!$B$47="",0,'Upto Month Current'!$B$47)</f>
        <v>3473</v>
      </c>
      <c r="AY8" s="9">
        <f>IF('Upto Month Current'!$B$49="",0,'Upto Month Current'!$B$49)</f>
        <v>0</v>
      </c>
      <c r="AZ8" s="9">
        <f>IF('Upto Month Current'!$B$50="",0,'Upto Month Current'!$B$50)</f>
        <v>0</v>
      </c>
      <c r="BA8" s="9">
        <f>IF('Upto Month Current'!$B$52="",0,'Upto Month Current'!$B$52)</f>
        <v>0</v>
      </c>
      <c r="BB8" s="9">
        <f>IF('Upto Month Current'!$B$53="",0,'Upto Month Current'!$B$53)</f>
        <v>5392</v>
      </c>
      <c r="BC8" s="9">
        <f>IF('Upto Month Current'!$B$54="",0,'Upto Month Current'!$B$54)</f>
        <v>5392</v>
      </c>
      <c r="BD8" s="9">
        <f>IF('Upto Month Current'!$B$55="",0,'Upto Month Current'!$B$55)</f>
        <v>0</v>
      </c>
      <c r="BE8" s="9">
        <f>IF('Upto Month Current'!$B$56="",0,'Upto Month Current'!$B$56)</f>
        <v>1313</v>
      </c>
      <c r="BF8" s="9">
        <f>IF('Upto Month Current'!$B$58="",0,'Upto Month Current'!$B$58)</f>
        <v>59635</v>
      </c>
      <c r="BG8" s="122">
        <f t="shared" si="2"/>
        <v>367618</v>
      </c>
      <c r="BH8" s="123">
        <f t="shared" si="3"/>
        <v>4460185</v>
      </c>
      <c r="BI8" s="9">
        <f>IF('Upto Month Current'!$B$60="",0,'Upto Month Current'!$B$60)</f>
        <v>14713</v>
      </c>
      <c r="BJ8" s="124">
        <f t="shared" si="1"/>
        <v>4445472</v>
      </c>
      <c r="BK8">
        <f>'Upto Month Current'!$B$61</f>
        <v>4446039</v>
      </c>
    </row>
    <row r="9" spans="1:63" ht="15.75">
      <c r="A9" s="128"/>
      <c r="B9" s="5" t="s">
        <v>207</v>
      </c>
      <c r="C9" s="126">
        <f t="shared" ref="C9:AH9" si="6">C8/C5</f>
        <v>0.98386199381228967</v>
      </c>
      <c r="D9" s="126">
        <f t="shared" si="6"/>
        <v>2.480016140283686</v>
      </c>
      <c r="E9" s="126">
        <f t="shared" si="6"/>
        <v>0.83989839781164521</v>
      </c>
      <c r="F9" s="126">
        <f t="shared" si="6"/>
        <v>0.99520772840111449</v>
      </c>
      <c r="G9" s="126">
        <f t="shared" si="6"/>
        <v>1.1651071960437214</v>
      </c>
      <c r="H9" s="126" t="e">
        <f t="shared" si="6"/>
        <v>#DIV/0!</v>
      </c>
      <c r="I9" s="126" t="e">
        <f t="shared" si="6"/>
        <v>#DIV/0!</v>
      </c>
      <c r="J9" s="126" t="e">
        <f t="shared" si="6"/>
        <v>#DIV/0!</v>
      </c>
      <c r="K9" s="126" t="e">
        <f t="shared" si="6"/>
        <v>#DIV/0!</v>
      </c>
      <c r="L9" s="126">
        <f t="shared" si="6"/>
        <v>0.96621621621621623</v>
      </c>
      <c r="M9" s="126">
        <f t="shared" si="6"/>
        <v>1.0708306503541531</v>
      </c>
      <c r="N9" s="126">
        <f t="shared" si="6"/>
        <v>0.19503964906360721</v>
      </c>
      <c r="O9" s="126">
        <f t="shared" si="6"/>
        <v>1.6411015931470658</v>
      </c>
      <c r="P9" s="126">
        <f t="shared" si="6"/>
        <v>1.1565756349383385</v>
      </c>
      <c r="Q9" s="126" t="e">
        <f t="shared" si="6"/>
        <v>#DIV/0!</v>
      </c>
      <c r="R9" s="126">
        <f t="shared" si="6"/>
        <v>1.6776566515997517</v>
      </c>
      <c r="S9" s="126" t="e">
        <f t="shared" si="6"/>
        <v>#DIV/0!</v>
      </c>
      <c r="T9" s="126" t="e">
        <f t="shared" si="6"/>
        <v>#DIV/0!</v>
      </c>
      <c r="U9" s="126" t="e">
        <f t="shared" si="6"/>
        <v>#DIV/0!</v>
      </c>
      <c r="V9" s="126" t="e">
        <f t="shared" si="6"/>
        <v>#DIV/0!</v>
      </c>
      <c r="W9" s="126">
        <f t="shared" si="6"/>
        <v>1.5459459459459459</v>
      </c>
      <c r="X9" s="126">
        <f t="shared" si="6"/>
        <v>0</v>
      </c>
      <c r="Y9" s="126">
        <f t="shared" si="6"/>
        <v>11.632075471698114</v>
      </c>
      <c r="Z9" s="126" t="e">
        <f t="shared" si="6"/>
        <v>#DIV/0!</v>
      </c>
      <c r="AA9" s="126" t="e">
        <f t="shared" si="6"/>
        <v>#DIV/0!</v>
      </c>
      <c r="AB9" s="126" t="e">
        <f t="shared" si="6"/>
        <v>#DIV/0!</v>
      </c>
      <c r="AC9" s="126">
        <f t="shared" si="6"/>
        <v>1.1872203514520838</v>
      </c>
      <c r="AD9" s="126">
        <f t="shared" si="6"/>
        <v>0.23064123578204937</v>
      </c>
      <c r="AE9" s="126">
        <f t="shared" si="6"/>
        <v>0.33324648254299116</v>
      </c>
      <c r="AF9" s="126">
        <f t="shared" si="6"/>
        <v>7.3359945642942073</v>
      </c>
      <c r="AG9" s="126" t="e">
        <f t="shared" si="6"/>
        <v>#DIV/0!</v>
      </c>
      <c r="AH9" s="126">
        <f t="shared" si="6"/>
        <v>0</v>
      </c>
      <c r="AI9" s="126">
        <f t="shared" ref="AI9:BJ9" si="7">AI8/AI5</f>
        <v>26.266666666666666</v>
      </c>
      <c r="AJ9" s="126">
        <f t="shared" si="7"/>
        <v>2.4689235369500215</v>
      </c>
      <c r="AK9" s="126">
        <f t="shared" si="7"/>
        <v>1.2277061132922042</v>
      </c>
      <c r="AL9" s="126">
        <f t="shared" si="7"/>
        <v>1.147867298578199</v>
      </c>
      <c r="AM9" s="126">
        <f t="shared" si="7"/>
        <v>0</v>
      </c>
      <c r="AN9" s="126">
        <f t="shared" si="7"/>
        <v>1.2835352457472851</v>
      </c>
      <c r="AO9" s="126">
        <f t="shared" si="7"/>
        <v>150.5</v>
      </c>
      <c r="AP9" s="126" t="e">
        <f t="shared" si="7"/>
        <v>#DIV/0!</v>
      </c>
      <c r="AQ9" s="126" t="e">
        <f t="shared" si="7"/>
        <v>#DIV/0!</v>
      </c>
      <c r="AR9" s="126" t="e">
        <f t="shared" si="7"/>
        <v>#DIV/0!</v>
      </c>
      <c r="AS9" s="126" t="e">
        <f t="shared" si="7"/>
        <v>#DIV/0!</v>
      </c>
      <c r="AT9" s="126" t="e">
        <f t="shared" si="7"/>
        <v>#DIV/0!</v>
      </c>
      <c r="AU9" s="126" t="e">
        <f t="shared" si="7"/>
        <v>#DIV/0!</v>
      </c>
      <c r="AV9" s="126">
        <f t="shared" si="7"/>
        <v>0.87241086587436334</v>
      </c>
      <c r="AW9" s="126">
        <f t="shared" si="7"/>
        <v>1.3844016479831369</v>
      </c>
      <c r="AX9" s="126">
        <f t="shared" si="7"/>
        <v>1.7032859244727807</v>
      </c>
      <c r="AY9" s="126" t="e">
        <f t="shared" si="7"/>
        <v>#DIV/0!</v>
      </c>
      <c r="AZ9" s="126" t="e">
        <f t="shared" si="7"/>
        <v>#DIV/0!</v>
      </c>
      <c r="BA9" s="126" t="e">
        <f t="shared" si="7"/>
        <v>#DIV/0!</v>
      </c>
      <c r="BB9" s="126">
        <f t="shared" si="7"/>
        <v>2.8468848996832103</v>
      </c>
      <c r="BC9" s="126">
        <f t="shared" si="7"/>
        <v>2.7384459116302691</v>
      </c>
      <c r="BD9" s="126">
        <f t="shared" si="7"/>
        <v>0</v>
      </c>
      <c r="BE9" s="126">
        <f t="shared" si="7"/>
        <v>1.7460106382978724</v>
      </c>
      <c r="BF9" s="126">
        <f t="shared" si="7"/>
        <v>0.73029304791878424</v>
      </c>
      <c r="BG9" s="126">
        <f t="shared" si="7"/>
        <v>1.0995728745423656</v>
      </c>
      <c r="BH9" s="126">
        <f t="shared" si="7"/>
        <v>1.1794713331598579</v>
      </c>
      <c r="BI9" s="126">
        <f t="shared" si="7"/>
        <v>0.79473883217198726</v>
      </c>
      <c r="BJ9" s="126">
        <f t="shared" si="7"/>
        <v>1.1813641194164548</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134</v>
      </c>
      <c r="B11" s="11" t="s">
        <v>211</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134</v>
      </c>
      <c r="B12" s="5" t="s">
        <v>208</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209</v>
      </c>
      <c r="C14" s="9">
        <f>IF('Upto Month Current'!$C$4="",0,'Upto Month Current'!$C$4)</f>
        <v>5078726</v>
      </c>
      <c r="D14" s="9">
        <f>IF('Upto Month Current'!$C$5="",0,'Upto Month Current'!$C$5)</f>
        <v>2121733</v>
      </c>
      <c r="E14" s="9">
        <f>IF('Upto Month Current'!$C$6="",0,'Upto Month Current'!$C$6)</f>
        <v>255230</v>
      </c>
      <c r="F14" s="9">
        <f>IF('Upto Month Current'!$C$7="",0,'Upto Month Current'!$C$7)</f>
        <v>414473</v>
      </c>
      <c r="G14" s="9">
        <f>IF('Upto Month Current'!$C$8="",0,'Upto Month Current'!$C$8)</f>
        <v>358432</v>
      </c>
      <c r="H14" s="9">
        <f>IF('Upto Month Current'!$C$9="",0,'Upto Month Current'!$C$9)</f>
        <v>0</v>
      </c>
      <c r="I14" s="9">
        <f>IF('Upto Month Current'!$C$10="",0,'Upto Month Current'!$C$10)</f>
        <v>0</v>
      </c>
      <c r="J14" s="9">
        <f>IF('Upto Month Current'!$C$11="",0,'Upto Month Current'!$C$11)</f>
        <v>0</v>
      </c>
      <c r="K14" s="9">
        <f>IF('Upto Month Current'!$C$12="",0,'Upto Month Current'!$C$12)</f>
        <v>62</v>
      </c>
      <c r="L14" s="9">
        <f>IF('Upto Month Current'!$C$13="",0,'Upto Month Current'!$C$13)</f>
        <v>115719</v>
      </c>
      <c r="M14" s="9">
        <f>IF('Upto Month Current'!$C$14="",0,'Upto Month Current'!$C$14)</f>
        <v>494353</v>
      </c>
      <c r="N14" s="9">
        <f>IF('Upto Month Current'!$C$15="",0,'Upto Month Current'!$C$15)</f>
        <v>293</v>
      </c>
      <c r="O14" s="9">
        <f>IF('Upto Month Current'!$C$16="",0,'Upto Month Current'!$C$16)</f>
        <v>8245</v>
      </c>
      <c r="P14" s="9">
        <f>IF('Upto Month Current'!$C$17="",0,'Upto Month Current'!$C$17)</f>
        <v>358147</v>
      </c>
      <c r="Q14" s="9">
        <f>IF('Upto Month Current'!$C$18="",0,'Upto Month Current'!$C$18)</f>
        <v>0</v>
      </c>
      <c r="R14" s="9">
        <f>IF('Upto Month Current'!$C$21="",0,'Upto Month Current'!$C$21)</f>
        <v>8016</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3620</v>
      </c>
      <c r="Z14" s="9">
        <f>IF('Upto Month Current'!$C$43="",0,'Upto Month Current'!$C$43)</f>
        <v>1156</v>
      </c>
      <c r="AA14" s="9">
        <f>IF('Upto Month Current'!$C$44="",0,'Upto Month Current'!$C$44)</f>
        <v>1672</v>
      </c>
      <c r="AB14" s="9">
        <f>IF('Upto Month Current'!$C$51="",0,'Upto Month Current'!$C$51)</f>
        <v>0</v>
      </c>
      <c r="AC14" s="121">
        <f t="shared" si="8"/>
        <v>9219877</v>
      </c>
      <c r="AD14" s="9">
        <f>IF('Upto Month Current'!$C$19="",0,'Upto Month Current'!$C$19)</f>
        <v>4264</v>
      </c>
      <c r="AE14" s="9">
        <f>IF('Upto Month Current'!$C$20="",0,'Upto Month Current'!$C$20)</f>
        <v>1215</v>
      </c>
      <c r="AF14" s="9">
        <f>IF('Upto Month Current'!$C$22="",0,'Upto Month Current'!$C$22)</f>
        <v>46250</v>
      </c>
      <c r="AG14" s="9">
        <f>IF('Upto Month Current'!$C$23="",0,'Upto Month Current'!$C$23)</f>
        <v>0</v>
      </c>
      <c r="AH14" s="9">
        <f>IF('Upto Month Current'!$C$24="",0,'Upto Month Current'!$C$24)</f>
        <v>423</v>
      </c>
      <c r="AI14" s="9">
        <f>IF('Upto Month Current'!$C$25="",0,'Upto Month Current'!$C$25)</f>
        <v>450</v>
      </c>
      <c r="AJ14" s="9">
        <f>IF('Upto Month Current'!$C$28="",0,'Upto Month Current'!$C$28)</f>
        <v>129942</v>
      </c>
      <c r="AK14" s="9">
        <f>IF('Upto Month Current'!$C$29="",0,'Upto Month Current'!$C$29)</f>
        <v>233166</v>
      </c>
      <c r="AL14" s="9">
        <f>IF('Upto Month Current'!$C$31="",0,'Upto Month Current'!$C$31)</f>
        <v>0</v>
      </c>
      <c r="AM14" s="9">
        <f>IF('Upto Month Current'!$C$32="",0,'Upto Month Current'!$C$32)</f>
        <v>205370</v>
      </c>
      <c r="AN14" s="9">
        <f>IF('Upto Month Current'!$C$33="",0,'Upto Month Current'!$C$33)</f>
        <v>1119283</v>
      </c>
      <c r="AO14" s="9">
        <f>IF('Upto Month Current'!$C$34="",0,'Upto Month Current'!$C$34)</f>
        <v>253928</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531</v>
      </c>
      <c r="AW14" s="9">
        <f>IF('Upto Month Current'!$C$46="",0,'Upto Month Current'!$C$46)</f>
        <v>1237</v>
      </c>
      <c r="AX14" s="9">
        <f>IF('Upto Month Current'!$C$47="",0,'Upto Month Current'!$C$47)</f>
        <v>182</v>
      </c>
      <c r="AY14" s="9">
        <f>IF('Upto Month Current'!$C$49="",0,'Upto Month Current'!$C$49)</f>
        <v>0</v>
      </c>
      <c r="AZ14" s="9">
        <f>IF('Upto Month Current'!$C$50="",0,'Upto Month Current'!$C$50)</f>
        <v>0</v>
      </c>
      <c r="BA14" s="9">
        <f>IF('Upto Month Current'!$C$52="",0,'Upto Month Current'!$C$52)</f>
        <v>0</v>
      </c>
      <c r="BB14" s="9">
        <f>IF('Upto Month Current'!$C$53="",0,'Upto Month Current'!$C$53)</f>
        <v>63332</v>
      </c>
      <c r="BC14" s="9">
        <f>IF('Upto Month Current'!$C$54="",0,'Upto Month Current'!$C$54)</f>
        <v>63332</v>
      </c>
      <c r="BD14" s="9">
        <f>IF('Upto Month Current'!$C$55="",0,'Upto Month Current'!$C$55)</f>
        <v>0</v>
      </c>
      <c r="BE14" s="9">
        <f>IF('Upto Month Current'!$C$56="",0,'Upto Month Current'!$C$56)</f>
        <v>18648</v>
      </c>
      <c r="BF14" s="9">
        <f>IF('Upto Month Current'!$C$58="",0,'Upto Month Current'!$C$58)</f>
        <v>14558</v>
      </c>
      <c r="BG14" s="122">
        <f t="shared" si="10"/>
        <v>2156111</v>
      </c>
      <c r="BH14" s="123">
        <f t="shared" si="11"/>
        <v>11375988</v>
      </c>
      <c r="BI14" s="9">
        <f>IF('Upto Month Current'!$C$60="",0,'Upto Month Current'!$C$60)</f>
        <v>57965</v>
      </c>
      <c r="BJ14" s="124">
        <f t="shared" si="9"/>
        <v>11318023</v>
      </c>
      <c r="BK14">
        <f>'Upto Month Current'!$C$61</f>
        <v>11318024</v>
      </c>
    </row>
    <row r="15" spans="1:63" ht="15.75">
      <c r="A15" s="128"/>
      <c r="B15" s="5" t="s">
        <v>207</v>
      </c>
      <c r="C15" s="126">
        <f t="shared" ref="C15:AH15" si="14">C14/C11</f>
        <v>1.0897716441526595</v>
      </c>
      <c r="D15" s="126">
        <f t="shared" si="14"/>
        <v>2.8745913488569963</v>
      </c>
      <c r="E15" s="126">
        <f t="shared" si="14"/>
        <v>0.92115853108364165</v>
      </c>
      <c r="F15" s="126">
        <f t="shared" si="14"/>
        <v>1.2154597787103263</v>
      </c>
      <c r="G15" s="126">
        <f t="shared" si="14"/>
        <v>1.4097176883323239</v>
      </c>
      <c r="H15" s="126" t="e">
        <f t="shared" si="14"/>
        <v>#DIV/0!</v>
      </c>
      <c r="I15" s="126" t="e">
        <f t="shared" si="14"/>
        <v>#DIV/0!</v>
      </c>
      <c r="J15" s="126" t="e">
        <f t="shared" si="14"/>
        <v>#DIV/0!</v>
      </c>
      <c r="K15" s="126" t="e">
        <f t="shared" si="14"/>
        <v>#DIV/0!</v>
      </c>
      <c r="L15" s="126">
        <f t="shared" si="14"/>
        <v>2.2180288277236833</v>
      </c>
      <c r="M15" s="126">
        <f t="shared" si="14"/>
        <v>1.602238290783337</v>
      </c>
      <c r="N15" s="126">
        <f t="shared" si="14"/>
        <v>1.1098484848484849</v>
      </c>
      <c r="O15" s="126">
        <f t="shared" si="14"/>
        <v>0.91917502787068006</v>
      </c>
      <c r="P15" s="126">
        <f t="shared" si="14"/>
        <v>1.4848364240909109</v>
      </c>
      <c r="Q15" s="126" t="e">
        <f t="shared" si="14"/>
        <v>#DIV/0!</v>
      </c>
      <c r="R15" s="126">
        <f t="shared" si="14"/>
        <v>1.7876895628902765</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1.3388484849100906</v>
      </c>
      <c r="AD15" s="126">
        <f t="shared" si="14"/>
        <v>0.43836743086254754</v>
      </c>
      <c r="AE15" s="126">
        <f t="shared" si="14"/>
        <v>24.3</v>
      </c>
      <c r="AF15" s="126">
        <f t="shared" si="14"/>
        <v>1.5424893276414087</v>
      </c>
      <c r="AG15" s="126" t="e">
        <f t="shared" si="14"/>
        <v>#DIV/0!</v>
      </c>
      <c r="AH15" s="126" t="e">
        <f t="shared" si="14"/>
        <v>#DIV/0!</v>
      </c>
      <c r="AI15" s="126" t="e">
        <f t="shared" ref="AI15:BJ15" si="15">AI14/AI11</f>
        <v>#DIV/0!</v>
      </c>
      <c r="AJ15" s="126">
        <f t="shared" si="15"/>
        <v>0.61552380771927162</v>
      </c>
      <c r="AK15" s="126">
        <f t="shared" si="15"/>
        <v>0.67417270243310057</v>
      </c>
      <c r="AL15" s="126" t="e">
        <f t="shared" si="15"/>
        <v>#DIV/0!</v>
      </c>
      <c r="AM15" s="126">
        <f t="shared" si="15"/>
        <v>5.9757907294788604</v>
      </c>
      <c r="AN15" s="126">
        <f t="shared" si="15"/>
        <v>1.2500326668550363</v>
      </c>
      <c r="AO15" s="126">
        <f t="shared" si="15"/>
        <v>-3.5991609025966662</v>
      </c>
      <c r="AP15" s="126" t="e">
        <f t="shared" si="15"/>
        <v>#DIV/0!</v>
      </c>
      <c r="AQ15" s="126" t="e">
        <f t="shared" si="15"/>
        <v>#DIV/0!</v>
      </c>
      <c r="AR15" s="126" t="e">
        <f t="shared" si="15"/>
        <v>#DIV/0!</v>
      </c>
      <c r="AS15" s="126" t="e">
        <f t="shared" si="15"/>
        <v>#DIV/0!</v>
      </c>
      <c r="AT15" s="126" t="e">
        <f t="shared" si="15"/>
        <v>#DIV/0!</v>
      </c>
      <c r="AU15" s="126">
        <f t="shared" si="15"/>
        <v>0</v>
      </c>
      <c r="AV15" s="126">
        <f t="shared" si="15"/>
        <v>2.5902439024390245</v>
      </c>
      <c r="AW15" s="126">
        <f t="shared" si="15"/>
        <v>3.108040201005025</v>
      </c>
      <c r="AX15" s="126">
        <f t="shared" si="15"/>
        <v>0.68939393939393945</v>
      </c>
      <c r="AY15" s="126" t="e">
        <f t="shared" si="15"/>
        <v>#DIV/0!</v>
      </c>
      <c r="AZ15" s="126" t="e">
        <f t="shared" si="15"/>
        <v>#DIV/0!</v>
      </c>
      <c r="BA15" s="126" t="e">
        <f t="shared" si="15"/>
        <v>#DIV/0!</v>
      </c>
      <c r="BB15" s="126">
        <f t="shared" si="15"/>
        <v>2.606255144032922</v>
      </c>
      <c r="BC15" s="126">
        <f t="shared" si="15"/>
        <v>2.6064696682854556</v>
      </c>
      <c r="BD15" s="126" t="e">
        <f t="shared" si="15"/>
        <v>#DIV/0!</v>
      </c>
      <c r="BE15" s="126">
        <f t="shared" si="15"/>
        <v>1.8457883796892012</v>
      </c>
      <c r="BF15" s="126">
        <f t="shared" si="15"/>
        <v>0.48146310811257731</v>
      </c>
      <c r="BG15" s="126">
        <f t="shared" si="15"/>
        <v>1.3948657866612151</v>
      </c>
      <c r="BH15" s="126">
        <f t="shared" si="15"/>
        <v>1.3491173269612298</v>
      </c>
      <c r="BI15" s="126">
        <f t="shared" si="15"/>
        <v>0.90628371300364297</v>
      </c>
      <c r="BJ15" s="126">
        <f t="shared" si="15"/>
        <v>1.3525019442624064</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135</v>
      </c>
      <c r="B17" s="11" t="s">
        <v>211</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135</v>
      </c>
      <c r="B18" s="5" t="s">
        <v>208</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212</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209</v>
      </c>
      <c r="C20" s="9">
        <f>IF('Upto Month Current'!$D$4="",0,'Upto Month Current'!$D$4)</f>
        <v>880649</v>
      </c>
      <c r="D20" s="9">
        <f>IF('Upto Month Current'!$D$5="",0,'Upto Month Current'!$D$5)</f>
        <v>401163</v>
      </c>
      <c r="E20" s="9">
        <f>IF('Upto Month Current'!$D$6="",0,'Upto Month Current'!$D$6)</f>
        <v>42657</v>
      </c>
      <c r="F20" s="9">
        <f>IF('Upto Month Current'!$D$7="",0,'Upto Month Current'!$D$7)</f>
        <v>109965</v>
      </c>
      <c r="G20" s="9">
        <f>IF('Upto Month Current'!$D$8="",0,'Upto Month Current'!$D$8)</f>
        <v>87727</v>
      </c>
      <c r="H20" s="9">
        <f>IF('Upto Month Current'!$D$9="",0,'Upto Month Current'!$D$9)</f>
        <v>0</v>
      </c>
      <c r="I20" s="9">
        <f>IF('Upto Month Current'!$D$10="",0,'Upto Month Current'!$D$10)</f>
        <v>0</v>
      </c>
      <c r="J20" s="9">
        <f>IF('Upto Month Current'!$D$11="",0,'Upto Month Current'!$D$11)</f>
        <v>0</v>
      </c>
      <c r="K20" s="9">
        <f>IF('Upto Month Current'!$D$12="",0,'Upto Month Current'!$D$12)</f>
        <v>937</v>
      </c>
      <c r="L20" s="9">
        <f>IF('Upto Month Current'!$D$13="",0,'Upto Month Current'!$D$13)</f>
        <v>9505</v>
      </c>
      <c r="M20" s="9">
        <f>IF('Upto Month Current'!$D$14="",0,'Upto Month Current'!$D$14)</f>
        <v>10249</v>
      </c>
      <c r="N20" s="9">
        <f>IF('Upto Month Current'!$D$15="",0,'Upto Month Current'!$D$15)</f>
        <v>100</v>
      </c>
      <c r="O20" s="9">
        <f>IF('Upto Month Current'!$D$16="",0,'Upto Month Current'!$D$16)</f>
        <v>3115</v>
      </c>
      <c r="P20" s="9">
        <f>IF('Upto Month Current'!$D$17="",0,'Upto Month Current'!$D$17)</f>
        <v>11920</v>
      </c>
      <c r="Q20" s="9">
        <f>IF('Upto Month Current'!$D$18="",0,'Upto Month Current'!$D$18)</f>
        <v>0</v>
      </c>
      <c r="R20" s="9">
        <f>IF('Upto Month Current'!$D$21="",0,'Upto Month Current'!$D$21)</f>
        <v>2961</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584</v>
      </c>
      <c r="Z20" s="9">
        <f>IF('Upto Month Current'!$D$43="",0,'Upto Month Current'!$D$43)</f>
        <v>172</v>
      </c>
      <c r="AA20" s="9">
        <f>IF('Upto Month Current'!$D$44="",0,'Upto Month Current'!$D$44)</f>
        <v>106</v>
      </c>
      <c r="AB20" s="9">
        <f>IF('Upto Month Current'!$D$51="",0,'Upto Month Current'!$D$51)</f>
        <v>71535</v>
      </c>
      <c r="AC20" s="121">
        <f t="shared" si="16"/>
        <v>1633345</v>
      </c>
      <c r="AD20" s="9">
        <f>IF('Upto Month Current'!$D$19="",0,'Upto Month Current'!$D$19)</f>
        <v>984</v>
      </c>
      <c r="AE20" s="9">
        <f>IF('Upto Month Current'!$D$20="",0,'Upto Month Current'!$D$20)</f>
        <v>1210</v>
      </c>
      <c r="AF20" s="9">
        <f>IF('Upto Month Current'!$D$22="",0,'Upto Month Current'!$D$22)</f>
        <v>2377</v>
      </c>
      <c r="AG20" s="9">
        <f>IF('Upto Month Current'!$D$23="",0,'Upto Month Current'!$D$23)</f>
        <v>0</v>
      </c>
      <c r="AH20" s="9">
        <f>IF('Upto Month Current'!$D$24="",0,'Upto Month Current'!$D$24)</f>
        <v>0</v>
      </c>
      <c r="AI20" s="9">
        <f>IF('Upto Month Current'!$D$25="",0,'Upto Month Current'!$D$25)</f>
        <v>750</v>
      </c>
      <c r="AJ20" s="9">
        <f>IF('Upto Month Current'!$D$28="",0,'Upto Month Current'!$D$28)</f>
        <v>611023</v>
      </c>
      <c r="AK20" s="9">
        <f>IF('Upto Month Current'!$D$29="",0,'Upto Month Current'!$D$29)</f>
        <v>108490</v>
      </c>
      <c r="AL20" s="9">
        <f>IF('Upto Month Current'!$D$31="",0,'Upto Month Current'!$D$31)</f>
        <v>0</v>
      </c>
      <c r="AM20" s="9">
        <f>IF('Upto Month Current'!$D$32="",0,'Upto Month Current'!$D$32)</f>
        <v>280</v>
      </c>
      <c r="AN20" s="9">
        <f>IF('Upto Month Current'!$D$33="",0,'Upto Month Current'!$D$33)</f>
        <v>67507</v>
      </c>
      <c r="AO20" s="9">
        <f>IF('Upto Month Current'!$D$34="",0,'Upto Month Current'!$D$34)</f>
        <v>-108589</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115</v>
      </c>
      <c r="AW20" s="9">
        <f>IF('Upto Month Current'!$D$46="",0,'Upto Month Current'!$D$46)</f>
        <v>368</v>
      </c>
      <c r="AX20" s="9">
        <f>IF('Upto Month Current'!$D$47="",0,'Upto Month Current'!$D$47)</f>
        <v>0</v>
      </c>
      <c r="AY20" s="9">
        <f>IF('Upto Month Current'!$D$49="",0,'Upto Month Current'!$D$49)</f>
        <v>0</v>
      </c>
      <c r="AZ20" s="9">
        <f>IF('Upto Month Current'!$D$50="",0,'Upto Month Current'!$D$50)</f>
        <v>0</v>
      </c>
      <c r="BA20" s="9">
        <f>IF('Upto Month Current'!$D$52="",0,'Upto Month Current'!$D$52)</f>
        <v>74630</v>
      </c>
      <c r="BB20" s="9">
        <f>IF('Upto Month Current'!$D$53="",0,'Upto Month Current'!$D$53)</f>
        <v>5777</v>
      </c>
      <c r="BC20" s="9">
        <f>IF('Upto Month Current'!$D$54="",0,'Upto Month Current'!$D$54)</f>
        <v>5777</v>
      </c>
      <c r="BD20" s="9">
        <f>IF('Upto Month Current'!$D$55="",0,'Upto Month Current'!$D$55)</f>
        <v>0</v>
      </c>
      <c r="BE20" s="9">
        <f>IF('Upto Month Current'!$D$56="",0,'Upto Month Current'!$D$56)</f>
        <v>12818</v>
      </c>
      <c r="BF20" s="9">
        <f>IF('Upto Month Current'!$D$58="",0,'Upto Month Current'!$D$58)</f>
        <v>2840</v>
      </c>
      <c r="BG20" s="122">
        <f t="shared" si="18"/>
        <v>786357</v>
      </c>
      <c r="BH20" s="123">
        <f t="shared" si="19"/>
        <v>2419702</v>
      </c>
      <c r="BI20" s="9">
        <f>IF('Upto Month Current'!$D$60="",0,'Upto Month Current'!$D$60)</f>
        <v>0</v>
      </c>
      <c r="BJ20" s="124">
        <f t="shared" si="17"/>
        <v>2419702</v>
      </c>
      <c r="BK20">
        <f>'Upto Month Current'!$D$61</f>
        <v>2419702</v>
      </c>
    </row>
    <row r="21" spans="1:63" ht="15.75">
      <c r="A21" s="128"/>
      <c r="B21" s="5" t="s">
        <v>207</v>
      </c>
      <c r="C21" s="126">
        <f t="shared" ref="C21:AH21" si="22">C20/C17</f>
        <v>1.1136572868032757</v>
      </c>
      <c r="D21" s="126">
        <f t="shared" si="22"/>
        <v>2.5072060698482539</v>
      </c>
      <c r="E21" s="126">
        <f t="shared" si="22"/>
        <v>0.95455155746509135</v>
      </c>
      <c r="F21" s="126">
        <f t="shared" si="22"/>
        <v>1.16437775965947</v>
      </c>
      <c r="G21" s="126">
        <f t="shared" si="22"/>
        <v>1.2710926293521887</v>
      </c>
      <c r="H21" s="126" t="e">
        <f t="shared" si="22"/>
        <v>#DIV/0!</v>
      </c>
      <c r="I21" s="126" t="e">
        <f t="shared" si="22"/>
        <v>#DIV/0!</v>
      </c>
      <c r="J21" s="126" t="e">
        <f t="shared" si="22"/>
        <v>#DIV/0!</v>
      </c>
      <c r="K21" s="126">
        <f t="shared" si="22"/>
        <v>1.1539408866995073</v>
      </c>
      <c r="L21" s="126">
        <f t="shared" si="22"/>
        <v>1.2611118482154704</v>
      </c>
      <c r="M21" s="126">
        <f t="shared" si="22"/>
        <v>1.5269666269368296</v>
      </c>
      <c r="N21" s="126">
        <f t="shared" si="22"/>
        <v>6.666666666666667</v>
      </c>
      <c r="O21" s="126">
        <f t="shared" si="22"/>
        <v>1.1368613138686132</v>
      </c>
      <c r="P21" s="126">
        <f t="shared" si="22"/>
        <v>0.96222150468195022</v>
      </c>
      <c r="Q21" s="126" t="e">
        <f t="shared" si="22"/>
        <v>#DIV/0!</v>
      </c>
      <c r="R21" s="126">
        <f t="shared" si="22"/>
        <v>2.0101832993890021</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0.23198383717838125</v>
      </c>
      <c r="AC21" s="126">
        <f t="shared" si="22"/>
        <v>1.0846794330310421</v>
      </c>
      <c r="AD21" s="126">
        <f t="shared" si="22"/>
        <v>1.4819277108433735</v>
      </c>
      <c r="AE21" s="126" t="e">
        <f t="shared" si="22"/>
        <v>#DIV/0!</v>
      </c>
      <c r="AF21" s="126">
        <f t="shared" si="22"/>
        <v>6.8699421965317917</v>
      </c>
      <c r="AG21" s="126" t="e">
        <f t="shared" si="22"/>
        <v>#DIV/0!</v>
      </c>
      <c r="AH21" s="126" t="e">
        <f t="shared" si="22"/>
        <v>#DIV/0!</v>
      </c>
      <c r="AI21" s="126" t="e">
        <f t="shared" ref="AI21:BJ21" si="23">AI20/AI17</f>
        <v>#DIV/0!</v>
      </c>
      <c r="AJ21" s="126">
        <f t="shared" si="23"/>
        <v>1.8184125944884233</v>
      </c>
      <c r="AK21" s="126">
        <f t="shared" si="23"/>
        <v>1.1065665735093124</v>
      </c>
      <c r="AL21" s="126" t="e">
        <f t="shared" si="23"/>
        <v>#DIV/0!</v>
      </c>
      <c r="AM21" s="126" t="e">
        <f t="shared" si="23"/>
        <v>#DIV/0!</v>
      </c>
      <c r="AN21" s="126">
        <f t="shared" si="23"/>
        <v>0.65060090014552674</v>
      </c>
      <c r="AO21" s="126">
        <f t="shared" si="23"/>
        <v>-1.0516890713981326</v>
      </c>
      <c r="AP21" s="126" t="e">
        <f t="shared" si="23"/>
        <v>#DIV/0!</v>
      </c>
      <c r="AQ21" s="126" t="e">
        <f t="shared" si="23"/>
        <v>#DIV/0!</v>
      </c>
      <c r="AR21" s="126" t="e">
        <f t="shared" si="23"/>
        <v>#DIV/0!</v>
      </c>
      <c r="AS21" s="126" t="e">
        <f t="shared" si="23"/>
        <v>#DIV/0!</v>
      </c>
      <c r="AT21" s="126" t="e">
        <f t="shared" si="23"/>
        <v>#DIV/0!</v>
      </c>
      <c r="AU21" s="126" t="e">
        <f t="shared" si="23"/>
        <v>#DIV/0!</v>
      </c>
      <c r="AV21" s="126">
        <f t="shared" si="23"/>
        <v>1.6666666666666667</v>
      </c>
      <c r="AW21" s="126">
        <f t="shared" si="23"/>
        <v>4.6582278481012658</v>
      </c>
      <c r="AX21" s="126">
        <f t="shared" si="23"/>
        <v>0</v>
      </c>
      <c r="AY21" s="126" t="e">
        <f t="shared" si="23"/>
        <v>#DIV/0!</v>
      </c>
      <c r="AZ21" s="126" t="e">
        <f t="shared" si="23"/>
        <v>#DIV/0!</v>
      </c>
      <c r="BA21" s="126">
        <f t="shared" si="23"/>
        <v>0.32327651556171622</v>
      </c>
      <c r="BB21" s="126">
        <f t="shared" si="23"/>
        <v>2.2443667443667445</v>
      </c>
      <c r="BC21" s="126">
        <f t="shared" si="23"/>
        <v>2.2443667443667445</v>
      </c>
      <c r="BD21" s="126" t="e">
        <f t="shared" si="23"/>
        <v>#DIV/0!</v>
      </c>
      <c r="BE21" s="126">
        <f t="shared" si="23"/>
        <v>3.4587155963302751</v>
      </c>
      <c r="BF21" s="126">
        <f t="shared" si="23"/>
        <v>3.1520532741398446</v>
      </c>
      <c r="BG21" s="126">
        <f t="shared" si="23"/>
        <v>0.89064634287228761</v>
      </c>
      <c r="BH21" s="126">
        <f t="shared" si="23"/>
        <v>1.0129624931658474</v>
      </c>
      <c r="BI21" s="126">
        <f t="shared" si="23"/>
        <v>0</v>
      </c>
      <c r="BJ21" s="126">
        <f t="shared" si="23"/>
        <v>1.044149668376924</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136</v>
      </c>
      <c r="B23" s="11" t="s">
        <v>211</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136</v>
      </c>
      <c r="B24" s="5" t="s">
        <v>208</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209</v>
      </c>
      <c r="C26" s="9">
        <f>IF('Upto Month Current'!$E$4="",0,'Upto Month Current'!$E$4)</f>
        <v>1563644</v>
      </c>
      <c r="D26" s="9">
        <f>IF('Upto Month Current'!$E$5="",0,'Upto Month Current'!$E$5)</f>
        <v>711922</v>
      </c>
      <c r="E26" s="9">
        <f>IF('Upto Month Current'!$E$6="",0,'Upto Month Current'!$E$6)</f>
        <v>71411</v>
      </c>
      <c r="F26" s="9">
        <f>IF('Upto Month Current'!$E$7="",0,'Upto Month Current'!$E$7)</f>
        <v>205539</v>
      </c>
      <c r="G26" s="9">
        <f>IF('Upto Month Current'!$E$8="",0,'Upto Month Current'!$E$8)</f>
        <v>123429</v>
      </c>
      <c r="H26" s="9">
        <f>IF('Upto Month Current'!$E$9="",0,'Upto Month Current'!$E$9)</f>
        <v>0</v>
      </c>
      <c r="I26" s="9">
        <f>IF('Upto Month Current'!$E$10="",0,'Upto Month Current'!$E$10)</f>
        <v>0</v>
      </c>
      <c r="J26" s="9">
        <f>IF('Upto Month Current'!$E$11="",0,'Upto Month Current'!$E$11)</f>
        <v>0</v>
      </c>
      <c r="K26" s="9">
        <f>IF('Upto Month Current'!$E$12="",0,'Upto Month Current'!$E$12)</f>
        <v>1316</v>
      </c>
      <c r="L26" s="9">
        <f>IF('Upto Month Current'!$E$13="",0,'Upto Month Current'!$E$13)</f>
        <v>51128</v>
      </c>
      <c r="M26" s="9">
        <f>IF('Upto Month Current'!$E$14="",0,'Upto Month Current'!$E$14)</f>
        <v>34166</v>
      </c>
      <c r="N26" s="9">
        <f>IF('Upto Month Current'!$E$15="",0,'Upto Month Current'!$E$15)</f>
        <v>658</v>
      </c>
      <c r="O26" s="9">
        <f>IF('Upto Month Current'!$E$16="",0,'Upto Month Current'!$E$16)</f>
        <v>4720</v>
      </c>
      <c r="P26" s="9">
        <f>IF('Upto Month Current'!$E$17="",0,'Upto Month Current'!$E$17)</f>
        <v>45792</v>
      </c>
      <c r="Q26" s="9">
        <f>IF('Upto Month Current'!$E$18="",0,'Upto Month Current'!$E$18)</f>
        <v>0</v>
      </c>
      <c r="R26" s="9">
        <f>IF('Upto Month Current'!$E$21="",0,'Upto Month Current'!$E$21)</f>
        <v>5695</v>
      </c>
      <c r="S26" s="9">
        <f>IF('Upto Month Current'!$E$26="",0,'Upto Month Current'!$E$26)</f>
        <v>0</v>
      </c>
      <c r="T26" s="9">
        <f>IF('Upto Month Current'!$E$27="",0,'Upto Month Current'!$E$27)</f>
        <v>0</v>
      </c>
      <c r="U26" s="9">
        <f>IF('Upto Month Current'!$E$30="",0,'Upto Month Current'!$E$30)</f>
        <v>0</v>
      </c>
      <c r="V26" s="9">
        <f>IF('Upto Month Current'!$E$35="",0,'Upto Month Current'!$E$35)</f>
        <v>613279</v>
      </c>
      <c r="W26" s="9">
        <f>IF('Upto Month Current'!$E$39="",0,'Upto Month Current'!$E$39)</f>
        <v>232</v>
      </c>
      <c r="X26" s="9">
        <f>IF('Upto Month Current'!$E$40="",0,'Upto Month Current'!$E$40)</f>
        <v>0</v>
      </c>
      <c r="Y26" s="9">
        <f>IF('Upto Month Current'!$E$42="",0,'Upto Month Current'!$E$42)</f>
        <v>2742</v>
      </c>
      <c r="Z26" s="9">
        <f>IF('Upto Month Current'!$E$43="",0,'Upto Month Current'!$E$43)</f>
        <v>761</v>
      </c>
      <c r="AA26" s="9">
        <f>IF('Upto Month Current'!$E$44="",0,'Upto Month Current'!$E$44)</f>
        <v>740</v>
      </c>
      <c r="AB26" s="9">
        <f>IF('Upto Month Current'!$E$51="",0,'Upto Month Current'!$E$51)</f>
        <v>1226096</v>
      </c>
      <c r="AC26" s="121">
        <f t="shared" si="24"/>
        <v>4663270</v>
      </c>
      <c r="AD26" s="9">
        <f>IF('Upto Month Current'!$E$19="",0,'Upto Month Current'!$E$19)</f>
        <v>787</v>
      </c>
      <c r="AE26" s="9">
        <f>IF('Upto Month Current'!$E$20="",0,'Upto Month Current'!$E$20)</f>
        <v>124</v>
      </c>
      <c r="AF26" s="9">
        <f>IF('Upto Month Current'!$E$22="",0,'Upto Month Current'!$E$22)</f>
        <v>568</v>
      </c>
      <c r="AG26" s="9">
        <f>IF('Upto Month Current'!$E$23="",0,'Upto Month Current'!$E$23)</f>
        <v>0</v>
      </c>
      <c r="AH26" s="9">
        <f>IF('Upto Month Current'!$E$24="",0,'Upto Month Current'!$E$24)</f>
        <v>0</v>
      </c>
      <c r="AI26" s="9">
        <f>IF('Upto Month Current'!$E$25="",0,'Upto Month Current'!$E$25)</f>
        <v>0</v>
      </c>
      <c r="AJ26" s="9">
        <f>IF('Upto Month Current'!$E$28="",0,'Upto Month Current'!$E$28)</f>
        <v>440505</v>
      </c>
      <c r="AK26" s="9">
        <f>IF('Upto Month Current'!$E$29="",0,'Upto Month Current'!$E$29)</f>
        <v>73528</v>
      </c>
      <c r="AL26" s="9">
        <f>IF('Upto Month Current'!$E$31="",0,'Upto Month Current'!$E$31)</f>
        <v>446</v>
      </c>
      <c r="AM26" s="9">
        <f>IF('Upto Month Current'!$E$32="",0,'Upto Month Current'!$E$32)</f>
        <v>0</v>
      </c>
      <c r="AN26" s="9">
        <f>IF('Upto Month Current'!$E$33="",0,'Upto Month Current'!$E$33)</f>
        <v>120319</v>
      </c>
      <c r="AO26" s="9">
        <f>IF('Upto Month Current'!$E$34="",0,'Upto Month Current'!$E$34)</f>
        <v>-596674</v>
      </c>
      <c r="AP26" s="9">
        <f>IF('Upto Month Current'!$E$36="",0,'Upto Month Current'!$E$36)</f>
        <v>702335</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11</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1386652</v>
      </c>
      <c r="BB26" s="9">
        <f>IF('Upto Month Current'!$E$53="",0,'Upto Month Current'!$E$53)</f>
        <v>2963</v>
      </c>
      <c r="BC26" s="9">
        <f>IF('Upto Month Current'!$E$54="",0,'Upto Month Current'!$E$54)</f>
        <v>2963</v>
      </c>
      <c r="BD26" s="9">
        <f>IF('Upto Month Current'!$E$55="",0,'Upto Month Current'!$E$55)</f>
        <v>0</v>
      </c>
      <c r="BE26" s="9">
        <f>IF('Upto Month Current'!$E$56="",0,'Upto Month Current'!$E$56)</f>
        <v>19662</v>
      </c>
      <c r="BF26" s="9">
        <f>IF('Upto Month Current'!$E$58="",0,'Upto Month Current'!$E$58)</f>
        <v>898</v>
      </c>
      <c r="BG26" s="122">
        <f t="shared" si="26"/>
        <v>2155087</v>
      </c>
      <c r="BH26" s="123">
        <f t="shared" si="27"/>
        <v>6818357</v>
      </c>
      <c r="BI26" s="9">
        <f>IF('Upto Month Current'!$E$60="",0,'Upto Month Current'!$E$60)</f>
        <v>27901</v>
      </c>
      <c r="BJ26" s="124">
        <f t="shared" si="25"/>
        <v>6790456</v>
      </c>
      <c r="BK26">
        <f>'Upto Month Current'!$E$61</f>
        <v>6790454</v>
      </c>
    </row>
    <row r="27" spans="1:63" ht="15.75">
      <c r="A27" s="128"/>
      <c r="B27" s="5" t="s">
        <v>207</v>
      </c>
      <c r="C27" s="126">
        <f t="shared" ref="C27:AH27" si="30">C26/C23</f>
        <v>1.0955595912716429</v>
      </c>
      <c r="D27" s="126">
        <f t="shared" si="30"/>
        <v>2.8460031661256537</v>
      </c>
      <c r="E27" s="126">
        <f t="shared" si="30"/>
        <v>1.0784227853453743</v>
      </c>
      <c r="F27" s="126">
        <f t="shared" si="30"/>
        <v>1.207561247870278</v>
      </c>
      <c r="G27" s="126">
        <f t="shared" si="30"/>
        <v>1.3989617926078728</v>
      </c>
      <c r="H27" s="126" t="e">
        <f t="shared" si="30"/>
        <v>#DIV/0!</v>
      </c>
      <c r="I27" s="126" t="e">
        <f t="shared" si="30"/>
        <v>#DIV/0!</v>
      </c>
      <c r="J27" s="126" t="e">
        <f t="shared" si="30"/>
        <v>#DIV/0!</v>
      </c>
      <c r="K27" s="126">
        <f t="shared" si="30"/>
        <v>0.53430775477060499</v>
      </c>
      <c r="L27" s="126">
        <f t="shared" si="30"/>
        <v>1.6550563252622037</v>
      </c>
      <c r="M27" s="126">
        <f t="shared" si="30"/>
        <v>2.0004684114995022</v>
      </c>
      <c r="N27" s="126">
        <f t="shared" si="30"/>
        <v>5.1811023622047241</v>
      </c>
      <c r="O27" s="126">
        <f t="shared" si="30"/>
        <v>1.7033561891014075</v>
      </c>
      <c r="P27" s="126">
        <f t="shared" si="30"/>
        <v>2.2948782199057831</v>
      </c>
      <c r="Q27" s="126" t="e">
        <f t="shared" si="30"/>
        <v>#DIV/0!</v>
      </c>
      <c r="R27" s="126">
        <f t="shared" si="30"/>
        <v>2.6875884851344973</v>
      </c>
      <c r="S27" s="126" t="e">
        <f t="shared" si="30"/>
        <v>#DIV/0!</v>
      </c>
      <c r="T27" s="126" t="e">
        <f t="shared" si="30"/>
        <v>#DIV/0!</v>
      </c>
      <c r="U27" s="126" t="e">
        <f t="shared" si="30"/>
        <v>#DIV/0!</v>
      </c>
      <c r="V27" s="126">
        <f t="shared" si="30"/>
        <v>2.0895722243990527</v>
      </c>
      <c r="W27" s="126" t="e">
        <f t="shared" si="30"/>
        <v>#DIV/0!</v>
      </c>
      <c r="X27" s="126" t="e">
        <f t="shared" si="30"/>
        <v>#DIV/0!</v>
      </c>
      <c r="Y27" s="126">
        <f t="shared" si="30"/>
        <v>8.1364985163204739</v>
      </c>
      <c r="Z27" s="126">
        <f t="shared" si="30"/>
        <v>34.590909090909093</v>
      </c>
      <c r="AA27" s="126">
        <f t="shared" si="30"/>
        <v>14.509803921568627</v>
      </c>
      <c r="AB27" s="126">
        <f t="shared" si="30"/>
        <v>0.88581278880582137</v>
      </c>
      <c r="AC27" s="126">
        <f t="shared" si="30"/>
        <v>1.241711198904865</v>
      </c>
      <c r="AD27" s="126">
        <f t="shared" si="30"/>
        <v>0.54015099519560739</v>
      </c>
      <c r="AE27" s="126">
        <f t="shared" si="30"/>
        <v>2.1016949152542375</v>
      </c>
      <c r="AF27" s="126" t="e">
        <f t="shared" si="30"/>
        <v>#DIV/0!</v>
      </c>
      <c r="AG27" s="126" t="e">
        <f t="shared" si="30"/>
        <v>#DIV/0!</v>
      </c>
      <c r="AH27" s="126" t="e">
        <f t="shared" si="30"/>
        <v>#DIV/0!</v>
      </c>
      <c r="AI27" s="126" t="e">
        <f t="shared" ref="AI27:BJ27" si="31">AI26/AI23</f>
        <v>#DIV/0!</v>
      </c>
      <c r="AJ27" s="126">
        <f t="shared" si="31"/>
        <v>2.6312944268562211</v>
      </c>
      <c r="AK27" s="126">
        <f t="shared" si="31"/>
        <v>2.2957412264268764</v>
      </c>
      <c r="AL27" s="126">
        <f t="shared" si="31"/>
        <v>1.1494845360824741</v>
      </c>
      <c r="AM27" s="126" t="e">
        <f t="shared" si="31"/>
        <v>#DIV/0!</v>
      </c>
      <c r="AN27" s="126">
        <f t="shared" si="31"/>
        <v>0.99314893230649859</v>
      </c>
      <c r="AO27" s="126">
        <f t="shared" si="31"/>
        <v>-14.40058888835256</v>
      </c>
      <c r="AP27" s="126">
        <f t="shared" si="31"/>
        <v>10.398646747901275</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2.6405126203239107</v>
      </c>
      <c r="BB27" s="126">
        <f t="shared" si="31"/>
        <v>2.5765217391304347</v>
      </c>
      <c r="BC27" s="126">
        <f t="shared" si="31"/>
        <v>2.5765217391304347</v>
      </c>
      <c r="BD27" s="126" t="e">
        <f t="shared" si="31"/>
        <v>#DIV/0!</v>
      </c>
      <c r="BE27" s="126">
        <f t="shared" si="31"/>
        <v>9.4302158273381291</v>
      </c>
      <c r="BF27" s="126">
        <f t="shared" si="31"/>
        <v>1.7852882703777335</v>
      </c>
      <c r="BG27" s="126">
        <f t="shared" si="31"/>
        <v>2.2413824663364186</v>
      </c>
      <c r="BH27" s="126">
        <f t="shared" si="31"/>
        <v>1.4454803861253021</v>
      </c>
      <c r="BI27" s="126">
        <f t="shared" si="31"/>
        <v>0.26572127884496338</v>
      </c>
      <c r="BJ27" s="126">
        <f t="shared" si="31"/>
        <v>1.4723397593720926</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137</v>
      </c>
      <c r="B29" s="11" t="s">
        <v>211</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137</v>
      </c>
      <c r="B30" s="5" t="s">
        <v>208</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209</v>
      </c>
      <c r="C32" s="9">
        <f>IF('Upto Month Current'!$F$4="",0,'Upto Month Current'!$F$4)</f>
        <v>2402412</v>
      </c>
      <c r="D32" s="9">
        <f>IF('Upto Month Current'!$F$5="",0,'Upto Month Current'!$F$5)</f>
        <v>1099931</v>
      </c>
      <c r="E32" s="9">
        <f>IF('Upto Month Current'!$F$6="",0,'Upto Month Current'!$F$6)</f>
        <v>119741</v>
      </c>
      <c r="F32" s="9">
        <f>IF('Upto Month Current'!$F$7="",0,'Upto Month Current'!$F$7)</f>
        <v>225140</v>
      </c>
      <c r="G32" s="9">
        <f>IF('Upto Month Current'!$F$8="",0,'Upto Month Current'!$F$8)</f>
        <v>178770</v>
      </c>
      <c r="H32" s="9">
        <f>IF('Upto Month Current'!$F$9="",0,'Upto Month Current'!$F$9)</f>
        <v>0</v>
      </c>
      <c r="I32" s="9">
        <f>IF('Upto Month Current'!$F$10="",0,'Upto Month Current'!$F$10)</f>
        <v>0</v>
      </c>
      <c r="J32" s="9">
        <f>IF('Upto Month Current'!$F$11="",0,'Upto Month Current'!$F$11)</f>
        <v>7643</v>
      </c>
      <c r="K32" s="9">
        <f>IF('Upto Month Current'!$F$12="",0,'Upto Month Current'!$F$12)</f>
        <v>1325</v>
      </c>
      <c r="L32" s="9">
        <f>IF('Upto Month Current'!$F$13="",0,'Upto Month Current'!$F$13)</f>
        <v>42657</v>
      </c>
      <c r="M32" s="9">
        <f>IF('Upto Month Current'!$F$14="",0,'Upto Month Current'!$F$14)</f>
        <v>49700</v>
      </c>
      <c r="N32" s="9">
        <f>IF('Upto Month Current'!$F$15="",0,'Upto Month Current'!$F$15)</f>
        <v>174</v>
      </c>
      <c r="O32" s="9">
        <f>IF('Upto Month Current'!$F$16="",0,'Upto Month Current'!$F$16)</f>
        <v>8003</v>
      </c>
      <c r="P32" s="9">
        <f>IF('Upto Month Current'!$F$17="",0,'Upto Month Current'!$F$17)</f>
        <v>230299</v>
      </c>
      <c r="Q32" s="9">
        <f>IF('Upto Month Current'!$F$18="",0,'Upto Month Current'!$F$18)</f>
        <v>0</v>
      </c>
      <c r="R32" s="9">
        <f>IF('Upto Month Current'!$F$21="",0,'Upto Month Current'!$F$21)</f>
        <v>9254</v>
      </c>
      <c r="S32" s="9">
        <f>IF('Upto Month Current'!$F$26="",0,'Upto Month Current'!$F$26)</f>
        <v>0</v>
      </c>
      <c r="T32" s="9">
        <f>IF('Upto Month Current'!$F$27="",0,'Upto Month Current'!$F$27)</f>
        <v>0</v>
      </c>
      <c r="U32" s="9">
        <f>IF('Upto Month Current'!$F$30="",0,'Upto Month Current'!$F$30)</f>
        <v>0</v>
      </c>
      <c r="V32" s="9">
        <f>IF('Upto Month Current'!$F$35="",0,'Upto Month Current'!$F$35)</f>
        <v>7411</v>
      </c>
      <c r="W32" s="9">
        <f>IF('Upto Month Current'!$F$39="",0,'Upto Month Current'!$F$39)</f>
        <v>0</v>
      </c>
      <c r="X32" s="9">
        <f>IF('Upto Month Current'!$F$40="",0,'Upto Month Current'!$F$40)</f>
        <v>0</v>
      </c>
      <c r="Y32" s="9">
        <f>IF('Upto Month Current'!$F$42="",0,'Upto Month Current'!$F$42)</f>
        <v>7224</v>
      </c>
      <c r="Z32" s="9">
        <f>IF('Upto Month Current'!$F$43="",0,'Upto Month Current'!$F$43)</f>
        <v>1971</v>
      </c>
      <c r="AA32" s="9">
        <f>IF('Upto Month Current'!$F$44="",0,'Upto Month Current'!$F$44)</f>
        <v>1861</v>
      </c>
      <c r="AB32" s="9">
        <f>IF('Upto Month Current'!$F$51="",0,'Upto Month Current'!$F$51)</f>
        <v>0</v>
      </c>
      <c r="AC32" s="121">
        <f t="shared" si="32"/>
        <v>4393516</v>
      </c>
      <c r="AD32" s="9">
        <f>IF('Upto Month Current'!$F$19="",0,'Upto Month Current'!$F$19)</f>
        <v>6490</v>
      </c>
      <c r="AE32" s="9">
        <f>IF('Upto Month Current'!$F$20="",0,'Upto Month Current'!$F$20)</f>
        <v>13672</v>
      </c>
      <c r="AF32" s="9">
        <f>IF('Upto Month Current'!$F$22="",0,'Upto Month Current'!$F$22)</f>
        <v>14066</v>
      </c>
      <c r="AG32" s="9">
        <f>IF('Upto Month Current'!$F$23="",0,'Upto Month Current'!$F$23)</f>
        <v>128</v>
      </c>
      <c r="AH32" s="9">
        <f>IF('Upto Month Current'!$F$24="",0,'Upto Month Current'!$F$24)</f>
        <v>0</v>
      </c>
      <c r="AI32" s="9">
        <f>IF('Upto Month Current'!$F$25="",0,'Upto Month Current'!$F$25)</f>
        <v>31</v>
      </c>
      <c r="AJ32" s="9">
        <f>IF('Upto Month Current'!$F$28="",0,'Upto Month Current'!$F$28)</f>
        <v>313295</v>
      </c>
      <c r="AK32" s="9">
        <f>IF('Upto Month Current'!$F$29="",0,'Upto Month Current'!$F$29)</f>
        <v>339896</v>
      </c>
      <c r="AL32" s="9">
        <f>IF('Upto Month Current'!$F$31="",0,'Upto Month Current'!$F$31)</f>
        <v>0</v>
      </c>
      <c r="AM32" s="9">
        <f>IF('Upto Month Current'!$F$32="",0,'Upto Month Current'!$F$32)</f>
        <v>24354</v>
      </c>
      <c r="AN32" s="9">
        <f>IF('Upto Month Current'!$F$33="",0,'Upto Month Current'!$F$33)</f>
        <v>734819</v>
      </c>
      <c r="AO32" s="9">
        <f>IF('Upto Month Current'!$F$34="",0,'Upto Month Current'!$F$34)</f>
        <v>383520</v>
      </c>
      <c r="AP32" s="9">
        <f>IF('Upto Month Current'!$F$36="",0,'Upto Month Current'!$F$36)</f>
        <v>144</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47</v>
      </c>
      <c r="AW32" s="9">
        <f>IF('Upto Month Current'!$F$46="",0,'Upto Month Current'!$F$46)</f>
        <v>270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36068</v>
      </c>
      <c r="BC32" s="9">
        <f>IF('Upto Month Current'!$F$54="",0,'Upto Month Current'!$F$54)</f>
        <v>36068</v>
      </c>
      <c r="BD32" s="9">
        <f>IF('Upto Month Current'!$F$55="",0,'Upto Month Current'!$F$55)</f>
        <v>0</v>
      </c>
      <c r="BE32" s="9">
        <f>IF('Upto Month Current'!$F$56="",0,'Upto Month Current'!$F$56)</f>
        <v>79479</v>
      </c>
      <c r="BF32" s="9">
        <f>IF('Upto Month Current'!$F$58="",0,'Upto Month Current'!$F$58)</f>
        <v>657146</v>
      </c>
      <c r="BG32" s="122">
        <f t="shared" si="34"/>
        <v>2639493</v>
      </c>
      <c r="BH32" s="123">
        <f t="shared" si="35"/>
        <v>7033009</v>
      </c>
      <c r="BI32" s="9">
        <f>IF('Upto Month Current'!$F$60="",0,'Upto Month Current'!$F$60)</f>
        <v>59803</v>
      </c>
      <c r="BJ32" s="124">
        <f t="shared" si="33"/>
        <v>6973206</v>
      </c>
      <c r="BK32">
        <f>'Upto Month Current'!$F$61</f>
        <v>6973206</v>
      </c>
    </row>
    <row r="33" spans="1:63" ht="15.75">
      <c r="A33" s="128"/>
      <c r="B33" s="5" t="s">
        <v>207</v>
      </c>
      <c r="C33" s="126">
        <f t="shared" ref="C33:AH33" si="38">C32/C29</f>
        <v>0.95680461354032664</v>
      </c>
      <c r="D33" s="126">
        <f t="shared" si="38"/>
        <v>2.8068486299167588</v>
      </c>
      <c r="E33" s="126">
        <f t="shared" si="38"/>
        <v>0.94076838466373347</v>
      </c>
      <c r="F33" s="126">
        <f t="shared" si="38"/>
        <v>1.1485679886541031</v>
      </c>
      <c r="G33" s="126">
        <f t="shared" si="38"/>
        <v>1.3230070157781002</v>
      </c>
      <c r="H33" s="126" t="e">
        <f t="shared" si="38"/>
        <v>#DIV/0!</v>
      </c>
      <c r="I33" s="126" t="e">
        <f t="shared" si="38"/>
        <v>#DIV/0!</v>
      </c>
      <c r="J33" s="126">
        <f t="shared" si="38"/>
        <v>6.9418710263396912</v>
      </c>
      <c r="K33" s="126">
        <f t="shared" si="38"/>
        <v>0.91568762957843819</v>
      </c>
      <c r="L33" s="126">
        <f t="shared" si="38"/>
        <v>1.4342826401264248</v>
      </c>
      <c r="M33" s="126">
        <f t="shared" si="38"/>
        <v>1.0173793781089435</v>
      </c>
      <c r="N33" s="126">
        <f t="shared" si="38"/>
        <v>0.70731707317073167</v>
      </c>
      <c r="O33" s="126">
        <f t="shared" si="38"/>
        <v>1.3132589432228421</v>
      </c>
      <c r="P33" s="126">
        <f t="shared" si="38"/>
        <v>1.4440619513418611</v>
      </c>
      <c r="Q33" s="126" t="e">
        <f t="shared" si="38"/>
        <v>#DIV/0!</v>
      </c>
      <c r="R33" s="126">
        <f t="shared" si="38"/>
        <v>2.3967883967883967</v>
      </c>
      <c r="S33" s="126" t="e">
        <f t="shared" si="38"/>
        <v>#DIV/0!</v>
      </c>
      <c r="T33" s="126" t="e">
        <f t="shared" si="38"/>
        <v>#DIV/0!</v>
      </c>
      <c r="U33" s="126" t="e">
        <f t="shared" si="38"/>
        <v>#DIV/0!</v>
      </c>
      <c r="V33" s="126">
        <f t="shared" si="38"/>
        <v>0.40628255029877747</v>
      </c>
      <c r="W33" s="126" t="e">
        <f t="shared" si="38"/>
        <v>#DIV/0!</v>
      </c>
      <c r="X33" s="126" t="e">
        <f t="shared" si="38"/>
        <v>#DIV/0!</v>
      </c>
      <c r="Y33" s="126">
        <f t="shared" si="38"/>
        <v>11.901153212520594</v>
      </c>
      <c r="Z33" s="126" t="e">
        <f t="shared" si="38"/>
        <v>#DIV/0!</v>
      </c>
      <c r="AA33" s="126">
        <f t="shared" si="38"/>
        <v>465.25</v>
      </c>
      <c r="AB33" s="126" t="e">
        <f t="shared" si="38"/>
        <v>#DIV/0!</v>
      </c>
      <c r="AC33" s="126">
        <f t="shared" si="38"/>
        <v>1.2100553067762023</v>
      </c>
      <c r="AD33" s="126">
        <f t="shared" si="38"/>
        <v>1.2813425468904245</v>
      </c>
      <c r="AE33" s="126">
        <f t="shared" si="38"/>
        <v>0.55439763188840685</v>
      </c>
      <c r="AF33" s="126">
        <f t="shared" si="38"/>
        <v>2.5710107841345273</v>
      </c>
      <c r="AG33" s="126" t="e">
        <f t="shared" si="38"/>
        <v>#DIV/0!</v>
      </c>
      <c r="AH33" s="126" t="e">
        <f t="shared" si="38"/>
        <v>#DIV/0!</v>
      </c>
      <c r="AI33" s="126">
        <f t="shared" ref="AI33:BJ33" si="39">AI32/AI29</f>
        <v>0.24603174603174602</v>
      </c>
      <c r="AJ33" s="126">
        <f t="shared" si="39"/>
        <v>1.39397728132272</v>
      </c>
      <c r="AK33" s="126">
        <f t="shared" si="39"/>
        <v>0.87484138648162402</v>
      </c>
      <c r="AL33" s="126" t="e">
        <f t="shared" si="39"/>
        <v>#DIV/0!</v>
      </c>
      <c r="AM33" s="126">
        <f t="shared" si="39"/>
        <v>18.820710973724886</v>
      </c>
      <c r="AN33" s="126">
        <f t="shared" si="39"/>
        <v>1.4392553201907727</v>
      </c>
      <c r="AO33" s="126">
        <f t="shared" si="39"/>
        <v>2.0266756853875583</v>
      </c>
      <c r="AP33" s="126">
        <f t="shared" si="39"/>
        <v>8.9396573131363295E-3</v>
      </c>
      <c r="AQ33" s="126" t="e">
        <f t="shared" si="39"/>
        <v>#DIV/0!</v>
      </c>
      <c r="AR33" s="126" t="e">
        <f t="shared" si="39"/>
        <v>#DIV/0!</v>
      </c>
      <c r="AS33" s="126" t="e">
        <f t="shared" si="39"/>
        <v>#DIV/0!</v>
      </c>
      <c r="AT33" s="126" t="e">
        <f t="shared" si="39"/>
        <v>#DIV/0!</v>
      </c>
      <c r="AU33" s="126" t="e">
        <f t="shared" si="39"/>
        <v>#DIV/0!</v>
      </c>
      <c r="AV33" s="126">
        <f t="shared" si="39"/>
        <v>2.7647058823529411</v>
      </c>
      <c r="AW33" s="126">
        <f t="shared" si="39"/>
        <v>6.9230769230769234</v>
      </c>
      <c r="AX33" s="126" t="e">
        <f t="shared" si="39"/>
        <v>#DIV/0!</v>
      </c>
      <c r="AY33" s="126" t="e">
        <f t="shared" si="39"/>
        <v>#DIV/0!</v>
      </c>
      <c r="AZ33" s="126" t="e">
        <f t="shared" si="39"/>
        <v>#DIV/0!</v>
      </c>
      <c r="BA33" s="126" t="e">
        <f t="shared" si="39"/>
        <v>#DIV/0!</v>
      </c>
      <c r="BB33" s="126">
        <f t="shared" si="39"/>
        <v>3.2923779096303059</v>
      </c>
      <c r="BC33" s="126">
        <f t="shared" si="39"/>
        <v>3.2914765468151121</v>
      </c>
      <c r="BD33" s="126" t="e">
        <f t="shared" si="39"/>
        <v>#DIV/0!</v>
      </c>
      <c r="BE33" s="126">
        <f t="shared" si="39"/>
        <v>16.095382746051033</v>
      </c>
      <c r="BF33" s="126">
        <f t="shared" si="39"/>
        <v>2.4306871731137694</v>
      </c>
      <c r="BG33" s="126">
        <f t="shared" si="39"/>
        <v>1.5871408479245048</v>
      </c>
      <c r="BH33" s="126">
        <f t="shared" si="39"/>
        <v>1.32851488357895</v>
      </c>
      <c r="BI33" s="126">
        <f t="shared" si="39"/>
        <v>0.69450347814978686</v>
      </c>
      <c r="BJ33" s="126">
        <f t="shared" si="39"/>
        <v>1.3389980642419734</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138</v>
      </c>
      <c r="B35" s="11" t="s">
        <v>211</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138</v>
      </c>
      <c r="B36" s="5" t="s">
        <v>208</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209</v>
      </c>
      <c r="C38" s="9">
        <f>IF('Upto Month Current'!$G$4="",0,'Upto Month Current'!$G$4)</f>
        <v>4787566</v>
      </c>
      <c r="D38" s="9">
        <f>IF('Upto Month Current'!$G$5="",0,'Upto Month Current'!$G$5)</f>
        <v>2727342</v>
      </c>
      <c r="E38" s="9">
        <f>IF('Upto Month Current'!$G$6="",0,'Upto Month Current'!$G$6)</f>
        <v>200445</v>
      </c>
      <c r="F38" s="9">
        <f>IF('Upto Month Current'!$G$7="",0,'Upto Month Current'!$G$7)</f>
        <v>917012</v>
      </c>
      <c r="G38" s="9">
        <f>IF('Upto Month Current'!$G$8="",0,'Upto Month Current'!$G$8)</f>
        <v>341598</v>
      </c>
      <c r="H38" s="9">
        <f>IF('Upto Month Current'!$G$9="",0,'Upto Month Current'!$G$9)</f>
        <v>0</v>
      </c>
      <c r="I38" s="9">
        <f>IF('Upto Month Current'!$G$10="",0,'Upto Month Current'!$G$10)</f>
        <v>0</v>
      </c>
      <c r="J38" s="9">
        <f>IF('Upto Month Current'!$G$11="",0,'Upto Month Current'!$G$11)</f>
        <v>2017628</v>
      </c>
      <c r="K38" s="9">
        <f>IF('Upto Month Current'!$G$12="",0,'Upto Month Current'!$G$12)</f>
        <v>80435</v>
      </c>
      <c r="L38" s="9">
        <f>IF('Upto Month Current'!$G$13="",0,'Upto Month Current'!$G$13)</f>
        <v>245618</v>
      </c>
      <c r="M38" s="9">
        <f>IF('Upto Month Current'!$G$14="",0,'Upto Month Current'!$G$14)</f>
        <v>320831</v>
      </c>
      <c r="N38" s="9">
        <f>IF('Upto Month Current'!$G$15="",0,'Upto Month Current'!$G$15)</f>
        <v>764</v>
      </c>
      <c r="O38" s="9">
        <f>IF('Upto Month Current'!$G$16="",0,'Upto Month Current'!$G$16)</f>
        <v>13591</v>
      </c>
      <c r="P38" s="9">
        <f>IF('Upto Month Current'!$G$17="",0,'Upto Month Current'!$G$17)</f>
        <v>17435</v>
      </c>
      <c r="Q38" s="9">
        <f>IF('Upto Month Current'!$G$18="",0,'Upto Month Current'!$G$18)</f>
        <v>0</v>
      </c>
      <c r="R38" s="9">
        <f>IF('Upto Month Current'!$G$21="",0,'Upto Month Current'!$G$21)</f>
        <v>16983</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1575</v>
      </c>
      <c r="Z38" s="9">
        <f>IF('Upto Month Current'!$G$43="",0,'Upto Month Current'!$G$43)</f>
        <v>458</v>
      </c>
      <c r="AA38" s="9">
        <f>IF('Upto Month Current'!$G$44="",0,'Upto Month Current'!$G$44)</f>
        <v>479</v>
      </c>
      <c r="AB38" s="9">
        <f>IF('Upto Month Current'!$G$51="",0,'Upto Month Current'!$G$51)</f>
        <v>0</v>
      </c>
      <c r="AC38" s="121">
        <f t="shared" si="40"/>
        <v>11689760</v>
      </c>
      <c r="AD38" s="9">
        <f>IF('Upto Month Current'!$G$19="",0,'Upto Month Current'!$G$19)</f>
        <v>4467</v>
      </c>
      <c r="AE38" s="9">
        <f>IF('Upto Month Current'!$G$20="",0,'Upto Month Current'!$G$20)</f>
        <v>1430</v>
      </c>
      <c r="AF38" s="9">
        <f>IF('Upto Month Current'!$G$22="",0,'Upto Month Current'!$G$22)</f>
        <v>3775</v>
      </c>
      <c r="AG38" s="9">
        <f>IF('Upto Month Current'!$G$23="",0,'Upto Month Current'!$G$23)</f>
        <v>0</v>
      </c>
      <c r="AH38" s="9">
        <f>IF('Upto Month Current'!$G$24="",0,'Upto Month Current'!$G$24)</f>
        <v>0</v>
      </c>
      <c r="AI38" s="9">
        <f>IF('Upto Month Current'!$G$25="",0,'Upto Month Current'!$G$25)</f>
        <v>113</v>
      </c>
      <c r="AJ38" s="9">
        <f>IF('Upto Month Current'!$G$28="",0,'Upto Month Current'!$G$28)</f>
        <v>79989</v>
      </c>
      <c r="AK38" s="9">
        <f>IF('Upto Month Current'!$G$29="",0,'Upto Month Current'!$G$29)</f>
        <v>54287</v>
      </c>
      <c r="AL38" s="9">
        <f>IF('Upto Month Current'!$G$31="",0,'Upto Month Current'!$G$31)</f>
        <v>675550</v>
      </c>
      <c r="AM38" s="9">
        <f>IF('Upto Month Current'!$G$32="",0,'Upto Month Current'!$G$32)</f>
        <v>206829</v>
      </c>
      <c r="AN38" s="9">
        <f>IF('Upto Month Current'!$G$33="",0,'Upto Month Current'!$G$33)</f>
        <v>875085</v>
      </c>
      <c r="AO38" s="9">
        <f>IF('Upto Month Current'!$G$34="",0,'Upto Month Current'!$G$34)</f>
        <v>30990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638</v>
      </c>
      <c r="AW38" s="9">
        <f>IF('Upto Month Current'!$G$46="",0,'Upto Month Current'!$G$46)</f>
        <v>42</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23347</v>
      </c>
      <c r="BC38" s="9">
        <f>IF('Upto Month Current'!$G$54="",0,'Upto Month Current'!$G$54)</f>
        <v>23347</v>
      </c>
      <c r="BD38" s="9">
        <f>IF('Upto Month Current'!$G$55="",0,'Upto Month Current'!$G$55)</f>
        <v>0</v>
      </c>
      <c r="BE38" s="9">
        <f>IF('Upto Month Current'!$G$56="",0,'Upto Month Current'!$G$56)</f>
        <v>37927</v>
      </c>
      <c r="BF38" s="9">
        <f>IF('Upto Month Current'!$G$58="",0,'Upto Month Current'!$G$58)</f>
        <v>79</v>
      </c>
      <c r="BG38" s="122">
        <f t="shared" si="42"/>
        <v>2017895</v>
      </c>
      <c r="BH38" s="123">
        <f t="shared" si="43"/>
        <v>13707655</v>
      </c>
      <c r="BI38" s="9">
        <f>IF('Upto Month Current'!$G$60="",0,'Upto Month Current'!$G$60)</f>
        <v>32138</v>
      </c>
      <c r="BJ38" s="124">
        <f t="shared" si="41"/>
        <v>13675517</v>
      </c>
      <c r="BK38">
        <f>'Upto Month Current'!$G$61</f>
        <v>13675519</v>
      </c>
    </row>
    <row r="39" spans="1:63" ht="15.75">
      <c r="A39" s="128"/>
      <c r="B39" s="5" t="s">
        <v>207</v>
      </c>
      <c r="C39" s="126">
        <f t="shared" ref="C39:AH39" si="46">C38/C35</f>
        <v>1.1146296058304976</v>
      </c>
      <c r="D39" s="126">
        <f t="shared" si="46"/>
        <v>2.9852954053888388</v>
      </c>
      <c r="E39" s="126">
        <f t="shared" si="46"/>
        <v>1.2602799154972084</v>
      </c>
      <c r="F39" s="126">
        <f t="shared" si="46"/>
        <v>1.4174277963691446</v>
      </c>
      <c r="G39" s="126">
        <f t="shared" si="46"/>
        <v>1.5709483230396373</v>
      </c>
      <c r="H39" s="126" t="e">
        <f t="shared" si="46"/>
        <v>#DIV/0!</v>
      </c>
      <c r="I39" s="126" t="e">
        <f t="shared" si="46"/>
        <v>#DIV/0!</v>
      </c>
      <c r="J39" s="126">
        <f t="shared" si="46"/>
        <v>2.2622267420283291</v>
      </c>
      <c r="K39" s="126">
        <f t="shared" si="46"/>
        <v>0.80034825870646764</v>
      </c>
      <c r="L39" s="126">
        <f t="shared" si="46"/>
        <v>1.8713609801068183</v>
      </c>
      <c r="M39" s="126">
        <f t="shared" si="46"/>
        <v>1.5408566104430015</v>
      </c>
      <c r="N39" s="126">
        <f t="shared" si="46"/>
        <v>2.1581920903954801</v>
      </c>
      <c r="O39" s="126">
        <f t="shared" si="46"/>
        <v>2.5066396163777203</v>
      </c>
      <c r="P39" s="126">
        <f t="shared" si="46"/>
        <v>1.9850848229534328</v>
      </c>
      <c r="Q39" s="126" t="e">
        <f t="shared" si="46"/>
        <v>#DIV/0!</v>
      </c>
      <c r="R39" s="126">
        <f t="shared" si="46"/>
        <v>1.5139062221429844</v>
      </c>
      <c r="S39" s="126" t="e">
        <f t="shared" si="46"/>
        <v>#DIV/0!</v>
      </c>
      <c r="T39" s="126" t="e">
        <f t="shared" si="46"/>
        <v>#DIV/0!</v>
      </c>
      <c r="U39" s="126" t="e">
        <f t="shared" si="46"/>
        <v>#DIV/0!</v>
      </c>
      <c r="V39" s="126" t="e">
        <f t="shared" si="46"/>
        <v>#DIV/0!</v>
      </c>
      <c r="W39" s="126" t="e">
        <f t="shared" si="46"/>
        <v>#DIV/0!</v>
      </c>
      <c r="X39" s="126" t="e">
        <f t="shared" si="46"/>
        <v>#DIV/0!</v>
      </c>
      <c r="Y39" s="126">
        <f t="shared" si="46"/>
        <v>4.3994413407821229</v>
      </c>
      <c r="Z39" s="126">
        <f t="shared" si="46"/>
        <v>9.7446808510638299</v>
      </c>
      <c r="AA39" s="126">
        <f t="shared" si="46"/>
        <v>1.0992541594951234E-2</v>
      </c>
      <c r="AB39" s="126" t="e">
        <f t="shared" si="46"/>
        <v>#DIV/0!</v>
      </c>
      <c r="AC39" s="126">
        <f t="shared" si="46"/>
        <v>1.5313057590461223</v>
      </c>
      <c r="AD39" s="126">
        <f t="shared" si="46"/>
        <v>1.8784693019343988</v>
      </c>
      <c r="AE39" s="126">
        <f t="shared" si="46"/>
        <v>55</v>
      </c>
      <c r="AF39" s="126">
        <f t="shared" si="46"/>
        <v>0.66566743078822077</v>
      </c>
      <c r="AG39" s="126" t="e">
        <f t="shared" si="46"/>
        <v>#DIV/0!</v>
      </c>
      <c r="AH39" s="126" t="e">
        <f t="shared" si="46"/>
        <v>#DIV/0!</v>
      </c>
      <c r="AI39" s="126">
        <f t="shared" ref="AI39:BJ39" si="47">AI38/AI35</f>
        <v>0.31741573033707865</v>
      </c>
      <c r="AJ39" s="126">
        <f t="shared" si="47"/>
        <v>0.85299763260605288</v>
      </c>
      <c r="AK39" s="126">
        <f t="shared" si="47"/>
        <v>0.46611886730891416</v>
      </c>
      <c r="AL39" s="126">
        <f t="shared" si="47"/>
        <v>1.215645486069248</v>
      </c>
      <c r="AM39" s="126">
        <f t="shared" si="47"/>
        <v>2.7535712859291999</v>
      </c>
      <c r="AN39" s="126">
        <f t="shared" si="47"/>
        <v>2.2306241317342375</v>
      </c>
      <c r="AO39" s="126">
        <f t="shared" si="47"/>
        <v>-0.84776364382437419</v>
      </c>
      <c r="AP39" s="126" t="e">
        <f t="shared" si="47"/>
        <v>#DIV/0!</v>
      </c>
      <c r="AQ39" s="126" t="e">
        <f t="shared" si="47"/>
        <v>#DIV/0!</v>
      </c>
      <c r="AR39" s="126" t="e">
        <f t="shared" si="47"/>
        <v>#DIV/0!</v>
      </c>
      <c r="AS39" s="126" t="e">
        <f t="shared" si="47"/>
        <v>#DIV/0!</v>
      </c>
      <c r="AT39" s="126" t="e">
        <f t="shared" si="47"/>
        <v>#DIV/0!</v>
      </c>
      <c r="AU39" s="126" t="e">
        <f t="shared" si="47"/>
        <v>#DIV/0!</v>
      </c>
      <c r="AV39" s="126">
        <f t="shared" si="47"/>
        <v>2.3805970149253732</v>
      </c>
      <c r="AW39" s="126">
        <f t="shared" si="47"/>
        <v>0.13249211356466878</v>
      </c>
      <c r="AX39" s="126" t="e">
        <f t="shared" si="47"/>
        <v>#DIV/0!</v>
      </c>
      <c r="AY39" s="126" t="e">
        <f t="shared" si="47"/>
        <v>#DIV/0!</v>
      </c>
      <c r="AZ39" s="126" t="e">
        <f t="shared" si="47"/>
        <v>#DIV/0!</v>
      </c>
      <c r="BA39" s="126" t="e">
        <f t="shared" si="47"/>
        <v>#DIV/0!</v>
      </c>
      <c r="BB39" s="126">
        <f t="shared" si="47"/>
        <v>8.634245562130177</v>
      </c>
      <c r="BC39" s="126">
        <f t="shared" si="47"/>
        <v>8.6183093392395715</v>
      </c>
      <c r="BD39" s="126" t="e">
        <f t="shared" si="47"/>
        <v>#DIV/0!</v>
      </c>
      <c r="BE39" s="126">
        <f t="shared" si="47"/>
        <v>85.613995485327308</v>
      </c>
      <c r="BF39" s="126">
        <f t="shared" si="47"/>
        <v>39.5</v>
      </c>
      <c r="BG39" s="126">
        <f t="shared" si="47"/>
        <v>1.6653558253348628</v>
      </c>
      <c r="BH39" s="126">
        <f t="shared" si="47"/>
        <v>1.5496683583287896</v>
      </c>
      <c r="BI39" s="126">
        <f t="shared" si="47"/>
        <v>0.91930547212448865</v>
      </c>
      <c r="BJ39" s="126">
        <f t="shared" si="47"/>
        <v>1.5521695388567975</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139</v>
      </c>
      <c r="B41" s="11" t="s">
        <v>211</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139</v>
      </c>
      <c r="B42" s="5" t="s">
        <v>208</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209</v>
      </c>
      <c r="C44" s="9">
        <f>IF('Upto Month Current'!$H$4="",0,'Upto Month Current'!$H$4)</f>
        <v>5492484</v>
      </c>
      <c r="D44" s="9">
        <f>IF('Upto Month Current'!$H$5="",0,'Upto Month Current'!$H$5)</f>
        <v>2696365</v>
      </c>
      <c r="E44" s="9">
        <f>IF('Upto Month Current'!$H$6="",0,'Upto Month Current'!$H$6)</f>
        <v>208113</v>
      </c>
      <c r="F44" s="9">
        <f>IF('Upto Month Current'!$H$7="",0,'Upto Month Current'!$H$7)</f>
        <v>700213</v>
      </c>
      <c r="G44" s="9">
        <f>IF('Upto Month Current'!$H$8="",0,'Upto Month Current'!$H$8)</f>
        <v>356175</v>
      </c>
      <c r="H44" s="9">
        <f>IF('Upto Month Current'!$H$9="",0,'Upto Month Current'!$H$9)</f>
        <v>0</v>
      </c>
      <c r="I44" s="9">
        <f>IF('Upto Month Current'!$H$10="",0,'Upto Month Current'!$H$10)</f>
        <v>0</v>
      </c>
      <c r="J44" s="9">
        <f>IF('Upto Month Current'!$H$11="",0,'Upto Month Current'!$H$11)</f>
        <v>780112</v>
      </c>
      <c r="K44" s="9">
        <f>IF('Upto Month Current'!$H$12="",0,'Upto Month Current'!$H$12)</f>
        <v>119220</v>
      </c>
      <c r="L44" s="9">
        <f>IF('Upto Month Current'!$H$13="",0,'Upto Month Current'!$H$13)</f>
        <v>302587</v>
      </c>
      <c r="M44" s="9">
        <f>IF('Upto Month Current'!$H$14="",0,'Upto Month Current'!$H$14)</f>
        <v>209388</v>
      </c>
      <c r="N44" s="9">
        <f>IF('Upto Month Current'!$H$15="",0,'Upto Month Current'!$H$15)</f>
        <v>1062</v>
      </c>
      <c r="O44" s="9">
        <f>IF('Upto Month Current'!$H$16="",0,'Upto Month Current'!$H$16)</f>
        <v>23956</v>
      </c>
      <c r="P44" s="9">
        <f>IF('Upto Month Current'!$H$17="",0,'Upto Month Current'!$H$17)</f>
        <v>284351</v>
      </c>
      <c r="Q44" s="9">
        <f>IF('Upto Month Current'!$H$18="",0,'Upto Month Current'!$H$18)</f>
        <v>0</v>
      </c>
      <c r="R44" s="9">
        <f>IF('Upto Month Current'!$H$21="",0,'Upto Month Current'!$H$21)</f>
        <v>22526</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-1</v>
      </c>
      <c r="X44" s="9">
        <f>IF('Upto Month Current'!$H$40="",0,'Upto Month Current'!$H$40)</f>
        <v>0</v>
      </c>
      <c r="Y44" s="9">
        <f>IF('Upto Month Current'!$H$42="",0,'Upto Month Current'!$H$42)</f>
        <v>12038</v>
      </c>
      <c r="Z44" s="9">
        <f>IF('Upto Month Current'!$H$43="",0,'Upto Month Current'!$H$43)</f>
        <v>3550</v>
      </c>
      <c r="AA44" s="9">
        <f>IF('Upto Month Current'!$H$44="",0,'Upto Month Current'!$H$44)</f>
        <v>4466</v>
      </c>
      <c r="AB44" s="9">
        <f>IF('Upto Month Current'!$H$51="",0,'Upto Month Current'!$H$51)</f>
        <v>0</v>
      </c>
      <c r="AC44" s="121">
        <f t="shared" si="48"/>
        <v>11216605</v>
      </c>
      <c r="AD44" s="9">
        <f>IF('Upto Month Current'!$H$19="",0,'Upto Month Current'!$H$19)</f>
        <v>15511</v>
      </c>
      <c r="AE44" s="9">
        <f>IF('Upto Month Current'!$H$20="",0,'Upto Month Current'!$H$20)</f>
        <v>2749</v>
      </c>
      <c r="AF44" s="9">
        <f>IF('Upto Month Current'!$H$22="",0,'Upto Month Current'!$H$22)</f>
        <v>36442</v>
      </c>
      <c r="AG44" s="9">
        <f>IF('Upto Month Current'!$H$23="",0,'Upto Month Current'!$H$23)</f>
        <v>0</v>
      </c>
      <c r="AH44" s="9">
        <f>IF('Upto Month Current'!$H$24="",0,'Upto Month Current'!$H$24)</f>
        <v>0</v>
      </c>
      <c r="AI44" s="9">
        <f>IF('Upto Month Current'!$H$25="",0,'Upto Month Current'!$H$25)</f>
        <v>20315</v>
      </c>
      <c r="AJ44" s="9">
        <f>IF('Upto Month Current'!$H$28="",0,'Upto Month Current'!$H$28)</f>
        <v>34947</v>
      </c>
      <c r="AK44" s="9">
        <f>IF('Upto Month Current'!$H$29="",0,'Upto Month Current'!$H$29)</f>
        <v>68606</v>
      </c>
      <c r="AL44" s="9">
        <f>IF('Upto Month Current'!$H$31="",0,'Upto Month Current'!$H$31)</f>
        <v>0</v>
      </c>
      <c r="AM44" s="9">
        <f>IF('Upto Month Current'!$H$32="",0,'Upto Month Current'!$H$32)</f>
        <v>0</v>
      </c>
      <c r="AN44" s="9">
        <f>IF('Upto Month Current'!$H$33="",0,'Upto Month Current'!$H$33)</f>
        <v>491395</v>
      </c>
      <c r="AO44" s="9">
        <f>IF('Upto Month Current'!$H$34="",0,'Upto Month Current'!$H$34)</f>
        <v>-4291</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262</v>
      </c>
      <c r="AW44" s="9">
        <f>IF('Upto Month Current'!$H$46="",0,'Upto Month Current'!$H$46)</f>
        <v>2421</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20336</v>
      </c>
      <c r="BC44" s="9">
        <f>IF('Upto Month Current'!$H$54="",0,'Upto Month Current'!$H$54)</f>
        <v>20336</v>
      </c>
      <c r="BD44" s="9">
        <f>IF('Upto Month Current'!$H$55="",0,'Upto Month Current'!$H$55)</f>
        <v>0</v>
      </c>
      <c r="BE44" s="9">
        <f>IF('Upto Month Current'!$H$56="",0,'Upto Month Current'!$H$56)</f>
        <v>12091</v>
      </c>
      <c r="BF44" s="9">
        <f>IF('Upto Month Current'!$H$58="",0,'Upto Month Current'!$H$58)</f>
        <v>47802</v>
      </c>
      <c r="BG44" s="122">
        <f t="shared" si="50"/>
        <v>768922</v>
      </c>
      <c r="BH44" s="123">
        <f t="shared" si="51"/>
        <v>11985527</v>
      </c>
      <c r="BI44" s="9">
        <f>IF('Upto Month Current'!$H$60="",0,'Upto Month Current'!$H$60)</f>
        <v>105</v>
      </c>
      <c r="BJ44" s="124">
        <f t="shared" si="49"/>
        <v>11985422</v>
      </c>
      <c r="BK44">
        <f>'Upto Month Current'!$H$61</f>
        <v>11985426</v>
      </c>
    </row>
    <row r="45" spans="1:63" ht="15.75">
      <c r="A45" s="128"/>
      <c r="B45" s="5" t="s">
        <v>207</v>
      </c>
      <c r="C45" s="126">
        <f t="shared" ref="C45:AH45" si="54">C44/C41</f>
        <v>0.94574042780479795</v>
      </c>
      <c r="D45" s="126">
        <f t="shared" si="54"/>
        <v>2.6890883269871728</v>
      </c>
      <c r="E45" s="126">
        <f t="shared" si="54"/>
        <v>0.96001494595928605</v>
      </c>
      <c r="F45" s="126">
        <f t="shared" si="54"/>
        <v>1.122515786588093</v>
      </c>
      <c r="G45" s="126">
        <f t="shared" si="54"/>
        <v>1.1368641795618202</v>
      </c>
      <c r="H45" s="126" t="e">
        <f t="shared" si="54"/>
        <v>#DIV/0!</v>
      </c>
      <c r="I45" s="126" t="e">
        <f t="shared" si="54"/>
        <v>#DIV/0!</v>
      </c>
      <c r="J45" s="126">
        <f t="shared" si="54"/>
        <v>2.2313969685961665</v>
      </c>
      <c r="K45" s="126">
        <f t="shared" si="54"/>
        <v>1.4035955214918943</v>
      </c>
      <c r="L45" s="126">
        <f t="shared" si="54"/>
        <v>1.6512971916918611</v>
      </c>
      <c r="M45" s="126">
        <f t="shared" si="54"/>
        <v>1.3118480324284363</v>
      </c>
      <c r="N45" s="126">
        <f t="shared" si="54"/>
        <v>1.0792682926829269</v>
      </c>
      <c r="O45" s="126">
        <f t="shared" si="54"/>
        <v>1.2942193408968126</v>
      </c>
      <c r="P45" s="126">
        <f t="shared" si="54"/>
        <v>2.0752669337829062</v>
      </c>
      <c r="Q45" s="126" t="e">
        <f t="shared" si="54"/>
        <v>#DIV/0!</v>
      </c>
      <c r="R45" s="126">
        <f t="shared" si="54"/>
        <v>3.4343649946638206</v>
      </c>
      <c r="S45" s="126" t="e">
        <f t="shared" si="54"/>
        <v>#DIV/0!</v>
      </c>
      <c r="T45" s="126" t="e">
        <f t="shared" si="54"/>
        <v>#DIV/0!</v>
      </c>
      <c r="U45" s="126" t="e">
        <f t="shared" si="54"/>
        <v>#DIV/0!</v>
      </c>
      <c r="V45" s="126" t="e">
        <f t="shared" si="54"/>
        <v>#DIV/0!</v>
      </c>
      <c r="W45" s="126" t="e">
        <f t="shared" si="54"/>
        <v>#DIV/0!</v>
      </c>
      <c r="X45" s="126" t="e">
        <f t="shared" si="54"/>
        <v>#DIV/0!</v>
      </c>
      <c r="Y45" s="126">
        <f t="shared" si="54"/>
        <v>2.8159064327485379</v>
      </c>
      <c r="Z45" s="126">
        <f t="shared" si="54"/>
        <v>5.5555555555555554</v>
      </c>
      <c r="AA45" s="126">
        <f t="shared" si="54"/>
        <v>7.1341853035143767</v>
      </c>
      <c r="AB45" s="126" t="e">
        <f t="shared" si="54"/>
        <v>#DIV/0!</v>
      </c>
      <c r="AC45" s="126">
        <f t="shared" si="54"/>
        <v>1.2588518063650067</v>
      </c>
      <c r="AD45" s="126">
        <f t="shared" si="54"/>
        <v>1.5707341772151899</v>
      </c>
      <c r="AE45" s="126">
        <f t="shared" si="54"/>
        <v>7.1402597402597401</v>
      </c>
      <c r="AF45" s="126">
        <f t="shared" si="54"/>
        <v>5.1161027656886144</v>
      </c>
      <c r="AG45" s="126" t="e">
        <f t="shared" si="54"/>
        <v>#DIV/0!</v>
      </c>
      <c r="AH45" s="126" t="e">
        <f t="shared" si="54"/>
        <v>#DIV/0!</v>
      </c>
      <c r="AI45" s="126">
        <f t="shared" ref="AI45:BJ45" si="55">AI44/AI41</f>
        <v>1.9777063862928348</v>
      </c>
      <c r="AJ45" s="126">
        <f t="shared" si="55"/>
        <v>3.2307478968290653</v>
      </c>
      <c r="AK45" s="126">
        <f t="shared" si="55"/>
        <v>2.3885388016572087</v>
      </c>
      <c r="AL45" s="126" t="e">
        <f t="shared" si="55"/>
        <v>#DIV/0!</v>
      </c>
      <c r="AM45" s="126">
        <f t="shared" si="55"/>
        <v>0</v>
      </c>
      <c r="AN45" s="126">
        <f t="shared" si="55"/>
        <v>1.7264039910762907</v>
      </c>
      <c r="AO45" s="126">
        <f t="shared" si="55"/>
        <v>-2.5532222783786998E-4</v>
      </c>
      <c r="AP45" s="126" t="e">
        <f t="shared" si="55"/>
        <v>#DIV/0!</v>
      </c>
      <c r="AQ45" s="126" t="e">
        <f t="shared" si="55"/>
        <v>#DIV/0!</v>
      </c>
      <c r="AR45" s="126" t="e">
        <f t="shared" si="55"/>
        <v>#DIV/0!</v>
      </c>
      <c r="AS45" s="126" t="e">
        <f t="shared" si="55"/>
        <v>#DIV/0!</v>
      </c>
      <c r="AT45" s="126" t="e">
        <f t="shared" si="55"/>
        <v>#DIV/0!</v>
      </c>
      <c r="AU45" s="126" t="e">
        <f t="shared" si="55"/>
        <v>#DIV/0!</v>
      </c>
      <c r="AV45" s="126">
        <f t="shared" si="55"/>
        <v>1.0274509803921568</v>
      </c>
      <c r="AW45" s="126">
        <f t="shared" si="55"/>
        <v>2.4307228915662651</v>
      </c>
      <c r="AX45" s="126">
        <f t="shared" si="55"/>
        <v>0</v>
      </c>
      <c r="AY45" s="126" t="e">
        <f t="shared" si="55"/>
        <v>#DIV/0!</v>
      </c>
      <c r="AZ45" s="126" t="e">
        <f t="shared" si="55"/>
        <v>#DIV/0!</v>
      </c>
      <c r="BA45" s="126" t="e">
        <f t="shared" si="55"/>
        <v>#DIV/0!</v>
      </c>
      <c r="BB45" s="126">
        <f t="shared" si="55"/>
        <v>5.2958333333333334</v>
      </c>
      <c r="BC45" s="126">
        <f t="shared" si="55"/>
        <v>5.2958333333333334</v>
      </c>
      <c r="BD45" s="126" t="e">
        <f t="shared" si="55"/>
        <v>#DIV/0!</v>
      </c>
      <c r="BE45" s="126">
        <f t="shared" si="55"/>
        <v>1.2241571327326111</v>
      </c>
      <c r="BF45" s="126">
        <f t="shared" si="55"/>
        <v>17.182602444284687</v>
      </c>
      <c r="BG45" s="126">
        <f t="shared" si="55"/>
        <v>4.4757563151091424E-2</v>
      </c>
      <c r="BH45" s="126">
        <f t="shared" si="55"/>
        <v>0.45939340199796874</v>
      </c>
      <c r="BI45" s="126" t="e">
        <f t="shared" si="55"/>
        <v>#DIV/0!</v>
      </c>
      <c r="BJ45" s="126">
        <f t="shared" si="55"/>
        <v>0.45938937745176311</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33</v>
      </c>
      <c r="B47" s="11" t="s">
        <v>211</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33</v>
      </c>
      <c r="B48" s="5" t="s">
        <v>208</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209</v>
      </c>
      <c r="C50" s="9">
        <f>IF('Upto Month Current'!$I$4="",0,'Upto Month Current'!$I$4)</f>
        <v>12248</v>
      </c>
      <c r="D50" s="9">
        <f>IF('Upto Month Current'!$I$5="",0,'Upto Month Current'!$I$5)</f>
        <v>5604</v>
      </c>
      <c r="E50" s="9">
        <f>IF('Upto Month Current'!$I$6="",0,'Upto Month Current'!$I$6)</f>
        <v>486</v>
      </c>
      <c r="F50" s="9">
        <f>IF('Upto Month Current'!$I$7="",0,'Upto Month Current'!$I$7)</f>
        <v>1485</v>
      </c>
      <c r="G50" s="9">
        <f>IF('Upto Month Current'!$I$8="",0,'Upto Month Current'!$I$8)</f>
        <v>716</v>
      </c>
      <c r="H50" s="9">
        <f>IF('Upto Month Current'!$I$9="",0,'Upto Month Current'!$I$9)</f>
        <v>0</v>
      </c>
      <c r="I50" s="9">
        <f>IF('Upto Month Current'!$I$10="",0,'Upto Month Current'!$I$10)</f>
        <v>0</v>
      </c>
      <c r="J50" s="9">
        <f>IF('Upto Month Current'!$I$11="",0,'Upto Month Current'!$I$11)</f>
        <v>578</v>
      </c>
      <c r="K50" s="9">
        <f>IF('Upto Month Current'!$I$12="",0,'Upto Month Current'!$I$12)</f>
        <v>9</v>
      </c>
      <c r="L50" s="9">
        <f>IF('Upto Month Current'!$I$13="",0,'Upto Month Current'!$I$13)</f>
        <v>256</v>
      </c>
      <c r="M50" s="9">
        <f>IF('Upto Month Current'!$I$14="",0,'Upto Month Current'!$I$14)</f>
        <v>223</v>
      </c>
      <c r="N50" s="9">
        <f>IF('Upto Month Current'!$I$15="",0,'Upto Month Current'!$I$15)</f>
        <v>0</v>
      </c>
      <c r="O50" s="9">
        <f>IF('Upto Month Current'!$I$16="",0,'Upto Month Current'!$I$16)</f>
        <v>0</v>
      </c>
      <c r="P50" s="9">
        <f>IF('Upto Month Current'!$I$17="",0,'Upto Month Current'!$I$17)</f>
        <v>186</v>
      </c>
      <c r="Q50" s="9">
        <f>IF('Upto Month Current'!$I$18="",0,'Upto Month Current'!$I$18)</f>
        <v>0</v>
      </c>
      <c r="R50" s="9">
        <f>IF('Upto Month Current'!$I$21="",0,'Upto Month Current'!$I$21)</f>
        <v>108</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89</v>
      </c>
      <c r="Z50" s="9">
        <f>IF('Upto Month Current'!$I$43="",0,'Upto Month Current'!$I$43)</f>
        <v>25</v>
      </c>
      <c r="AA50" s="9">
        <f>IF('Upto Month Current'!$I$44="",0,'Upto Month Current'!$I$44)</f>
        <v>6</v>
      </c>
      <c r="AB50" s="9">
        <f>IF('Upto Month Current'!$I$51="",0,'Upto Month Current'!$I$51)</f>
        <v>0</v>
      </c>
      <c r="AC50" s="121">
        <f t="shared" si="56"/>
        <v>22019</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324471</v>
      </c>
      <c r="AK50" s="9">
        <f>IF('Upto Month Current'!$I$29="",0,'Upto Month Current'!$I$29)</f>
        <v>0</v>
      </c>
      <c r="AL50" s="9">
        <f>IF('Upto Month Current'!$I$31="",0,'Upto Month Current'!$I$31)</f>
        <v>14794081</v>
      </c>
      <c r="AM50" s="9">
        <f>IF('Upto Month Current'!$I$32="",0,'Upto Month Current'!$I$32)</f>
        <v>0</v>
      </c>
      <c r="AN50" s="9">
        <f>IF('Upto Month Current'!$I$33="",0,'Upto Month Current'!$I$33)</f>
        <v>0</v>
      </c>
      <c r="AO50" s="9">
        <f>IF('Upto Month Current'!$I$34="",0,'Upto Month Current'!$I$34)</f>
        <v>4772</v>
      </c>
      <c r="AP50" s="9">
        <f>IF('Upto Month Current'!$I$36="",0,'Upto Month Current'!$I$36)</f>
        <v>0</v>
      </c>
      <c r="AQ50" s="9">
        <f>IF('Upto Month Current'!$I$37="",0,'Upto Month Current'!$I$37)</f>
        <v>114054</v>
      </c>
      <c r="AR50" s="9">
        <v>0</v>
      </c>
      <c r="AS50" s="9">
        <f>IF('Upto Month Current'!$I$38="",0,'Upto Month Current'!$I$38)</f>
        <v>0</v>
      </c>
      <c r="AT50" s="9">
        <f>IF('Upto Month Current'!$I$41="",0,'Upto Month Current'!$I$41)</f>
        <v>91807</v>
      </c>
      <c r="AU50" s="9">
        <v>0</v>
      </c>
      <c r="AV50" s="9">
        <f>IF('Upto Month Current'!$I$45="",0,'Upto Month Current'!$I$45)</f>
        <v>0</v>
      </c>
      <c r="AW50" s="9">
        <f>IF('Upto Month Current'!$I$46="",0,'Upto Month Current'!$I$46)</f>
        <v>0</v>
      </c>
      <c r="AX50" s="9">
        <f>IF('Upto Month Current'!$I$47="",0,'Upto Month Current'!$I$47)</f>
        <v>0</v>
      </c>
      <c r="AY50" s="9">
        <f>IF('Upto Month Current'!$I$49="",0,'Upto Month Current'!$I$49)</f>
        <v>12165</v>
      </c>
      <c r="AZ50" s="9">
        <f>IF('Upto Month Current'!$I$50="",0,'Upto Month Current'!$I$50)</f>
        <v>1546619</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7580</v>
      </c>
      <c r="BF50" s="9">
        <f>IF('Upto Month Current'!$I$58="",0,'Upto Month Current'!$I$58)</f>
        <v>5940</v>
      </c>
      <c r="BG50" s="122">
        <f t="shared" si="58"/>
        <v>16901493</v>
      </c>
      <c r="BH50" s="123">
        <f t="shared" si="59"/>
        <v>16923512</v>
      </c>
      <c r="BI50" s="9">
        <f>IF('Upto Month Current'!$I$60="",0,'Upto Month Current'!$I$60)-'Upto Month Current'!I57</f>
        <v>556315</v>
      </c>
      <c r="BJ50" s="124">
        <f t="shared" si="57"/>
        <v>16367197</v>
      </c>
      <c r="BK50" s="99">
        <f>'Upto Month Current'!$I$61</f>
        <v>16367198</v>
      </c>
    </row>
    <row r="51" spans="1:64" ht="15.75">
      <c r="A51" s="128"/>
      <c r="B51" s="5" t="s">
        <v>207</v>
      </c>
      <c r="C51" s="126">
        <f t="shared" ref="C51:AH51" si="62">C50/C47</f>
        <v>0.82863135105879171</v>
      </c>
      <c r="D51" s="126">
        <f t="shared" si="62"/>
        <v>2.192488262910798</v>
      </c>
      <c r="E51" s="126">
        <f t="shared" si="62"/>
        <v>0.84375</v>
      </c>
      <c r="F51" s="126">
        <f t="shared" si="62"/>
        <v>0.83803611738148986</v>
      </c>
      <c r="G51" s="126">
        <f t="shared" si="62"/>
        <v>1.1311216429699842</v>
      </c>
      <c r="H51" s="126" t="e">
        <f t="shared" si="62"/>
        <v>#DIV/0!</v>
      </c>
      <c r="I51" s="126" t="e">
        <f t="shared" si="62"/>
        <v>#DIV/0!</v>
      </c>
      <c r="J51" s="126">
        <f t="shared" si="62"/>
        <v>1.2959641255605381</v>
      </c>
      <c r="K51" s="126" t="e">
        <f t="shared" si="62"/>
        <v>#DIV/0!</v>
      </c>
      <c r="L51" s="126">
        <f t="shared" si="62"/>
        <v>0.64483627204030225</v>
      </c>
      <c r="M51" s="126">
        <f t="shared" si="62"/>
        <v>1.8739495798319328</v>
      </c>
      <c r="N51" s="126" t="e">
        <f t="shared" si="62"/>
        <v>#DIV/0!</v>
      </c>
      <c r="O51" s="126" t="e">
        <f t="shared" si="62"/>
        <v>#DIV/0!</v>
      </c>
      <c r="P51" s="126">
        <f t="shared" si="62"/>
        <v>1.7064220183486238</v>
      </c>
      <c r="Q51" s="126" t="e">
        <f t="shared" si="62"/>
        <v>#DIV/0!</v>
      </c>
      <c r="R51" s="126">
        <f t="shared" si="62"/>
        <v>2.5714285714285716</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1.0274368904857449</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1.6753288998120572</v>
      </c>
      <c r="AK51" s="126">
        <f t="shared" si="63"/>
        <v>0</v>
      </c>
      <c r="AL51" s="126">
        <f t="shared" si="63"/>
        <v>2.3429858097621237</v>
      </c>
      <c r="AM51" s="126" t="e">
        <f t="shared" si="63"/>
        <v>#DIV/0!</v>
      </c>
      <c r="AN51" s="126" t="e">
        <f t="shared" si="63"/>
        <v>#DIV/0!</v>
      </c>
      <c r="AO51" s="126" t="e">
        <f t="shared" si="63"/>
        <v>#DIV/0!</v>
      </c>
      <c r="AP51" s="126" t="e">
        <f t="shared" si="63"/>
        <v>#DIV/0!</v>
      </c>
      <c r="AQ51" s="126">
        <f t="shared" si="63"/>
        <v>0.12552911887262186</v>
      </c>
      <c r="AR51" s="126" t="e">
        <f t="shared" si="63"/>
        <v>#DIV/0!</v>
      </c>
      <c r="AS51" s="126" t="e">
        <f t="shared" si="63"/>
        <v>#DIV/0!</v>
      </c>
      <c r="AT51" s="126">
        <f t="shared" si="63"/>
        <v>0.16058709523942793</v>
      </c>
      <c r="AU51" s="126" t="e">
        <f t="shared" si="63"/>
        <v>#DIV/0!</v>
      </c>
      <c r="AV51" s="126" t="e">
        <f t="shared" si="63"/>
        <v>#DIV/0!</v>
      </c>
      <c r="AW51" s="126" t="e">
        <f t="shared" si="63"/>
        <v>#DIV/0!</v>
      </c>
      <c r="AX51" s="126" t="e">
        <f t="shared" si="63"/>
        <v>#DIV/0!</v>
      </c>
      <c r="AY51" s="126">
        <f t="shared" si="63"/>
        <v>8.3444226468933916E-2</v>
      </c>
      <c r="AZ51" s="126">
        <f t="shared" si="63"/>
        <v>1.5657303040917439</v>
      </c>
      <c r="BA51" s="126" t="e">
        <f t="shared" si="63"/>
        <v>#DIV/0!</v>
      </c>
      <c r="BB51" s="126" t="e">
        <f t="shared" si="63"/>
        <v>#DIV/0!</v>
      </c>
      <c r="BC51" s="126" t="e">
        <f t="shared" si="63"/>
        <v>#DIV/0!</v>
      </c>
      <c r="BD51" s="126" t="e">
        <f t="shared" si="63"/>
        <v>#DIV/0!</v>
      </c>
      <c r="BE51" s="126" t="e">
        <f t="shared" si="63"/>
        <v>#DIV/0!</v>
      </c>
      <c r="BF51" s="126">
        <f t="shared" si="63"/>
        <v>6.8943104528888785E-2</v>
      </c>
      <c r="BG51" s="126">
        <f t="shared" si="63"/>
        <v>1.8335314601865915</v>
      </c>
      <c r="BH51" s="126">
        <f t="shared" si="63"/>
        <v>1.8316617116357057</v>
      </c>
      <c r="BI51" s="126">
        <f t="shared" si="63"/>
        <v>0.91914759331252649</v>
      </c>
      <c r="BJ51" s="126">
        <f t="shared" si="63"/>
        <v>1.8956284209965508</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140</v>
      </c>
      <c r="B53" s="11" t="s">
        <v>211</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140</v>
      </c>
      <c r="B54" s="5" t="s">
        <v>208</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209</v>
      </c>
      <c r="C56" s="9">
        <f>IF('Upto Month Current'!$J$4="",0,'Upto Month Current'!$J$4)</f>
        <v>723020</v>
      </c>
      <c r="D56" s="9">
        <f>IF('Upto Month Current'!$J$5="",0,'Upto Month Current'!$J$5)</f>
        <v>327136</v>
      </c>
      <c r="E56" s="9">
        <f>IF('Upto Month Current'!$J$6="",0,'Upto Month Current'!$J$6)</f>
        <v>25532</v>
      </c>
      <c r="F56" s="9">
        <f>IF('Upto Month Current'!$J$7="",0,'Upto Month Current'!$J$7)</f>
        <v>72938</v>
      </c>
      <c r="G56" s="9">
        <f>IF('Upto Month Current'!$J$8="",0,'Upto Month Current'!$J$8)</f>
        <v>51546</v>
      </c>
      <c r="H56" s="9">
        <f>IF('Upto Month Current'!$J$9="",0,'Upto Month Current'!$J$9)</f>
        <v>0</v>
      </c>
      <c r="I56" s="9">
        <f>IF('Upto Month Current'!$J$10="",0,'Upto Month Current'!$J$10)</f>
        <v>0</v>
      </c>
      <c r="J56" s="9">
        <f>IF('Upto Month Current'!$J$11="",0,'Upto Month Current'!$J$11)</f>
        <v>11</v>
      </c>
      <c r="K56" s="9">
        <f>IF('Upto Month Current'!$J$12="",0,'Upto Month Current'!$J$12)</f>
        <v>642</v>
      </c>
      <c r="L56" s="9">
        <f>IF('Upto Month Current'!$J$13="",0,'Upto Month Current'!$J$13)</f>
        <v>2283</v>
      </c>
      <c r="M56" s="9">
        <f>IF('Upto Month Current'!$J$14="",0,'Upto Month Current'!$J$14)</f>
        <v>64561</v>
      </c>
      <c r="N56" s="9">
        <f>IF('Upto Month Current'!$J$15="",0,'Upto Month Current'!$J$15)</f>
        <v>9483</v>
      </c>
      <c r="O56" s="9">
        <f>IF('Upto Month Current'!$J$16="",0,'Upto Month Current'!$J$16)</f>
        <v>2535</v>
      </c>
      <c r="P56" s="9">
        <f>IF('Upto Month Current'!$J$17="",0,'Upto Month Current'!$J$17)</f>
        <v>10980</v>
      </c>
      <c r="Q56" s="9">
        <f>IF('Upto Month Current'!$J$18="",0,'Upto Month Current'!$J$18)</f>
        <v>0</v>
      </c>
      <c r="R56" s="9">
        <f>IF('Upto Month Current'!$J$21="",0,'Upto Month Current'!$J$21)</f>
        <v>2882</v>
      </c>
      <c r="S56" s="9">
        <f>IF('Upto Month Current'!$J$26="",0,'Upto Month Current'!$J$26)</f>
        <v>999246</v>
      </c>
      <c r="T56" s="9">
        <f>IF('Upto Month Current'!$J$27="",0,'Upto Month Current'!$J$27)</f>
        <v>1719784</v>
      </c>
      <c r="U56" s="9">
        <f>IF('Upto Month Current'!$J$30="",0,'Upto Month Current'!$J$30)</f>
        <v>0</v>
      </c>
      <c r="V56" s="9">
        <f>IF('Upto Month Current'!$J$35="",0,'Upto Month Current'!$J$35)</f>
        <v>0</v>
      </c>
      <c r="W56" s="9">
        <f>IF('Upto Month Current'!$J$39="",0,'Upto Month Current'!$J$39)</f>
        <v>96</v>
      </c>
      <c r="X56" s="9">
        <f>IF('Upto Month Current'!$J$40="",0,'Upto Month Current'!$J$40)</f>
        <v>0</v>
      </c>
      <c r="Y56" s="9">
        <f>IF('Upto Month Current'!$J$42="",0,'Upto Month Current'!$J$42)</f>
        <v>1271</v>
      </c>
      <c r="Z56" s="9">
        <f>IF('Upto Month Current'!$J$43="",0,'Upto Month Current'!$J$43)</f>
        <v>355</v>
      </c>
      <c r="AA56" s="9">
        <f>IF('Upto Month Current'!$J$44="",0,'Upto Month Current'!$J$44)</f>
        <v>278</v>
      </c>
      <c r="AB56" s="9">
        <f>IF('Upto Month Current'!$J$51="",0,'Upto Month Current'!$J$51)</f>
        <v>0</v>
      </c>
      <c r="AC56" s="121">
        <f t="shared" si="64"/>
        <v>4014579</v>
      </c>
      <c r="AD56" s="9">
        <f>IF('Upto Month Current'!$J$19="",0,'Upto Month Current'!$J$19)</f>
        <v>560</v>
      </c>
      <c r="AE56" s="9">
        <f>IF('Upto Month Current'!$J$20="",0,'Upto Month Current'!$J$20)</f>
        <v>120</v>
      </c>
      <c r="AF56" s="9">
        <f>IF('Upto Month Current'!$J$22="",0,'Upto Month Current'!$J$22)</f>
        <v>2144</v>
      </c>
      <c r="AG56" s="9">
        <f>IF('Upto Month Current'!$J$23="",0,'Upto Month Current'!$J$23)</f>
        <v>0</v>
      </c>
      <c r="AH56" s="9">
        <f>IF('Upto Month Current'!$J$24="",0,'Upto Month Current'!$J$24)</f>
        <v>0</v>
      </c>
      <c r="AI56" s="9">
        <f>IF('Upto Month Current'!$J$25="",0,'Upto Month Current'!$J$25)</f>
        <v>119</v>
      </c>
      <c r="AJ56" s="9">
        <f>IF('Upto Month Current'!$J$28="",0,'Upto Month Current'!$J$28)</f>
        <v>2646</v>
      </c>
      <c r="AK56" s="9">
        <f>IF('Upto Month Current'!$J$29="",0,'Upto Month Current'!$J$29)</f>
        <v>383940</v>
      </c>
      <c r="AL56" s="9">
        <f>IF('Upto Month Current'!$J$31="",0,'Upto Month Current'!$J$31)</f>
        <v>166697</v>
      </c>
      <c r="AM56" s="9">
        <f>IF('Upto Month Current'!$J$32="",0,'Upto Month Current'!$J$32)</f>
        <v>151</v>
      </c>
      <c r="AN56" s="9">
        <f>IF('Upto Month Current'!$J$33="",0,'Upto Month Current'!$J$33)</f>
        <v>452710</v>
      </c>
      <c r="AO56" s="9">
        <f>IF('Upto Month Current'!$J$34="",0,'Upto Month Current'!$J$34)</f>
        <v>278</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63</v>
      </c>
      <c r="AW56" s="9">
        <f>IF('Upto Month Current'!$J$46="",0,'Upto Month Current'!$J$46)</f>
        <v>263</v>
      </c>
      <c r="AX56" s="9">
        <f>IF('Upto Month Current'!$J$47="",0,'Upto Month Current'!$J$47)</f>
        <v>516</v>
      </c>
      <c r="AY56" s="9">
        <f>IF('Upto Month Current'!$J$49="",0,'Upto Month Current'!$J$49)</f>
        <v>0</v>
      </c>
      <c r="AZ56" s="9">
        <f>IF('Upto Month Current'!$J$50="",0,'Upto Month Current'!$J$50)</f>
        <v>0</v>
      </c>
      <c r="BA56" s="9">
        <f>IF('Upto Month Current'!$J$52="",0,'Upto Month Current'!$J$52)</f>
        <v>0</v>
      </c>
      <c r="BB56" s="9">
        <f>IF('Upto Month Current'!$J$53="",0,'Upto Month Current'!$J$53)</f>
        <v>50138</v>
      </c>
      <c r="BC56" s="9">
        <f>IF('Upto Month Current'!$J$54="",0,'Upto Month Current'!$J$54)</f>
        <v>50138</v>
      </c>
      <c r="BD56" s="9">
        <f>IF('Upto Month Current'!$J$55="",0,'Upto Month Current'!$J$55)</f>
        <v>0</v>
      </c>
      <c r="BE56" s="9">
        <f>IF('Upto Month Current'!$J$56="",0,'Upto Month Current'!$J$56)</f>
        <v>10750</v>
      </c>
      <c r="BF56" s="9">
        <f>IF('Upto Month Current'!$J$58="",0,'Upto Month Current'!$J$58)</f>
        <v>59977</v>
      </c>
      <c r="BG56" s="122">
        <f t="shared" si="66"/>
        <v>1181210</v>
      </c>
      <c r="BH56" s="123">
        <f t="shared" si="67"/>
        <v>5195789</v>
      </c>
      <c r="BI56" s="9">
        <f>IF('Upto Month Current'!$J$60="",0,'Upto Month Current'!$J$60)</f>
        <v>0</v>
      </c>
      <c r="BJ56" s="124">
        <f t="shared" si="65"/>
        <v>5195789</v>
      </c>
      <c r="BK56">
        <f>'Upto Month Current'!$J$61</f>
        <v>5195789</v>
      </c>
      <c r="BL56" s="30"/>
    </row>
    <row r="57" spans="1:64" ht="15.75">
      <c r="A57" s="128"/>
      <c r="B57" s="5" t="s">
        <v>207</v>
      </c>
      <c r="C57" s="126">
        <f t="shared" ref="C57:AH57" si="69">C56/C53</f>
        <v>0.81845236410727207</v>
      </c>
      <c r="D57" s="126">
        <f t="shared" si="69"/>
        <v>2.2887206682804653</v>
      </c>
      <c r="E57" s="126">
        <f t="shared" si="69"/>
        <v>0.67108237396835413</v>
      </c>
      <c r="F57" s="126">
        <f t="shared" si="69"/>
        <v>1.0551609403254973</v>
      </c>
      <c r="G57" s="126">
        <f t="shared" si="69"/>
        <v>0.8121061255356693</v>
      </c>
      <c r="H57" s="126" t="e">
        <f t="shared" si="69"/>
        <v>#DIV/0!</v>
      </c>
      <c r="I57" s="126" t="e">
        <f t="shared" si="69"/>
        <v>#DIV/0!</v>
      </c>
      <c r="J57" s="126" t="e">
        <f t="shared" si="69"/>
        <v>#DIV/0!</v>
      </c>
      <c r="K57" s="126">
        <f t="shared" si="69"/>
        <v>4.5857142857142854</v>
      </c>
      <c r="L57" s="126">
        <f t="shared" si="69"/>
        <v>1.5477966101694915</v>
      </c>
      <c r="M57" s="126">
        <f t="shared" si="69"/>
        <v>1.0277631851250457</v>
      </c>
      <c r="N57" s="126">
        <f t="shared" si="69"/>
        <v>1.6452116585704373</v>
      </c>
      <c r="O57" s="126">
        <f t="shared" si="69"/>
        <v>1.2347783731125184</v>
      </c>
      <c r="P57" s="126">
        <f t="shared" si="69"/>
        <v>1.3411506046170758</v>
      </c>
      <c r="Q57" s="126" t="e">
        <f t="shared" si="69"/>
        <v>#DIV/0!</v>
      </c>
      <c r="R57" s="126">
        <f t="shared" si="69"/>
        <v>2.9498464687819856</v>
      </c>
      <c r="S57" s="126">
        <f t="shared" si="69"/>
        <v>1.3101686803857424</v>
      </c>
      <c r="T57" s="126">
        <f t="shared" si="69"/>
        <v>1.7137054866388919</v>
      </c>
      <c r="U57" s="126" t="e">
        <f t="shared" si="69"/>
        <v>#DIV/0!</v>
      </c>
      <c r="V57" s="126" t="e">
        <f t="shared" si="69"/>
        <v>#DIV/0!</v>
      </c>
      <c r="W57" s="126" t="e">
        <f t="shared" si="69"/>
        <v>#DIV/0!</v>
      </c>
      <c r="X57" s="126" t="e">
        <f t="shared" si="69"/>
        <v>#DIV/0!</v>
      </c>
      <c r="Y57" s="126">
        <f t="shared" si="69"/>
        <v>6.1105769230769234</v>
      </c>
      <c r="Z57" s="126">
        <f t="shared" si="69"/>
        <v>25.357142857142858</v>
      </c>
      <c r="AA57" s="126">
        <f t="shared" si="69"/>
        <v>1.2192982456140351</v>
      </c>
      <c r="AB57" s="126" t="e">
        <f t="shared" si="69"/>
        <v>#DIV/0!</v>
      </c>
      <c r="AC57" s="126">
        <f t="shared" si="69"/>
        <v>1.318386008076659</v>
      </c>
      <c r="AD57" s="126">
        <f t="shared" si="69"/>
        <v>0.33816425120772947</v>
      </c>
      <c r="AE57" s="126">
        <f t="shared" si="69"/>
        <v>1.2244897959183674</v>
      </c>
      <c r="AF57" s="126">
        <f t="shared" si="69"/>
        <v>1.7459283387622151</v>
      </c>
      <c r="AG57" s="126" t="e">
        <f t="shared" si="69"/>
        <v>#DIV/0!</v>
      </c>
      <c r="AH57" s="126" t="e">
        <f t="shared" si="69"/>
        <v>#DIV/0!</v>
      </c>
      <c r="AI57" s="126">
        <f t="shared" ref="AI57:BJ57" si="70">AI56/AI53</f>
        <v>6.6111111111111107</v>
      </c>
      <c r="AJ57" s="126">
        <f t="shared" si="70"/>
        <v>0.47444862829478213</v>
      </c>
      <c r="AK57" s="126">
        <f t="shared" si="70"/>
        <v>1.7268924571582782</v>
      </c>
      <c r="AL57" s="126">
        <f t="shared" si="70"/>
        <v>0.89309459901098842</v>
      </c>
      <c r="AM57" s="126" t="e">
        <f t="shared" si="70"/>
        <v>#DIV/0!</v>
      </c>
      <c r="AN57" s="126">
        <f t="shared" si="70"/>
        <v>1.3968133488839933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0.23247232472324722</v>
      </c>
      <c r="AW57" s="126">
        <f t="shared" si="70"/>
        <v>1.073469387755102</v>
      </c>
      <c r="AX57" s="126">
        <f t="shared" si="70"/>
        <v>0.87457627118644066</v>
      </c>
      <c r="AY57" s="126" t="e">
        <f t="shared" si="70"/>
        <v>#DIV/0!</v>
      </c>
      <c r="AZ57" s="126" t="e">
        <f t="shared" si="70"/>
        <v>#DIV/0!</v>
      </c>
      <c r="BA57" s="126" t="e">
        <f t="shared" si="70"/>
        <v>#DIV/0!</v>
      </c>
      <c r="BB57" s="126">
        <f t="shared" si="70"/>
        <v>2.3593242670933132</v>
      </c>
      <c r="BC57" s="126">
        <f t="shared" si="70"/>
        <v>2.3593242670933132</v>
      </c>
      <c r="BD57" s="126">
        <f t="shared" si="70"/>
        <v>0</v>
      </c>
      <c r="BE57" s="126">
        <f t="shared" si="70"/>
        <v>5.7150451887293992</v>
      </c>
      <c r="BF57" s="126">
        <f t="shared" si="70"/>
        <v>-0.58153312131554458</v>
      </c>
      <c r="BG57" s="126">
        <f t="shared" si="70"/>
        <v>1.7264305925821992</v>
      </c>
      <c r="BH57" s="126">
        <f t="shared" si="70"/>
        <v>1.3932482101691406</v>
      </c>
      <c r="BI57" s="126">
        <f t="shared" si="70"/>
        <v>0</v>
      </c>
      <c r="BJ57" s="126">
        <f t="shared" si="70"/>
        <v>1.3932855710517347</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40</v>
      </c>
      <c r="B59" s="11" t="s">
        <v>211</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208</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209</v>
      </c>
      <c r="C62" s="9">
        <f>IF('Upto Month Current'!$K$4="",0,'Upto Month Current'!$K$4)</f>
        <v>1615197</v>
      </c>
      <c r="D62" s="9">
        <f>IF('Upto Month Current'!$K$5="",0,'Upto Month Current'!$K$5)</f>
        <v>714890</v>
      </c>
      <c r="E62" s="9">
        <f>IF('Upto Month Current'!$K$6="",0,'Upto Month Current'!$K$6)</f>
        <v>24571</v>
      </c>
      <c r="F62" s="9">
        <f>IF('Upto Month Current'!$K$7="",0,'Upto Month Current'!$K$7)</f>
        <v>160352</v>
      </c>
      <c r="G62" s="9">
        <f>IF('Upto Month Current'!$K$8="",0,'Upto Month Current'!$K$8)</f>
        <v>97152</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2386</v>
      </c>
      <c r="M62" s="9">
        <f>IF('Upto Month Current'!$K$14="",0,'Upto Month Current'!$K$14)</f>
        <v>146844</v>
      </c>
      <c r="N62" s="9">
        <f>IF('Upto Month Current'!$K$15="",0,'Upto Month Current'!$K$15)</f>
        <v>558</v>
      </c>
      <c r="O62" s="9">
        <f>IF('Upto Month Current'!$K$16="",0,'Upto Month Current'!$K$16)</f>
        <v>15170</v>
      </c>
      <c r="P62" s="9">
        <f>IF('Upto Month Current'!$K$17="",0,'Upto Month Current'!$K$17)</f>
        <v>167699</v>
      </c>
      <c r="Q62" s="9">
        <f>IF('Upto Month Current'!$K$18="",0,'Upto Month Current'!$K$18)</f>
        <v>0</v>
      </c>
      <c r="R62" s="9">
        <f>IF('Upto Month Current'!$K$21="",0,'Upto Month Current'!$K$21)</f>
        <v>7093</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37</v>
      </c>
      <c r="X62" s="9">
        <f>IF('Upto Month Current'!$K$40="",0,'Upto Month Current'!$K$40)</f>
        <v>0</v>
      </c>
      <c r="Y62" s="9">
        <f>IF('Upto Month Current'!$K$42="",0,'Upto Month Current'!$K$42)</f>
        <v>8661</v>
      </c>
      <c r="Z62" s="9">
        <f>IF('Upto Month Current'!$K$43="",0,'Upto Month Current'!$K$43)</f>
        <v>2240</v>
      </c>
      <c r="AA62" s="9">
        <f>IF('Upto Month Current'!$K$44="",0,'Upto Month Current'!$K$44)</f>
        <v>1897</v>
      </c>
      <c r="AB62" s="9">
        <f>IF('Upto Month Current'!$K$51="",0,'Upto Month Current'!$K$51)</f>
        <v>0</v>
      </c>
      <c r="AC62" s="121">
        <f t="shared" si="71"/>
        <v>2964747</v>
      </c>
      <c r="AD62" s="9">
        <f>IF('Upto Month Current'!$K$19="",0,'Upto Month Current'!$K$19)</f>
        <v>6585</v>
      </c>
      <c r="AE62" s="9">
        <f>IF('Upto Month Current'!$K$20="",0,'Upto Month Current'!$K$20)</f>
        <v>514</v>
      </c>
      <c r="AF62" s="9">
        <f>IF('Upto Month Current'!$K$22="",0,'Upto Month Current'!$K$22)</f>
        <v>0</v>
      </c>
      <c r="AG62" s="9">
        <f>IF('Upto Month Current'!$K$23="",0,'Upto Month Current'!$K$23)</f>
        <v>0</v>
      </c>
      <c r="AH62" s="9">
        <f>IF('Upto Month Current'!$K$24="",0,'Upto Month Current'!$K$24)</f>
        <v>0</v>
      </c>
      <c r="AI62" s="9">
        <f>IF('Upto Month Current'!$K$25="",0,'Upto Month Current'!$K$25)</f>
        <v>112</v>
      </c>
      <c r="AJ62" s="9">
        <f>IF('Upto Month Current'!$K$28="",0,'Upto Month Current'!$K$28)</f>
        <v>5728</v>
      </c>
      <c r="AK62" s="9">
        <f>IF('Upto Month Current'!$K$29="",0,'Upto Month Current'!$K$29)</f>
        <v>24778</v>
      </c>
      <c r="AL62" s="9">
        <f>IF('Upto Month Current'!$K$31="",0,'Upto Month Current'!$K$31)</f>
        <v>214</v>
      </c>
      <c r="AM62" s="9">
        <f>IF('Upto Month Current'!$K$32="",0,'Upto Month Current'!$K$32)</f>
        <v>706</v>
      </c>
      <c r="AN62" s="9">
        <f>IF('Upto Month Current'!$K$33="",0,'Upto Month Current'!$K$33)</f>
        <v>139298</v>
      </c>
      <c r="AO62" s="9">
        <f>IF('Upto Month Current'!$K$34="",0,'Upto Month Current'!$K$34)</f>
        <v>236024</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2341</v>
      </c>
      <c r="AW62" s="9">
        <f>IF('Upto Month Current'!$K$46="",0,'Upto Month Current'!$K$46)</f>
        <v>1147</v>
      </c>
      <c r="AX62" s="9">
        <f>IF('Upto Month Current'!$K$47="",0,'Upto Month Current'!$K$47)</f>
        <v>174</v>
      </c>
      <c r="AY62" s="9">
        <f>IF('Upto Month Current'!$K$49="",0,'Upto Month Current'!$K$49)</f>
        <v>0</v>
      </c>
      <c r="AZ62" s="9">
        <f>IF('Upto Month Current'!$K$50="",0,'Upto Month Current'!$K$50)</f>
        <v>0</v>
      </c>
      <c r="BA62" s="9">
        <f>IF('Upto Month Current'!$K$52="",0,'Upto Month Current'!$K$52)</f>
        <v>0</v>
      </c>
      <c r="BB62" s="9">
        <f>IF('Upto Month Current'!$K$53="",0,'Upto Month Current'!$K$53)</f>
        <v>3375</v>
      </c>
      <c r="BC62" s="9">
        <f>IF('Upto Month Current'!$K$54="",0,'Upto Month Current'!$K$54)</f>
        <v>3372</v>
      </c>
      <c r="BD62" s="9">
        <f>IF('Upto Month Current'!$K$55="",0,'Upto Month Current'!$K$55)</f>
        <v>3</v>
      </c>
      <c r="BE62" s="9">
        <f>IF('Upto Month Current'!$K$56="",0,'Upto Month Current'!$K$56)</f>
        <v>2397</v>
      </c>
      <c r="BF62" s="9">
        <f>IF('Upto Month Current'!$K$58="",0,'Upto Month Current'!$K$58)</f>
        <v>1239773</v>
      </c>
      <c r="BG62" s="122">
        <f t="shared" si="73"/>
        <v>1666541</v>
      </c>
      <c r="BH62" s="123">
        <f t="shared" si="74"/>
        <v>4631288</v>
      </c>
      <c r="BI62" s="9">
        <f>IF('Upto Month Current'!$K$60="",0,'Upto Month Current'!$K$60)</f>
        <v>65</v>
      </c>
      <c r="BJ62" s="124">
        <f t="shared" si="72"/>
        <v>4631223</v>
      </c>
      <c r="BK62">
        <f>'Upto Month Current'!$K$61</f>
        <v>4631283</v>
      </c>
    </row>
    <row r="63" spans="1:64" ht="15.75">
      <c r="A63" s="128"/>
      <c r="B63" s="5" t="s">
        <v>207</v>
      </c>
      <c r="C63" s="126">
        <f t="shared" ref="C63:AH63" si="77">C62/C59</f>
        <v>1.2250596148245232</v>
      </c>
      <c r="D63" s="126">
        <f t="shared" si="77"/>
        <v>2.8042269929746246</v>
      </c>
      <c r="E63" s="126">
        <f t="shared" si="77"/>
        <v>0.97639578780051661</v>
      </c>
      <c r="F63" s="126">
        <f t="shared" si="77"/>
        <v>1.2407592252992563</v>
      </c>
      <c r="G63" s="126">
        <f t="shared" si="77"/>
        <v>1.1255517580953485</v>
      </c>
      <c r="H63" s="126" t="e">
        <f t="shared" si="77"/>
        <v>#DIV/0!</v>
      </c>
      <c r="I63" s="126" t="e">
        <f t="shared" si="77"/>
        <v>#DIV/0!</v>
      </c>
      <c r="J63" s="126">
        <f t="shared" si="77"/>
        <v>0</v>
      </c>
      <c r="K63" s="126">
        <f t="shared" si="77"/>
        <v>0</v>
      </c>
      <c r="L63" s="126">
        <f t="shared" si="77"/>
        <v>1.9304207119741101</v>
      </c>
      <c r="M63" s="126">
        <f t="shared" si="77"/>
        <v>1.2810035592155768</v>
      </c>
      <c r="N63" s="126">
        <f t="shared" si="77"/>
        <v>0.76965517241379311</v>
      </c>
      <c r="O63" s="126">
        <f t="shared" si="77"/>
        <v>0.75069279493269991</v>
      </c>
      <c r="P63" s="126">
        <f t="shared" si="77"/>
        <v>1.5803515054422088</v>
      </c>
      <c r="Q63" s="126" t="e">
        <f t="shared" si="77"/>
        <v>#DIV/0!</v>
      </c>
      <c r="R63" s="126">
        <f t="shared" si="77"/>
        <v>2.37701072386059</v>
      </c>
      <c r="S63" s="126" t="e">
        <f t="shared" si="77"/>
        <v>#DIV/0!</v>
      </c>
      <c r="T63" s="126" t="e">
        <f t="shared" si="77"/>
        <v>#DIV/0!</v>
      </c>
      <c r="U63" s="126" t="e">
        <f t="shared" si="77"/>
        <v>#DIV/0!</v>
      </c>
      <c r="V63" s="126" t="e">
        <f t="shared" si="77"/>
        <v>#DIV/0!</v>
      </c>
      <c r="W63" s="126" t="e">
        <f t="shared" si="77"/>
        <v>#DIV/0!</v>
      </c>
      <c r="X63" s="126" t="e">
        <f t="shared" si="77"/>
        <v>#DIV/0!</v>
      </c>
      <c r="Y63" s="126">
        <f t="shared" si="77"/>
        <v>4.6968546637744035</v>
      </c>
      <c r="Z63" s="126">
        <f t="shared" si="77"/>
        <v>3.2091690544412605</v>
      </c>
      <c r="AA63" s="126">
        <f t="shared" si="77"/>
        <v>4.2629213483146069</v>
      </c>
      <c r="AB63" s="126" t="e">
        <f t="shared" si="77"/>
        <v>#DIV/0!</v>
      </c>
      <c r="AC63" s="126">
        <f t="shared" si="77"/>
        <v>1.4197932719521644</v>
      </c>
      <c r="AD63" s="126">
        <f t="shared" si="77"/>
        <v>0.54255582104309141</v>
      </c>
      <c r="AE63" s="126">
        <f t="shared" si="77"/>
        <v>6.8533333333333335</v>
      </c>
      <c r="AF63" s="126">
        <f t="shared" si="77"/>
        <v>0</v>
      </c>
      <c r="AG63" s="126" t="e">
        <f t="shared" si="77"/>
        <v>#DIV/0!</v>
      </c>
      <c r="AH63" s="126" t="e">
        <f t="shared" si="77"/>
        <v>#DIV/0!</v>
      </c>
      <c r="AI63" s="126">
        <f t="shared" ref="AI63:BJ63" si="78">AI62/AI59</f>
        <v>37.333333333333336</v>
      </c>
      <c r="AJ63" s="126">
        <f t="shared" si="78"/>
        <v>1.5560988861722358</v>
      </c>
      <c r="AK63" s="126">
        <f t="shared" si="78"/>
        <v>2.4285014211506422</v>
      </c>
      <c r="AL63" s="126">
        <f t="shared" si="78"/>
        <v>0.91845493562231761</v>
      </c>
      <c r="AM63" s="126">
        <f t="shared" si="78"/>
        <v>141.19999999999999</v>
      </c>
      <c r="AN63" s="126">
        <f t="shared" si="78"/>
        <v>1.4720123426784035</v>
      </c>
      <c r="AO63" s="126">
        <f t="shared" si="78"/>
        <v>1.2104353534265684</v>
      </c>
      <c r="AP63" s="126" t="e">
        <f t="shared" si="78"/>
        <v>#DIV/0!</v>
      </c>
      <c r="AQ63" s="126" t="e">
        <f t="shared" si="78"/>
        <v>#DIV/0!</v>
      </c>
      <c r="AR63" s="126" t="e">
        <f t="shared" si="78"/>
        <v>#DIV/0!</v>
      </c>
      <c r="AS63" s="126" t="e">
        <f t="shared" si="78"/>
        <v>#DIV/0!</v>
      </c>
      <c r="AT63" s="126" t="e">
        <f t="shared" si="78"/>
        <v>#DIV/0!</v>
      </c>
      <c r="AU63" s="126" t="e">
        <f t="shared" si="78"/>
        <v>#DIV/0!</v>
      </c>
      <c r="AV63" s="126">
        <f t="shared" si="78"/>
        <v>1.4576587795765878</v>
      </c>
      <c r="AW63" s="126">
        <f t="shared" si="78"/>
        <v>1.1539235412474849</v>
      </c>
      <c r="AX63" s="126">
        <f t="shared" si="78"/>
        <v>5.2727272727272725</v>
      </c>
      <c r="AY63" s="126" t="e">
        <f t="shared" si="78"/>
        <v>#DIV/0!</v>
      </c>
      <c r="AZ63" s="126" t="e">
        <f t="shared" si="78"/>
        <v>#DIV/0!</v>
      </c>
      <c r="BA63" s="126" t="e">
        <f t="shared" si="78"/>
        <v>#DIV/0!</v>
      </c>
      <c r="BB63" s="126">
        <f t="shared" si="78"/>
        <v>0.98597721297107799</v>
      </c>
      <c r="BC63" s="126">
        <f t="shared" si="78"/>
        <v>0.98510078878177043</v>
      </c>
      <c r="BD63" s="126">
        <f t="shared" si="78"/>
        <v>4.9180327868852458E-2</v>
      </c>
      <c r="BE63" s="126">
        <f t="shared" si="78"/>
        <v>43.581818181818178</v>
      </c>
      <c r="BF63" s="126">
        <f t="shared" si="78"/>
        <v>1.3430640249682317</v>
      </c>
      <c r="BG63" s="126">
        <f t="shared" si="78"/>
        <v>1.3342607144544156</v>
      </c>
      <c r="BH63" s="126">
        <f t="shared" si="78"/>
        <v>1.3877803218335421</v>
      </c>
      <c r="BI63" s="126">
        <f t="shared" si="78"/>
        <v>3.4017877703112896E-4</v>
      </c>
      <c r="BJ63" s="126">
        <f t="shared" si="78"/>
        <v>1.4720450460329644</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141</v>
      </c>
      <c r="B65" s="11" t="s">
        <v>211</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141</v>
      </c>
      <c r="B66" s="5" t="s">
        <v>208</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209</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3549910</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3549910</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77065117</v>
      </c>
      <c r="BG68" s="122">
        <f t="shared" si="81"/>
        <v>77065117</v>
      </c>
      <c r="BH68" s="123">
        <f t="shared" si="82"/>
        <v>80615027</v>
      </c>
      <c r="BI68" s="9">
        <f>IF('Upto Month Current'!$L$60="",0,'Upto Month Current'!$L$60)</f>
        <v>77057670</v>
      </c>
      <c r="BJ68" s="124">
        <f t="shared" si="80"/>
        <v>3557357</v>
      </c>
      <c r="BK68">
        <f>'Upto Month Current'!$L$61</f>
        <v>3557357</v>
      </c>
    </row>
    <row r="69" spans="1:63" ht="15.75">
      <c r="A69" s="128"/>
      <c r="B69" s="5" t="s">
        <v>207</v>
      </c>
      <c r="C69" s="126" t="e">
        <f t="shared" ref="C69:AH69" si="85">C68/C65</f>
        <v>#DIV/0!</v>
      </c>
      <c r="D69" s="126" t="e">
        <f t="shared" si="85"/>
        <v>#DIV/0!</v>
      </c>
      <c r="E69" s="126" t="e">
        <f t="shared" si="85"/>
        <v>#DIV/0!</v>
      </c>
      <c r="F69" s="126" t="e">
        <f t="shared" si="85"/>
        <v>#DIV/0!</v>
      </c>
      <c r="G69" s="126" t="e">
        <f t="shared" si="85"/>
        <v>#DIV/0!</v>
      </c>
      <c r="H69" s="126">
        <f t="shared" si="85"/>
        <v>1.3317684344871492</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1.3317684344871492</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1.0718620186531107</v>
      </c>
      <c r="BG69" s="126">
        <f t="shared" si="86"/>
        <v>1.0718620186531107</v>
      </c>
      <c r="BH69" s="126">
        <f t="shared" si="86"/>
        <v>1.0811533278220886</v>
      </c>
      <c r="BI69" s="126">
        <f t="shared" si="86"/>
        <v>1.0723812426415944</v>
      </c>
      <c r="BJ69" s="126">
        <f t="shared" si="86"/>
        <v>1.3139787472246509</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128</v>
      </c>
      <c r="B71" s="11" t="s">
        <v>211</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24946709</v>
      </c>
      <c r="D74" s="5">
        <f t="shared" ref="D74:AB74" si="95">D8+D14+D20+D26+D32+D38+D44+D50+D56+D62+D68</f>
        <v>11893955</v>
      </c>
      <c r="E74" s="5">
        <f t="shared" si="95"/>
        <v>1012665</v>
      </c>
      <c r="F74" s="5">
        <f t="shared" si="95"/>
        <v>3095362</v>
      </c>
      <c r="G74" s="5">
        <f t="shared" si="95"/>
        <v>1719940</v>
      </c>
      <c r="H74" s="5">
        <f t="shared" si="95"/>
        <v>3549910</v>
      </c>
      <c r="I74" s="5">
        <f t="shared" si="95"/>
        <v>0</v>
      </c>
      <c r="J74" s="5">
        <f t="shared" si="95"/>
        <v>2807906</v>
      </c>
      <c r="K74" s="5">
        <f t="shared" si="95"/>
        <v>204072</v>
      </c>
      <c r="L74" s="5">
        <f t="shared" si="95"/>
        <v>775714</v>
      </c>
      <c r="M74" s="5">
        <f t="shared" si="95"/>
        <v>1338630</v>
      </c>
      <c r="N74" s="5">
        <f t="shared" si="95"/>
        <v>14248</v>
      </c>
      <c r="O74" s="5">
        <f t="shared" si="95"/>
        <v>99834</v>
      </c>
      <c r="P74" s="5">
        <f t="shared" si="95"/>
        <v>1199398</v>
      </c>
      <c r="Q74" s="5">
        <f t="shared" si="95"/>
        <v>0</v>
      </c>
      <c r="R74" s="5">
        <f t="shared" si="95"/>
        <v>94447</v>
      </c>
      <c r="S74" s="5">
        <f t="shared" si="95"/>
        <v>999246</v>
      </c>
      <c r="T74" s="5">
        <f t="shared" si="95"/>
        <v>1719784</v>
      </c>
      <c r="U74" s="5">
        <f t="shared" si="95"/>
        <v>0</v>
      </c>
      <c r="V74" s="5">
        <f t="shared" si="95"/>
        <v>620690</v>
      </c>
      <c r="W74" s="5">
        <f t="shared" si="95"/>
        <v>1222</v>
      </c>
      <c r="X74" s="5">
        <f t="shared" si="95"/>
        <v>0</v>
      </c>
      <c r="Y74" s="5">
        <f t="shared" si="95"/>
        <v>43969</v>
      </c>
      <c r="Z74" s="5">
        <f t="shared" si="95"/>
        <v>12314</v>
      </c>
      <c r="AA74" s="5">
        <f t="shared" si="95"/>
        <v>12549</v>
      </c>
      <c r="AB74" s="5">
        <f t="shared" si="95"/>
        <v>1297631</v>
      </c>
      <c r="AC74" s="121">
        <f t="shared" si="88"/>
        <v>57460195</v>
      </c>
      <c r="AD74" s="5">
        <f>AD8+AD14+AD20+AD26+AD32+AD38+AD44+AD50+AD56+AD62+AD68</f>
        <v>58222</v>
      </c>
      <c r="AE74" s="5">
        <f t="shared" ref="AE74:BF74" si="96">AE8+AE14+AE20+AE26+AE32+AE38+AE44+AE50+AE56+AE62+AE68</f>
        <v>28708</v>
      </c>
      <c r="AF74" s="5">
        <f t="shared" si="96"/>
        <v>191996</v>
      </c>
      <c r="AG74" s="5">
        <f t="shared" si="96"/>
        <v>128</v>
      </c>
      <c r="AH74" s="5">
        <f t="shared" si="96"/>
        <v>423</v>
      </c>
      <c r="AI74" s="5">
        <f t="shared" si="96"/>
        <v>28194</v>
      </c>
      <c r="AJ74" s="5">
        <f t="shared" si="96"/>
        <v>1965665</v>
      </c>
      <c r="AK74" s="5">
        <f t="shared" si="96"/>
        <v>1308581</v>
      </c>
      <c r="AL74" s="5">
        <f t="shared" si="96"/>
        <v>15638199</v>
      </c>
      <c r="AM74" s="5">
        <f t="shared" si="96"/>
        <v>437690</v>
      </c>
      <c r="AN74" s="5">
        <f t="shared" si="96"/>
        <v>4102656</v>
      </c>
      <c r="AO74" s="5">
        <f t="shared" si="96"/>
        <v>200259</v>
      </c>
      <c r="AP74" s="5">
        <f t="shared" si="96"/>
        <v>702479</v>
      </c>
      <c r="AQ74" s="5">
        <f t="shared" si="96"/>
        <v>114054</v>
      </c>
      <c r="AR74" s="5">
        <f t="shared" si="96"/>
        <v>0</v>
      </c>
      <c r="AS74" s="5">
        <f t="shared" si="96"/>
        <v>0</v>
      </c>
      <c r="AT74" s="5">
        <f t="shared" si="96"/>
        <v>91807</v>
      </c>
      <c r="AU74" s="5">
        <f t="shared" si="96"/>
        <v>0</v>
      </c>
      <c r="AV74" s="5">
        <f t="shared" si="96"/>
        <v>14285</v>
      </c>
      <c r="AW74" s="5">
        <f t="shared" si="96"/>
        <v>20197</v>
      </c>
      <c r="AX74" s="5">
        <f t="shared" si="96"/>
        <v>4345</v>
      </c>
      <c r="AY74" s="5">
        <f t="shared" si="96"/>
        <v>12165</v>
      </c>
      <c r="AZ74" s="5">
        <f t="shared" si="96"/>
        <v>1546619</v>
      </c>
      <c r="BA74" s="5">
        <f t="shared" si="96"/>
        <v>1461282</v>
      </c>
      <c r="BB74" s="5">
        <f t="shared" si="96"/>
        <v>210730</v>
      </c>
      <c r="BC74" s="5">
        <f t="shared" si="96"/>
        <v>210727</v>
      </c>
      <c r="BD74" s="5">
        <f t="shared" si="96"/>
        <v>3</v>
      </c>
      <c r="BE74" s="5">
        <f t="shared" si="96"/>
        <v>202665</v>
      </c>
      <c r="BF74" s="5">
        <f t="shared" si="96"/>
        <v>79153765</v>
      </c>
      <c r="BG74" s="6">
        <f>BG8+BG14+BG20+BG26+BG32+BG38+BG44+BG50+BG56+BG62+BG68</f>
        <v>107705844</v>
      </c>
      <c r="BH74" s="125">
        <f>AC74+BG74</f>
        <v>165166039</v>
      </c>
      <c r="BI74" s="5">
        <f t="shared" si="92"/>
        <v>77806675</v>
      </c>
      <c r="BJ74" s="49">
        <f t="shared" si="92"/>
        <v>87359364</v>
      </c>
      <c r="BK74" s="30">
        <f>'Upto Month Current'!N61-'Upto Month Current'!M61</f>
        <v>87359996</v>
      </c>
    </row>
    <row r="75" spans="1:63" ht="15.75">
      <c r="A75" s="128"/>
      <c r="B75" s="5" t="s">
        <v>207</v>
      </c>
      <c r="C75" s="126">
        <f t="shared" ref="C75:AH75" si="97">C74/C71</f>
        <v>1.0334741059663226</v>
      </c>
      <c r="D75" s="126">
        <f t="shared" si="97"/>
        <v>2.7689337678966361</v>
      </c>
      <c r="E75" s="126">
        <f t="shared" si="97"/>
        <v>0.98160029544989713</v>
      </c>
      <c r="F75" s="126">
        <f t="shared" si="97"/>
        <v>1.2080965396277625</v>
      </c>
      <c r="G75" s="126">
        <f t="shared" si="97"/>
        <v>1.2887712635943886</v>
      </c>
      <c r="H75" s="126">
        <f t="shared" si="97"/>
        <v>1.3317684344871492</v>
      </c>
      <c r="I75" s="126" t="e">
        <f t="shared" si="97"/>
        <v>#DIV/0!</v>
      </c>
      <c r="J75" s="126">
        <f t="shared" si="97"/>
        <v>2.2142884743530598</v>
      </c>
      <c r="K75" s="126">
        <f t="shared" si="97"/>
        <v>1.0718067226890757</v>
      </c>
      <c r="L75" s="126">
        <f t="shared" si="97"/>
        <v>1.7564277029184205</v>
      </c>
      <c r="M75" s="126">
        <f t="shared" si="97"/>
        <v>1.4326965579021838</v>
      </c>
      <c r="N75" s="126">
        <f t="shared" si="97"/>
        <v>0.98903234763293069</v>
      </c>
      <c r="O75" s="126">
        <f t="shared" si="97"/>
        <v>1.2595919706279413</v>
      </c>
      <c r="P75" s="126">
        <f t="shared" si="97"/>
        <v>1.586505291005291</v>
      </c>
      <c r="Q75" s="126" t="e">
        <f t="shared" si="97"/>
        <v>#DIV/0!</v>
      </c>
      <c r="R75" s="126">
        <f t="shared" si="97"/>
        <v>2.0988222222222221</v>
      </c>
      <c r="S75" s="126">
        <f t="shared" si="97"/>
        <v>1.3101686803857424</v>
      </c>
      <c r="T75" s="126">
        <f t="shared" si="97"/>
        <v>1.7137054866388919</v>
      </c>
      <c r="U75" s="126" t="e">
        <f t="shared" si="97"/>
        <v>#DIV/0!</v>
      </c>
      <c r="V75" s="126">
        <f t="shared" si="97"/>
        <v>1.9481367327145982</v>
      </c>
      <c r="W75" s="126">
        <f t="shared" si="97"/>
        <v>2.201801801801802</v>
      </c>
      <c r="X75" s="126">
        <f t="shared" si="97"/>
        <v>0</v>
      </c>
      <c r="Y75" s="126">
        <f t="shared" si="97"/>
        <v>5.3890182620419171</v>
      </c>
      <c r="Z75" s="126">
        <f t="shared" si="97"/>
        <v>8.6718309859154932</v>
      </c>
      <c r="AA75" s="126">
        <f t="shared" si="97"/>
        <v>0.27930735159918985</v>
      </c>
      <c r="AB75" s="126">
        <f t="shared" si="97"/>
        <v>0.76669030020502094</v>
      </c>
      <c r="AC75" s="126">
        <f t="shared" si="97"/>
        <v>1.3181951469110429</v>
      </c>
      <c r="AD75" s="126">
        <f t="shared" si="97"/>
        <v>0.47146755634013815</v>
      </c>
      <c r="AE75" s="126">
        <f t="shared" si="97"/>
        <v>0.59336116737629696</v>
      </c>
      <c r="AF75" s="126">
        <f t="shared" si="97"/>
        <v>3.0973591236872249</v>
      </c>
      <c r="AG75" s="126" t="e">
        <f t="shared" si="97"/>
        <v>#DIV/0!</v>
      </c>
      <c r="AH75" s="126">
        <f t="shared" si="97"/>
        <v>3.3839999999999999</v>
      </c>
      <c r="AI75" s="126">
        <f t="shared" ref="AI75:BJ75" si="98">AI74/AI71</f>
        <v>2.5596005447117567</v>
      </c>
      <c r="AJ75" s="126">
        <f t="shared" si="98"/>
        <v>1.5648006330323139</v>
      </c>
      <c r="AK75" s="126">
        <f t="shared" si="98"/>
        <v>1.0302943695949307</v>
      </c>
      <c r="AL75" s="126">
        <f t="shared" si="98"/>
        <v>2.2155946808269484</v>
      </c>
      <c r="AM75" s="126">
        <f t="shared" si="98"/>
        <v>3.9502707581227439</v>
      </c>
      <c r="AN75" s="126">
        <f t="shared" si="98"/>
        <v>1.4619990905838367</v>
      </c>
      <c r="AO75" s="126">
        <f t="shared" si="98"/>
        <v>1.162402741301352E-2</v>
      </c>
      <c r="AP75" s="126">
        <f t="shared" si="98"/>
        <v>8.3979366160982192</v>
      </c>
      <c r="AQ75" s="126">
        <f t="shared" si="98"/>
        <v>0.12552911887262186</v>
      </c>
      <c r="AR75" s="126" t="e">
        <f t="shared" si="98"/>
        <v>#DIV/0!</v>
      </c>
      <c r="AS75" s="126" t="e">
        <f t="shared" si="98"/>
        <v>#DIV/0!</v>
      </c>
      <c r="AT75" s="126">
        <f t="shared" si="98"/>
        <v>0.16058709523942793</v>
      </c>
      <c r="AU75" s="126">
        <f t="shared" si="98"/>
        <v>0</v>
      </c>
      <c r="AV75" s="126">
        <f t="shared" si="98"/>
        <v>0.98714670720751851</v>
      </c>
      <c r="AW75" s="126">
        <f t="shared" si="98"/>
        <v>1.4955201777119584</v>
      </c>
      <c r="AX75" s="126">
        <f t="shared" si="98"/>
        <v>1.4259927797833936</v>
      </c>
      <c r="AY75" s="126">
        <f t="shared" si="98"/>
        <v>8.3444226468933916E-2</v>
      </c>
      <c r="AZ75" s="126">
        <f t="shared" si="98"/>
        <v>1.5657303040917439</v>
      </c>
      <c r="BA75" s="126">
        <f t="shared" si="98"/>
        <v>1.9329126984126983</v>
      </c>
      <c r="BB75" s="126">
        <f t="shared" si="98"/>
        <v>2.9231110679557779</v>
      </c>
      <c r="BC75" s="126">
        <f t="shared" si="98"/>
        <v>2.919788837776423</v>
      </c>
      <c r="BD75" s="126">
        <f t="shared" si="98"/>
        <v>6.9605568445475635E-3</v>
      </c>
      <c r="BE75" s="126">
        <f t="shared" si="98"/>
        <v>5.9889184397163122</v>
      </c>
      <c r="BF75" s="126">
        <f t="shared" si="98"/>
        <v>1.0814698994925722</v>
      </c>
      <c r="BG75" s="126">
        <f t="shared" si="98"/>
        <v>1.00821248888265</v>
      </c>
      <c r="BH75" s="126">
        <f t="shared" si="98"/>
        <v>1.0980428892262821</v>
      </c>
      <c r="BI75" s="126">
        <f t="shared" si="98"/>
        <v>1.0653644857888462</v>
      </c>
      <c r="BJ75" s="126">
        <f t="shared" si="98"/>
        <v>1.1288832198506256</v>
      </c>
    </row>
    <row r="76" spans="1:63">
      <c r="BF76" s="30">
        <f>BF74-BF68</f>
        <v>2088648</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Sheet6</vt:lpstr>
      <vt:lpstr>MR PPT</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2024-03-05T12:17:15Z</cp:lastPrinted>
  <dcterms:created xsi:type="dcterms:W3CDTF">2015-06-05T18:17:20Z</dcterms:created>
  <dcterms:modified xsi:type="dcterms:W3CDTF">2024-03-06T07:55:29Z</dcterms:modified>
</cp:coreProperties>
</file>