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tabRatio="599" activeTab="4"/>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externalReferences>
    <externalReference r:id="rId13"/>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workbook>
</file>

<file path=xl/calcChain.xml><?xml version="1.0" encoding="utf-8"?>
<calcChain xmlns="http://schemas.openxmlformats.org/spreadsheetml/2006/main">
  <c r="BH116" i="2"/>
  <c r="AD116"/>
  <c r="BI116" s="1"/>
  <c r="BK116" s="1"/>
  <c r="BH105"/>
  <c r="AD105"/>
  <c r="BI105" s="1"/>
  <c r="BK105" s="1"/>
  <c r="BH94"/>
  <c r="AD94"/>
  <c r="BI94" s="1"/>
  <c r="BK94" s="1"/>
  <c r="BH83"/>
  <c r="AD83"/>
  <c r="BI83" s="1"/>
  <c r="BK83" s="1"/>
  <c r="BH72"/>
  <c r="AD72"/>
  <c r="BI72" s="1"/>
  <c r="BK72" s="1"/>
  <c r="BM72" s="1"/>
  <c r="BL72"/>
  <c r="BH61"/>
  <c r="AD61"/>
  <c r="BI61" s="1"/>
  <c r="BK61" s="1"/>
  <c r="BH50"/>
  <c r="AD50"/>
  <c r="BI50" s="1"/>
  <c r="BK50" s="1"/>
  <c r="BM50" s="1"/>
  <c r="BH39"/>
  <c r="AD39"/>
  <c r="BI39" s="1"/>
  <c r="BK39" s="1"/>
  <c r="BH28"/>
  <c r="AD28"/>
  <c r="BI28" s="1"/>
  <c r="BK28" s="1"/>
  <c r="BH17"/>
  <c r="AD17"/>
  <c r="BI17" s="1"/>
  <c r="BK17" s="1"/>
  <c r="BH6"/>
  <c r="AD6"/>
  <c r="BI6" s="1"/>
  <c r="BK6" s="1"/>
  <c r="F49" i="4"/>
  <c r="BH2" i="2" l="1"/>
  <c r="BH38"/>
  <c r="I49" i="4"/>
  <c r="M107"/>
  <c r="O77"/>
  <c r="O40"/>
  <c r="O32"/>
  <c r="O11"/>
  <c r="G11" l="1"/>
  <c r="G32" s="1"/>
  <c r="G40" s="1"/>
  <c r="G77" s="1"/>
  <c r="G90" s="1"/>
  <c r="G107" s="1"/>
  <c r="BL116" i="2" l="1"/>
  <c r="BL105"/>
  <c r="BL94"/>
  <c r="BL83"/>
  <c r="BL61"/>
  <c r="BL39"/>
  <c r="BL28"/>
  <c r="BL17"/>
  <c r="BL6"/>
  <c r="BM28" l="1"/>
  <c r="BM83"/>
  <c r="BM94"/>
  <c r="BM39"/>
  <c r="BM105"/>
  <c r="BM116"/>
  <c r="BM61"/>
  <c r="BM17"/>
  <c r="BM6"/>
  <c r="C50" i="4" l="1"/>
  <c r="M90"/>
  <c r="N18" i="2" l="1"/>
  <c r="AS124"/>
  <c r="AV124"/>
  <c r="AS113"/>
  <c r="AV113"/>
  <c r="AS102"/>
  <c r="AV102"/>
  <c r="AS91"/>
  <c r="AV91"/>
  <c r="AS80"/>
  <c r="AV80"/>
  <c r="AS69"/>
  <c r="AV69"/>
  <c r="AS47"/>
  <c r="AV47"/>
  <c r="AS36"/>
  <c r="AV36"/>
  <c r="AS14"/>
  <c r="AV14"/>
  <c r="C95" i="4"/>
  <c r="C99"/>
  <c r="C102"/>
  <c r="C105"/>
  <c r="C7"/>
  <c r="D57" s="1"/>
  <c r="BG29" i="2"/>
  <c r="BJ62"/>
  <c r="BJ73"/>
  <c r="H112" i="4"/>
  <c r="BJ84" i="2"/>
  <c r="I112" i="4" l="1"/>
  <c r="F112"/>
  <c r="C112"/>
  <c r="M111"/>
  <c r="K111"/>
  <c r="L111" s="1"/>
  <c r="M110"/>
  <c r="K110"/>
  <c r="L110" s="1"/>
  <c r="M109"/>
  <c r="K109"/>
  <c r="L109" s="1"/>
  <c r="BG40" i="2"/>
  <c r="L40"/>
  <c r="C37" i="4"/>
  <c r="BH115" i="2"/>
  <c r="AD115"/>
  <c r="BH104"/>
  <c r="AD104"/>
  <c r="BH93"/>
  <c r="AD93"/>
  <c r="BH82"/>
  <c r="AD82"/>
  <c r="H127"/>
  <c r="BH71"/>
  <c r="AD71"/>
  <c r="BH60"/>
  <c r="AD60"/>
  <c r="BH49"/>
  <c r="AD49"/>
  <c r="AD38"/>
  <c r="BH27"/>
  <c r="AD27"/>
  <c r="BH16"/>
  <c r="AD16"/>
  <c r="BH5"/>
  <c r="AD5"/>
  <c r="BJ127" l="1"/>
  <c r="BI115"/>
  <c r="BK115" s="1"/>
  <c r="BM115" s="1"/>
  <c r="BI71"/>
  <c r="BK71" s="1"/>
  <c r="BI60"/>
  <c r="BI49"/>
  <c r="BK49" s="1"/>
  <c r="BM49" s="1"/>
  <c r="BI38"/>
  <c r="BI16"/>
  <c r="BI5"/>
  <c r="BI82"/>
  <c r="BK82" s="1"/>
  <c r="BM82" s="1"/>
  <c r="BI27"/>
  <c r="BI93"/>
  <c r="BK93" s="1"/>
  <c r="BM93" s="1"/>
  <c r="BI104"/>
  <c r="BK104" s="1"/>
  <c r="BM104" s="1"/>
  <c r="M112" i="4"/>
  <c r="K112"/>
  <c r="L112" s="1"/>
  <c r="H107"/>
  <c r="H77"/>
  <c r="H90" s="1"/>
  <c r="H40"/>
  <c r="H32"/>
  <c r="H11"/>
  <c r="H3"/>
  <c r="BM71" i="2" l="1"/>
  <c r="BK16"/>
  <c r="BM16" s="1"/>
  <c r="BK60"/>
  <c r="BK38"/>
  <c r="BK27"/>
  <c r="BK5"/>
  <c r="J77" i="4"/>
  <c r="I77"/>
  <c r="F77"/>
  <c r="F90" s="1"/>
  <c r="F107"/>
  <c r="F105"/>
  <c r="E105"/>
  <c r="F102"/>
  <c r="E102"/>
  <c r="F99"/>
  <c r="E99"/>
  <c r="F95"/>
  <c r="E95"/>
  <c r="C85"/>
  <c r="C74"/>
  <c r="C69"/>
  <c r="C64"/>
  <c r="C55"/>
  <c r="C28"/>
  <c r="D44"/>
  <c r="B83" i="11"/>
  <c r="B69"/>
  <c r="B64"/>
  <c r="B54"/>
  <c r="B28"/>
  <c r="C28" i="5"/>
  <c r="C7"/>
  <c r="B7" i="11"/>
  <c r="C102" i="5"/>
  <c r="C96"/>
  <c r="C92"/>
  <c r="C109"/>
  <c r="C115"/>
  <c r="I90" i="4" l="1"/>
  <c r="I107"/>
  <c r="BM60" i="2"/>
  <c r="BM38"/>
  <c r="BM27"/>
  <c r="BM5"/>
  <c r="D111" i="4"/>
  <c r="D110"/>
  <c r="D109"/>
  <c r="D87"/>
  <c r="D112"/>
  <c r="D94"/>
  <c r="D96"/>
  <c r="D98"/>
  <c r="D100"/>
  <c r="D102"/>
  <c r="D104"/>
  <c r="D92"/>
  <c r="D80"/>
  <c r="D82"/>
  <c r="D84"/>
  <c r="D74"/>
  <c r="D72"/>
  <c r="D69"/>
  <c r="D61"/>
  <c r="D63"/>
  <c r="D60"/>
  <c r="D55"/>
  <c r="D50"/>
  <c r="D45"/>
  <c r="D47"/>
  <c r="D49"/>
  <c r="D37"/>
  <c r="D36"/>
  <c r="D14"/>
  <c r="D16"/>
  <c r="D18"/>
  <c r="D20"/>
  <c r="D22"/>
  <c r="D24"/>
  <c r="D26"/>
  <c r="D13"/>
  <c r="D5"/>
  <c r="D93"/>
  <c r="D95"/>
  <c r="D97"/>
  <c r="D99"/>
  <c r="D101"/>
  <c r="D103"/>
  <c r="D105"/>
  <c r="D85"/>
  <c r="D81"/>
  <c r="D83"/>
  <c r="D79"/>
  <c r="D73"/>
  <c r="D68"/>
  <c r="D67"/>
  <c r="D62"/>
  <c r="D64"/>
  <c r="D54"/>
  <c r="D53"/>
  <c r="D43"/>
  <c r="D46"/>
  <c r="D48"/>
  <c r="D42"/>
  <c r="D35"/>
  <c r="D34"/>
  <c r="D15"/>
  <c r="D17"/>
  <c r="D19"/>
  <c r="D21"/>
  <c r="D23"/>
  <c r="D25"/>
  <c r="D27"/>
  <c r="D6"/>
  <c r="AB118" i="2"/>
  <c r="AB124" s="1"/>
  <c r="AB117"/>
  <c r="AB107"/>
  <c r="AB106"/>
  <c r="AB96"/>
  <c r="AB95"/>
  <c r="AB85"/>
  <c r="AB84"/>
  <c r="AB74"/>
  <c r="AB80" s="1"/>
  <c r="AB73"/>
  <c r="AB63"/>
  <c r="AB62"/>
  <c r="AB52"/>
  <c r="AB58" s="1"/>
  <c r="AB51"/>
  <c r="AB41"/>
  <c r="AB47" s="1"/>
  <c r="AB40"/>
  <c r="AB30"/>
  <c r="AB36" s="1"/>
  <c r="AB29"/>
  <c r="AB19"/>
  <c r="AB24" s="1"/>
  <c r="AB18"/>
  <c r="AB127"/>
  <c r="AB8"/>
  <c r="AB14" s="1"/>
  <c r="AB7"/>
  <c r="AB126"/>
  <c r="AB97"/>
  <c r="AB98" s="1"/>
  <c r="BG126"/>
  <c r="AB90" l="1"/>
  <c r="AB91"/>
  <c r="AB68"/>
  <c r="AB69"/>
  <c r="AB101"/>
  <c r="AB102"/>
  <c r="AB108"/>
  <c r="AB109" s="1"/>
  <c r="AB113"/>
  <c r="AB75"/>
  <c r="AB76" s="1"/>
  <c r="AB88"/>
  <c r="AB89" s="1"/>
  <c r="AB20"/>
  <c r="AB25" s="1"/>
  <c r="AB86"/>
  <c r="AB87" s="1"/>
  <c r="AB57"/>
  <c r="AB22"/>
  <c r="AB23"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V58"/>
  <c r="AS58"/>
  <c r="BL25"/>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H127" i="2"/>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72" i="8" l="1"/>
  <c r="BH7"/>
  <c r="BJ7" s="1"/>
  <c r="BH68"/>
  <c r="BJ68" s="1"/>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H73"/>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1"/>
  <c r="U41"/>
  <c r="U47" s="1"/>
  <c r="U40"/>
  <c r="U30"/>
  <c r="U36" s="1"/>
  <c r="U29"/>
  <c r="U19"/>
  <c r="U18"/>
  <c r="U8"/>
  <c r="U14" s="1"/>
  <c r="U7"/>
  <c r="U101" l="1"/>
  <c r="U123"/>
  <c r="U57"/>
  <c r="U58"/>
  <c r="U79"/>
  <c r="U13"/>
  <c r="U31"/>
  <c r="U32" s="1"/>
  <c r="U35"/>
  <c r="U42"/>
  <c r="U43" s="1"/>
  <c r="U46"/>
  <c r="U64"/>
  <c r="U65" s="1"/>
  <c r="U68"/>
  <c r="U86"/>
  <c r="U87" s="1"/>
  <c r="U90"/>
  <c r="U108"/>
  <c r="U109" s="1"/>
  <c r="U112"/>
  <c r="U20"/>
  <c r="U25" s="1"/>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1"/>
  <c r="AC41"/>
  <c r="AC47" s="1"/>
  <c r="AC40"/>
  <c r="H101" i="4" s="1"/>
  <c r="AC30" i="2"/>
  <c r="AC29"/>
  <c r="H100" i="4" s="1"/>
  <c r="AC19" i="2"/>
  <c r="AC18"/>
  <c r="AC8"/>
  <c r="AC14" s="1"/>
  <c r="AC7"/>
  <c r="I100" i="4" l="1"/>
  <c r="K100" s="1"/>
  <c r="L100" s="1"/>
  <c r="AC36" i="2"/>
  <c r="H102" i="4"/>
  <c r="I101"/>
  <c r="AC101" i="2"/>
  <c r="AC123"/>
  <c r="BK126"/>
  <c r="AC13"/>
  <c r="AC35"/>
  <c r="AC57"/>
  <c r="AC58"/>
  <c r="AC79"/>
  <c r="G27" i="5"/>
  <c r="F27" i="11"/>
  <c r="I27" i="4"/>
  <c r="H27" i="11"/>
  <c r="AC64" i="2"/>
  <c r="AC65" s="1"/>
  <c r="AC68"/>
  <c r="AC86"/>
  <c r="AC87" s="1"/>
  <c r="AC90"/>
  <c r="AC20"/>
  <c r="AC25" s="1"/>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V25" s="1"/>
  <c r="AS20"/>
  <c r="AS25" s="1"/>
  <c r="AS9"/>
  <c r="AS10" s="1"/>
  <c r="AV9"/>
  <c r="AV10" s="1"/>
  <c r="AS11"/>
  <c r="AS12" s="1"/>
  <c r="AV11"/>
  <c r="AV12" s="1"/>
  <c r="M100" i="4" l="1"/>
  <c r="I27" i="11"/>
  <c r="Q27" s="1"/>
  <c r="R27" s="1"/>
  <c r="K101" i="4"/>
  <c r="L101" s="1"/>
  <c r="M101"/>
  <c r="I102"/>
  <c r="C27" i="11"/>
  <c r="H27" i="4"/>
  <c r="AV21" i="2"/>
  <c r="AS21"/>
  <c r="AC21"/>
  <c r="AC130"/>
  <c r="AC131" s="1"/>
  <c r="AC134"/>
  <c r="D27" i="5"/>
  <c r="I27"/>
  <c r="M27" s="1"/>
  <c r="J27" i="4"/>
  <c r="AC132" i="2"/>
  <c r="AC133" s="1"/>
  <c r="I42" i="4"/>
  <c r="I50" s="1"/>
  <c r="F42"/>
  <c r="K27" i="11" l="1"/>
  <c r="L27" s="1"/>
  <c r="O27"/>
  <c r="M27"/>
  <c r="N27" s="1"/>
  <c r="K102" i="4"/>
  <c r="L102" s="1"/>
  <c r="M102"/>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J19"/>
  <c r="BG19"/>
  <c r="BF19"/>
  <c r="BE19"/>
  <c r="BD19"/>
  <c r="BC19"/>
  <c r="BB19"/>
  <c r="BA19"/>
  <c r="AZ19"/>
  <c r="AY19"/>
  <c r="AX19"/>
  <c r="AW19"/>
  <c r="AU19"/>
  <c r="AT19"/>
  <c r="AR19"/>
  <c r="AQ19"/>
  <c r="AP19"/>
  <c r="AO19"/>
  <c r="AN19"/>
  <c r="AM19"/>
  <c r="AL19"/>
  <c r="AK19"/>
  <c r="AJ19"/>
  <c r="AI19"/>
  <c r="AH19"/>
  <c r="AG19"/>
  <c r="AF19"/>
  <c r="AE19"/>
  <c r="AA19"/>
  <c r="Z19"/>
  <c r="Y19"/>
  <c r="X19"/>
  <c r="W19"/>
  <c r="V19"/>
  <c r="T19"/>
  <c r="S19"/>
  <c r="R19"/>
  <c r="Q19"/>
  <c r="P19"/>
  <c r="O19"/>
  <c r="N19"/>
  <c r="M19"/>
  <c r="L19"/>
  <c r="K19"/>
  <c r="J19"/>
  <c r="I19"/>
  <c r="H19"/>
  <c r="G19"/>
  <c r="F19"/>
  <c r="E19"/>
  <c r="D19"/>
  <c r="C19"/>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I92" i="4" s="1"/>
  <c r="T30" i="2"/>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G52"/>
  <c r="BF52"/>
  <c r="BE52"/>
  <c r="BD52"/>
  <c r="BC52"/>
  <c r="BB52"/>
  <c r="BA52"/>
  <c r="AZ52"/>
  <c r="AY52"/>
  <c r="AX52"/>
  <c r="AW52"/>
  <c r="AU52"/>
  <c r="AT52"/>
  <c r="AR52"/>
  <c r="AQ52"/>
  <c r="I98" i="4" s="1"/>
  <c r="AP52" i="2"/>
  <c r="AO52"/>
  <c r="AN52"/>
  <c r="AM52"/>
  <c r="AL52"/>
  <c r="AK52"/>
  <c r="AJ52"/>
  <c r="AI52"/>
  <c r="AH52"/>
  <c r="AG52"/>
  <c r="AF52"/>
  <c r="AE52"/>
  <c r="AA52"/>
  <c r="Z52"/>
  <c r="Y52"/>
  <c r="X52"/>
  <c r="W52"/>
  <c r="V52"/>
  <c r="I94" i="4" s="1"/>
  <c r="T52" i="2"/>
  <c r="S52"/>
  <c r="R52"/>
  <c r="Q52"/>
  <c r="P52"/>
  <c r="O52"/>
  <c r="N52"/>
  <c r="M52"/>
  <c r="L52"/>
  <c r="K52"/>
  <c r="J52"/>
  <c r="I52"/>
  <c r="H52"/>
  <c r="H53" s="1"/>
  <c r="H54" s="1"/>
  <c r="G52"/>
  <c r="F52"/>
  <c r="E52"/>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L85"/>
  <c r="AL91" s="1"/>
  <c r="AK85"/>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M91" l="1"/>
  <c r="J49" i="4"/>
  <c r="J44"/>
  <c r="K44" s="1"/>
  <c r="L44" s="1"/>
  <c r="AP91" i="2"/>
  <c r="I93" i="4"/>
  <c r="I95" s="1"/>
  <c r="V47" i="2"/>
  <c r="I103" i="4"/>
  <c r="M103" s="1"/>
  <c r="BB36" i="2"/>
  <c r="J43" i="4"/>
  <c r="O43" s="1"/>
  <c r="AK91" i="2"/>
  <c r="I104" i="4"/>
  <c r="M104" s="1"/>
  <c r="BB47" i="2"/>
  <c r="V36"/>
  <c r="M92" i="4"/>
  <c r="M94"/>
  <c r="I96"/>
  <c r="I97"/>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E58"/>
  <c r="G57"/>
  <c r="G58"/>
  <c r="I57"/>
  <c r="I58"/>
  <c r="K57"/>
  <c r="K58"/>
  <c r="M57"/>
  <c r="M58"/>
  <c r="O57"/>
  <c r="O58"/>
  <c r="Q57"/>
  <c r="Q58"/>
  <c r="S57"/>
  <c r="S58"/>
  <c r="V57"/>
  <c r="V58"/>
  <c r="X57"/>
  <c r="X58"/>
  <c r="Z57"/>
  <c r="Z58"/>
  <c r="AE57"/>
  <c r="AE58"/>
  <c r="AG57"/>
  <c r="AG58"/>
  <c r="AI57"/>
  <c r="AI58"/>
  <c r="AK57"/>
  <c r="AK58"/>
  <c r="AM57"/>
  <c r="AM58"/>
  <c r="AO57"/>
  <c r="AO58"/>
  <c r="AQ57"/>
  <c r="AQ58"/>
  <c r="AT57"/>
  <c r="AT58"/>
  <c r="AW57"/>
  <c r="AW58"/>
  <c r="AY57"/>
  <c r="AY58"/>
  <c r="BA57"/>
  <c r="BA58"/>
  <c r="BC57"/>
  <c r="BC58"/>
  <c r="BE57"/>
  <c r="BE58"/>
  <c r="BG57"/>
  <c r="BG58"/>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D58"/>
  <c r="F57"/>
  <c r="F58"/>
  <c r="H57"/>
  <c r="H58"/>
  <c r="J57"/>
  <c r="J58"/>
  <c r="L57"/>
  <c r="L58"/>
  <c r="N57"/>
  <c r="N58"/>
  <c r="P57"/>
  <c r="P58"/>
  <c r="R57"/>
  <c r="R58"/>
  <c r="T57"/>
  <c r="T58"/>
  <c r="W57"/>
  <c r="W58"/>
  <c r="Y57"/>
  <c r="Y58"/>
  <c r="AA57"/>
  <c r="AA58"/>
  <c r="AF57"/>
  <c r="AF58"/>
  <c r="AH57"/>
  <c r="AH58"/>
  <c r="AJ57"/>
  <c r="AJ58"/>
  <c r="AL57"/>
  <c r="AL58"/>
  <c r="AN57"/>
  <c r="AN58"/>
  <c r="AP57"/>
  <c r="AP58"/>
  <c r="AR57"/>
  <c r="AR58"/>
  <c r="AU57"/>
  <c r="AU58"/>
  <c r="AX57"/>
  <c r="AX58"/>
  <c r="AZ57"/>
  <c r="AZ58"/>
  <c r="BB57"/>
  <c r="BB58"/>
  <c r="BD57"/>
  <c r="BD58"/>
  <c r="BF57"/>
  <c r="BF58"/>
  <c r="BJ57"/>
  <c r="BJ58"/>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BH19"/>
  <c r="AD107"/>
  <c r="AD113" s="1"/>
  <c r="AD52"/>
  <c r="BH52"/>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Q25" s="1"/>
  <c r="AG20"/>
  <c r="AG25" s="1"/>
  <c r="AX20"/>
  <c r="AX25" s="1"/>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O49" i="4"/>
  <c r="AM86" i="2"/>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F25" s="1"/>
  <c r="J20"/>
  <c r="J25" s="1"/>
  <c r="N20"/>
  <c r="N25" s="1"/>
  <c r="R20"/>
  <c r="R25" s="1"/>
  <c r="W20"/>
  <c r="W25" s="1"/>
  <c r="AA20"/>
  <c r="AA25" s="1"/>
  <c r="AH20"/>
  <c r="AH25" s="1"/>
  <c r="AL20"/>
  <c r="AL25" s="1"/>
  <c r="AO20"/>
  <c r="AO25" s="1"/>
  <c r="AT20"/>
  <c r="AT25" s="1"/>
  <c r="AY20"/>
  <c r="AY25" s="1"/>
  <c r="BB20"/>
  <c r="BB25" s="1"/>
  <c r="BF20"/>
  <c r="BF25" s="1"/>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I25" s="1"/>
  <c r="Z20"/>
  <c r="Z25" s="1"/>
  <c r="AN20"/>
  <c r="AN25" s="1"/>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AK86"/>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C25" s="1"/>
  <c r="G20"/>
  <c r="G25" s="1"/>
  <c r="K20"/>
  <c r="K25" s="1"/>
  <c r="O20"/>
  <c r="O25" s="1"/>
  <c r="S20"/>
  <c r="S25" s="1"/>
  <c r="X20"/>
  <c r="X25" s="1"/>
  <c r="AE20"/>
  <c r="AE25" s="1"/>
  <c r="AI20"/>
  <c r="AI25" s="1"/>
  <c r="AP20"/>
  <c r="AP25" s="1"/>
  <c r="AU20"/>
  <c r="AU25" s="1"/>
  <c r="AZ20"/>
  <c r="AZ25" s="1"/>
  <c r="BC20"/>
  <c r="BC25" s="1"/>
  <c r="BG20"/>
  <c r="BG25" s="1"/>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E25" s="1"/>
  <c r="M20"/>
  <c r="M25" s="1"/>
  <c r="V20"/>
  <c r="V25" s="1"/>
  <c r="AK20"/>
  <c r="AK25" s="1"/>
  <c r="AR20"/>
  <c r="AR25" s="1"/>
  <c r="BE20"/>
  <c r="BE25" s="1"/>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D25" s="1"/>
  <c r="H20"/>
  <c r="H25" s="1"/>
  <c r="L20"/>
  <c r="L25" s="1"/>
  <c r="P20"/>
  <c r="P25" s="1"/>
  <c r="T20"/>
  <c r="T25" s="1"/>
  <c r="Y20"/>
  <c r="Y25" s="1"/>
  <c r="AF20"/>
  <c r="AF25" s="1"/>
  <c r="AJ20"/>
  <c r="AJ25" s="1"/>
  <c r="AM20"/>
  <c r="AM25" s="1"/>
  <c r="AQ20"/>
  <c r="AQ25" s="1"/>
  <c r="AW20"/>
  <c r="AW25" s="1"/>
  <c r="BA20"/>
  <c r="BA25" s="1"/>
  <c r="BD20"/>
  <c r="BD25" s="1"/>
  <c r="BJ20"/>
  <c r="BJ25" s="1"/>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M46" s="1"/>
  <c r="N46" s="1"/>
  <c r="AT84" i="2"/>
  <c r="AT88" s="1"/>
  <c r="AT89" s="1"/>
  <c r="AR84"/>
  <c r="H45" i="4"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33"/>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22"/>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M45" i="4" l="1"/>
  <c r="N45" s="1"/>
  <c r="O44"/>
  <c r="I105"/>
  <c r="M105" s="1"/>
  <c r="M93"/>
  <c r="AP88" i="2"/>
  <c r="AP89" s="1"/>
  <c r="H44" i="4"/>
  <c r="M44" s="1"/>
  <c r="N44" s="1"/>
  <c r="I82" i="11"/>
  <c r="Q82" s="1"/>
  <c r="M63" i="4"/>
  <c r="N63" s="1"/>
  <c r="M61"/>
  <c r="N61" s="1"/>
  <c r="M62"/>
  <c r="N62" s="1"/>
  <c r="M67"/>
  <c r="N67" s="1"/>
  <c r="M49"/>
  <c r="N49" s="1"/>
  <c r="V33" i="2"/>
  <c r="V34" s="1"/>
  <c r="H92" i="4"/>
  <c r="BB44" i="2"/>
  <c r="BB45" s="1"/>
  <c r="H104" i="4"/>
  <c r="K104" s="1"/>
  <c r="L104" s="1"/>
  <c r="V55" i="2"/>
  <c r="V56" s="1"/>
  <c r="H94" i="4"/>
  <c r="K94" s="1"/>
  <c r="L94" s="1"/>
  <c r="AQ55" i="2"/>
  <c r="AQ56" s="1"/>
  <c r="H98" i="4"/>
  <c r="K98" s="1"/>
  <c r="L98" s="1"/>
  <c r="BB33" i="2"/>
  <c r="BB34" s="1"/>
  <c r="H103" i="4"/>
  <c r="V44" i="2"/>
  <c r="V45" s="1"/>
  <c r="H93" i="4"/>
  <c r="K93" s="1"/>
  <c r="L93" s="1"/>
  <c r="K96"/>
  <c r="L96" s="1"/>
  <c r="I99"/>
  <c r="M95"/>
  <c r="K97"/>
  <c r="L97" s="1"/>
  <c r="M97"/>
  <c r="H73"/>
  <c r="M73" s="1"/>
  <c r="N73" s="1"/>
  <c r="H72"/>
  <c r="M72" s="1"/>
  <c r="N72"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BH58"/>
  <c r="AD68"/>
  <c r="BH35"/>
  <c r="AD90"/>
  <c r="BJ21"/>
  <c r="BA21"/>
  <c r="AQ21"/>
  <c r="AJ21"/>
  <c r="Y21"/>
  <c r="P21"/>
  <c r="H21"/>
  <c r="AR21"/>
  <c r="V21"/>
  <c r="E21"/>
  <c r="BG21"/>
  <c r="AZ21"/>
  <c r="AP21"/>
  <c r="AE21"/>
  <c r="S21"/>
  <c r="K21"/>
  <c r="C21"/>
  <c r="Z21"/>
  <c r="BB21"/>
  <c r="AT21"/>
  <c r="AL21"/>
  <c r="AA21"/>
  <c r="R21"/>
  <c r="J21"/>
  <c r="AX21"/>
  <c r="Q21"/>
  <c r="BH46"/>
  <c r="AD13"/>
  <c r="AD57"/>
  <c r="AD58"/>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AD53"/>
  <c r="AD54" s="1"/>
  <c r="BH20"/>
  <c r="BH25" s="1"/>
  <c r="BH119"/>
  <c r="BH120" s="1"/>
  <c r="BI30"/>
  <c r="BI36" s="1"/>
  <c r="AD31"/>
  <c r="AD32" s="1"/>
  <c r="AD40"/>
  <c r="BH40"/>
  <c r="BH44" s="1"/>
  <c r="BH45" s="1"/>
  <c r="AD84"/>
  <c r="AE88"/>
  <c r="AE89" s="1"/>
  <c r="BH84"/>
  <c r="BH88" s="1"/>
  <c r="BH89" s="1"/>
  <c r="D48" i="5"/>
  <c r="K48" s="1"/>
  <c r="L48" s="1"/>
  <c r="BI41" i="2"/>
  <c r="BI47" s="1"/>
  <c r="AD42"/>
  <c r="AD43" s="1"/>
  <c r="BI107"/>
  <c r="BI113" s="1"/>
  <c r="AD108"/>
  <c r="AD109" s="1"/>
  <c r="BI19"/>
  <c r="AD20"/>
  <c r="AD25" s="1"/>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BH134" i="2"/>
  <c r="H74" i="4"/>
  <c r="M74" s="1"/>
  <c r="N74" s="1"/>
  <c r="H105"/>
  <c r="K105" s="1"/>
  <c r="L105" s="1"/>
  <c r="K103"/>
  <c r="L103" s="1"/>
  <c r="H99"/>
  <c r="K99" s="1"/>
  <c r="L99" s="1"/>
  <c r="H95"/>
  <c r="K95" s="1"/>
  <c r="L95" s="1"/>
  <c r="K92"/>
  <c r="L92" s="1"/>
  <c r="M99"/>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58"/>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I20"/>
  <c r="BI25" s="1"/>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C128" s="1"/>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K112"/>
  <c r="BM107"/>
  <c r="BK79"/>
  <c r="BM74"/>
  <c r="C49" i="11"/>
  <c r="M42"/>
  <c r="N42" s="1"/>
  <c r="BK64" i="2"/>
  <c r="BK68"/>
  <c r="BK86"/>
  <c r="BK90"/>
  <c r="BK123"/>
  <c r="BI33"/>
  <c r="BI34" s="1"/>
  <c r="BI22"/>
  <c r="BI23" s="1"/>
  <c r="BI110"/>
  <c r="BI111" s="1"/>
  <c r="BI55"/>
  <c r="BI56" s="1"/>
  <c r="BI99"/>
  <c r="BI100" s="1"/>
  <c r="BI66"/>
  <c r="BI67" s="1"/>
  <c r="BK73"/>
  <c r="BI77"/>
  <c r="BI78" s="1"/>
  <c r="BK22"/>
  <c r="BK20"/>
  <c r="BK25" s="1"/>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P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8" i="11"/>
  <c r="G127" i="2"/>
  <c r="F127"/>
  <c r="E127"/>
  <c r="I15" i="4" s="1"/>
  <c r="D127" i="2"/>
  <c r="H14" i="11" s="1"/>
  <c r="C127" i="2"/>
  <c r="BJ126"/>
  <c r="BF126"/>
  <c r="F81" i="11" s="1"/>
  <c r="BE126" i="2"/>
  <c r="BD126"/>
  <c r="F80" i="11" s="1"/>
  <c r="BC126" i="2"/>
  <c r="F79" i="11" s="1"/>
  <c r="BB126" i="2"/>
  <c r="BA126"/>
  <c r="AZ126"/>
  <c r="AY126"/>
  <c r="AX126"/>
  <c r="AW126"/>
  <c r="AV126"/>
  <c r="AV135" s="1"/>
  <c r="AU126"/>
  <c r="AT126"/>
  <c r="AS126"/>
  <c r="AS135" s="1"/>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C135" l="1"/>
  <c r="AG135"/>
  <c r="AI135"/>
  <c r="AW135"/>
  <c r="BA135"/>
  <c r="BE135"/>
  <c r="AH135"/>
  <c r="AT135"/>
  <c r="AZ135"/>
  <c r="V135"/>
  <c r="X135"/>
  <c r="S135"/>
  <c r="AU135"/>
  <c r="AR135"/>
  <c r="I135"/>
  <c r="H135"/>
  <c r="M135"/>
  <c r="E135"/>
  <c r="Q135"/>
  <c r="AM135"/>
  <c r="J135"/>
  <c r="AQ135"/>
  <c r="BB135"/>
  <c r="AP135"/>
  <c r="K135"/>
  <c r="BJ135"/>
  <c r="AN135"/>
  <c r="AJ135"/>
  <c r="BF135"/>
  <c r="BD135"/>
  <c r="BC135"/>
  <c r="AY135"/>
  <c r="AX135"/>
  <c r="AF135"/>
  <c r="AE135"/>
  <c r="AA135"/>
  <c r="Z135"/>
  <c r="Y135"/>
  <c r="W135"/>
  <c r="R135"/>
  <c r="P135"/>
  <c r="O135"/>
  <c r="N135"/>
  <c r="L135"/>
  <c r="G135"/>
  <c r="F135"/>
  <c r="D135"/>
  <c r="T135"/>
  <c r="F56" i="11"/>
  <c r="AO135" i="2"/>
  <c r="F53" i="11"/>
  <c r="AL135" i="2"/>
  <c r="F52" i="11"/>
  <c r="AK135" i="2"/>
  <c r="I14" i="11"/>
  <c r="Q14" s="1"/>
  <c r="I16"/>
  <c r="Q16" s="1"/>
  <c r="I18"/>
  <c r="Q18" s="1"/>
  <c r="I19"/>
  <c r="Q19" s="1"/>
  <c r="I21"/>
  <c r="Q21" s="1"/>
  <c r="I23"/>
  <c r="Q23" s="1"/>
  <c r="I25"/>
  <c r="Q25" s="1"/>
  <c r="I36"/>
  <c r="Q36" s="1"/>
  <c r="I53"/>
  <c r="Q53" s="1"/>
  <c r="I68"/>
  <c r="Q68" s="1"/>
  <c r="R68" s="1"/>
  <c r="R69" s="1"/>
  <c r="I78"/>
  <c r="Q78" s="1"/>
  <c r="I80"/>
  <c r="Q80" s="1"/>
  <c r="R80" s="1"/>
  <c r="I81"/>
  <c r="Q81" s="1"/>
  <c r="R81" s="1"/>
  <c r="I13"/>
  <c r="Q13" s="1"/>
  <c r="I15"/>
  <c r="O15" s="1"/>
  <c r="I17"/>
  <c r="Q17" s="1"/>
  <c r="R17" s="1"/>
  <c r="I20"/>
  <c r="Q20" s="1"/>
  <c r="R20" s="1"/>
  <c r="I22"/>
  <c r="Q22" s="1"/>
  <c r="R22" s="1"/>
  <c r="I24"/>
  <c r="K24" s="1"/>
  <c r="L24" s="1"/>
  <c r="I26"/>
  <c r="Q26" s="1"/>
  <c r="R26" s="1"/>
  <c r="I35"/>
  <c r="Q35" s="1"/>
  <c r="R35" s="1"/>
  <c r="I52"/>
  <c r="Q52" s="1"/>
  <c r="I56"/>
  <c r="Q56" s="1"/>
  <c r="I77"/>
  <c r="Q77" s="1"/>
  <c r="I79"/>
  <c r="Q79" s="1"/>
  <c r="R79" s="1"/>
  <c r="F77"/>
  <c r="F78"/>
  <c r="O78" s="1"/>
  <c r="K19"/>
  <c r="L19" s="1"/>
  <c r="BM21" i="2"/>
  <c r="BM25"/>
  <c r="K21" i="11"/>
  <c r="L21" s="1"/>
  <c r="K23"/>
  <c r="L23" s="1"/>
  <c r="K14"/>
  <c r="L14" s="1"/>
  <c r="H34"/>
  <c r="R14"/>
  <c r="R16"/>
  <c r="R18"/>
  <c r="R19"/>
  <c r="R21"/>
  <c r="R23"/>
  <c r="R25"/>
  <c r="R36"/>
  <c r="BK10" i="2"/>
  <c r="BM9"/>
  <c r="BM10" s="1"/>
  <c r="I34" i="11"/>
  <c r="Q34" s="1"/>
  <c r="BK89" i="2"/>
  <c r="BM88"/>
  <c r="BM89" s="1"/>
  <c r="BK122"/>
  <c r="BM121"/>
  <c r="BM122" s="1"/>
  <c r="BK78"/>
  <c r="BM77"/>
  <c r="BM78" s="1"/>
  <c r="G13" i="5"/>
  <c r="F13" i="11"/>
  <c r="R13" s="1"/>
  <c r="BG134" i="2"/>
  <c r="F82" i="11"/>
  <c r="H13"/>
  <c r="AD127" i="2"/>
  <c r="I5" i="4" s="1"/>
  <c r="H15" i="11"/>
  <c r="I17" i="4"/>
  <c r="H17" i="11"/>
  <c r="K17" s="1"/>
  <c r="L17" s="1"/>
  <c r="I22" i="4"/>
  <c r="H22" i="11"/>
  <c r="K22" s="1"/>
  <c r="L22" s="1"/>
  <c r="I35" i="4"/>
  <c r="H35" i="11"/>
  <c r="I53" i="4"/>
  <c r="H52" i="11"/>
  <c r="I57" i="4"/>
  <c r="H56" i="11"/>
  <c r="I79" i="4"/>
  <c r="H77" i="11"/>
  <c r="I81" i="4"/>
  <c r="H79" i="11"/>
  <c r="O16"/>
  <c r="O19"/>
  <c r="O23"/>
  <c r="O36"/>
  <c r="O68"/>
  <c r="I69"/>
  <c r="O80"/>
  <c r="F34"/>
  <c r="F69"/>
  <c r="I16" i="4"/>
  <c r="H16" i="11"/>
  <c r="K16" s="1"/>
  <c r="L16" s="1"/>
  <c r="I36" i="4"/>
  <c r="H36" i="11"/>
  <c r="K36" s="1"/>
  <c r="L36" s="1"/>
  <c r="I54" i="4"/>
  <c r="H53" i="11"/>
  <c r="I68" i="4"/>
  <c r="I69" s="1"/>
  <c r="H68" i="11"/>
  <c r="I80" i="4"/>
  <c r="H78" i="11"/>
  <c r="I82" i="4"/>
  <c r="H80" i="11"/>
  <c r="K80" s="1"/>
  <c r="L80" s="1"/>
  <c r="I83" i="4"/>
  <c r="H81" i="11"/>
  <c r="O17"/>
  <c r="O22"/>
  <c r="O26"/>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J68"/>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R77" i="11" l="1"/>
  <c r="M16" i="4"/>
  <c r="N16" s="1"/>
  <c r="M81"/>
  <c r="N81" s="1"/>
  <c r="I54" i="11"/>
  <c r="I28"/>
  <c r="H34" i="4"/>
  <c r="H37" s="1"/>
  <c r="O25" i="11"/>
  <c r="O21"/>
  <c r="O18"/>
  <c r="O14"/>
  <c r="K25"/>
  <c r="L25" s="1"/>
  <c r="O79"/>
  <c r="O35"/>
  <c r="O24"/>
  <c r="O20"/>
  <c r="K81"/>
  <c r="L81" s="1"/>
  <c r="K78"/>
  <c r="L78" s="1"/>
  <c r="K53"/>
  <c r="L53" s="1"/>
  <c r="O81"/>
  <c r="K15"/>
  <c r="L15" s="1"/>
  <c r="K18"/>
  <c r="L18" s="1"/>
  <c r="O21" i="4"/>
  <c r="AD135" i="2"/>
  <c r="O52" i="11"/>
  <c r="O53"/>
  <c r="O56"/>
  <c r="R56"/>
  <c r="R53"/>
  <c r="F54"/>
  <c r="R52"/>
  <c r="R78"/>
  <c r="Q28"/>
  <c r="Q54"/>
  <c r="Q83"/>
  <c r="I83"/>
  <c r="K20"/>
  <c r="L20" s="1"/>
  <c r="Q69"/>
  <c r="K79"/>
  <c r="L79" s="1"/>
  <c r="K56"/>
  <c r="L56" s="1"/>
  <c r="K35"/>
  <c r="L35" s="1"/>
  <c r="K26"/>
  <c r="L26" s="1"/>
  <c r="M15" i="4"/>
  <c r="N15" s="1"/>
  <c r="M22"/>
  <c r="N22" s="1"/>
  <c r="O20"/>
  <c r="M82"/>
  <c r="N82" s="1"/>
  <c r="M83"/>
  <c r="N83" s="1"/>
  <c r="M35"/>
  <c r="N35" s="1"/>
  <c r="M80"/>
  <c r="N80" s="1"/>
  <c r="M17"/>
  <c r="N17" s="1"/>
  <c r="M36"/>
  <c r="N36" s="1"/>
  <c r="O14"/>
  <c r="O23"/>
  <c r="O24"/>
  <c r="O77" i="11"/>
  <c r="C14"/>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C54" s="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36"/>
  <c r="K80"/>
  <c r="K17"/>
  <c r="K57"/>
  <c r="O13" i="11"/>
  <c r="R28"/>
  <c r="K34"/>
  <c r="L34" s="1"/>
  <c r="I55" i="4"/>
  <c r="K54"/>
  <c r="F83" i="11"/>
  <c r="R82"/>
  <c r="I85" i="4"/>
  <c r="Q37" i="1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C81" i="11"/>
  <c r="BI126" i="2"/>
  <c r="F5" i="11"/>
  <c r="F37"/>
  <c r="H28"/>
  <c r="K13"/>
  <c r="L13" s="1"/>
  <c r="M25"/>
  <c r="N25" s="1"/>
  <c r="D16" i="5"/>
  <c r="K16" s="1"/>
  <c r="L16" s="1"/>
  <c r="C16" i="11"/>
  <c r="D77" i="5"/>
  <c r="C77" i="11"/>
  <c r="D79" i="5"/>
  <c r="K79" s="1"/>
  <c r="L79" s="1"/>
  <c r="C79" i="11"/>
  <c r="D22" i="5"/>
  <c r="K22" s="1"/>
  <c r="L22" s="1"/>
  <c r="C22" i="11"/>
  <c r="D35" i="5"/>
  <c r="K35" s="1"/>
  <c r="L35" s="1"/>
  <c r="C35" i="11"/>
  <c r="H69"/>
  <c r="K69" s="1"/>
  <c r="L69" s="1"/>
  <c r="K68"/>
  <c r="L68" s="1"/>
  <c r="K77"/>
  <c r="L77" s="1"/>
  <c r="H83"/>
  <c r="H54"/>
  <c r="K52"/>
  <c r="L52" s="1"/>
  <c r="H5"/>
  <c r="BI127" i="2"/>
  <c r="O82" i="11"/>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81"/>
  <c r="L81" s="1"/>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K83" i="11" l="1"/>
  <c r="L83" s="1"/>
  <c r="K28"/>
  <c r="L28" s="1"/>
  <c r="O54"/>
  <c r="M34" i="4"/>
  <c r="N34" s="1"/>
  <c r="K54" i="11"/>
  <c r="L54" s="1"/>
  <c r="M54"/>
  <c r="N54" s="1"/>
  <c r="I85"/>
  <c r="Q85"/>
  <c r="R83"/>
  <c r="Q5"/>
  <c r="BI135" i="2"/>
  <c r="R54" i="11"/>
  <c r="D69" i="5"/>
  <c r="K69" s="1"/>
  <c r="L69" s="1"/>
  <c r="G111" i="4"/>
  <c r="G110"/>
  <c r="G109"/>
  <c r="G112"/>
  <c r="M5"/>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BI134" i="2"/>
  <c r="G83" i="11"/>
  <c r="K5"/>
  <c r="L5" s="1"/>
  <c r="G37"/>
  <c r="F85"/>
  <c r="G85" s="1"/>
  <c r="H95" i="5"/>
  <c r="H91"/>
  <c r="K37" i="11"/>
  <c r="L37" s="1"/>
  <c r="H85"/>
  <c r="K85" s="1"/>
  <c r="L85" s="1"/>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H87" i="4" l="1"/>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BK127"/>
  <c r="I7" i="4" s="1"/>
  <c r="J97" s="1"/>
  <c r="J110" l="1"/>
  <c r="J109"/>
  <c r="J111"/>
  <c r="J112"/>
  <c r="I6"/>
  <c r="K6" s="1"/>
  <c r="L6" s="1"/>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<sst xmlns="http://schemas.openxmlformats.org/spreadsheetml/2006/main" count="1735" uniqueCount="331">
  <si>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</si>
  <si>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</si>
  <si>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</si>
  <si>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</si>
  <si>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</si>
  <si>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</si>
  <si>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</si>
  <si>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</si>
  <si>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</si>
  <si>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</si>
  <si>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</si>
  <si>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</si>
  <si>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</si>
  <si>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</si>
  <si>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</si>
  <si>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</si>
  <si>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</si>
  <si>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</si>
  <si>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</si>
  <si>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</si>
  <si>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</si>
  <si>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</si>
  <si>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</si>
  <si>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</si>
  <si>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</si>
  <si>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</si>
  <si>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</si>
  <si>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</si>
  <si>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</si>
  <si>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</si>
  <si>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</si>
  <si>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</si>
  <si>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</si>
  <si>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</si>
  <si>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</si>
  <si>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</si>
  <si>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</si>
  <si>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</si>
  <si>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</si>
  <si>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</si>
  <si>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</si>
  <si>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</si>
  <si>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- 36</t>
  </si>
  <si>
    <t>PU - 41</t>
  </si>
  <si>
    <t>PU - 42</t>
  </si>
  <si>
    <t>PU - 43</t>
  </si>
  <si>
    <t>PU - 44</t>
  </si>
  <si>
    <t>PU - 50</t>
  </si>
  <si>
    <t>PU - 51</t>
  </si>
  <si>
    <t>PU - 52</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</si>
  <si>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</si>
  <si>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</si>
  <si>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</si>
  <si>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</si>
  <si>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</si>
  <si>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</si>
  <si>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</si>
  <si>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</si>
  <si>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</si>
  <si>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</si>
  <si>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</si>
  <si>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</si>
  <si>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</si>
  <si>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</si>
  <si>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</si>
  <si>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</si>
  <si>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</si>
  <si>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</si>
  <si>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</si>
  <si>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</si>
  <si>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</si>
  <si>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</si>
  <si>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</si>
  <si>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</si>
  <si>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</si>
  <si>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</si>
  <si>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</si>
  <si>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</si>
  <si>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</si>
  <si>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</si>
  <si>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</si>
  <si>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</si>
  <si>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</si>
  <si>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</si>
  <si>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</si>
  <si>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</si>
  <si>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</si>
  <si>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</si>
  <si>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</si>
  <si>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</si>
  <si>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</si>
  <si>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</si>
  <si>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</si>
  <si>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</si>
  <si>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</si>
  <si>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</si>
  <si>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</si>
  <si>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</si>
  <si>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</si>
  <si>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</si>
  <si>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</si>
  <si>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</si>
  <si>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</si>
  <si>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</si>
  <si>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</si>
  <si>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</si>
  <si>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</si>
  <si>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</si>
  <si>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</si>
  <si>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</si>
  <si>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</si>
  <si>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</si>
  <si>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</si>
  <si>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</si>
  <si>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</si>
  <si>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</si>
  <si>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</si>
  <si>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</si>
  <si>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</si>
  <si>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</si>
  <si>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</si>
  <si>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</si>
  <si>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</si>
  <si>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</si>
  <si>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</si>
  <si>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</si>
  <si>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</si>
  <si>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</si>
  <si>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</si>
  <si>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</si>
  <si>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</si>
  <si>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</si>
  <si>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</si>
  <si>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</si>
  <si>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</si>
  <si>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</si>
  <si>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</si>
  <si>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</si>
  <si>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</si>
  <si>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</si>
  <si>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</si>
  <si>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</si>
  <si>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</si>
  <si>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</si>
  <si>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</si>
  <si>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</si>
  <si>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</si>
  <si>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</si>
  <si>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</si>
  <si>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</si>
  <si>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</si>
  <si>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</si>
  <si>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</si>
  <si>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</si>
  <si>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</si>
  <si>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</si>
  <si>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</si>
  <si>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</si>
  <si>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</si>
  <si>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</si>
  <si>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</si>
  <si>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</si>
  <si>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</si>
  <si>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</si>
  <si>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</si>
  <si>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</si>
  <si>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</si>
  <si>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</si>
  <si>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</si>
  <si>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</si>
  <si>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</si>
  <si>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</si>
  <si>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</si>
  <si>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</si>
  <si>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</si>
  <si>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</si>
  <si>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</si>
  <si>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</si>
  <si>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</si>
  <si>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</si>
  <si>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</si>
  <si>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</si>
  <si>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</si>
  <si>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</si>
  <si>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</si>
  <si>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</si>
  <si>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</si>
  <si>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</si>
  <si>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</si>
  <si>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</si>
  <si>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</si>
  <si>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</si>
  <si>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</si>
  <si>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</si>
  <si>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</si>
  <si>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</si>
  <si>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</si>
  <si>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</si>
  <si>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</si>
  <si>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</si>
  <si>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</si>
  <si>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</si>
  <si>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</si>
  <si>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</si>
  <si>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</si>
  <si>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</si>
  <si>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</si>
  <si>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</si>
  <si>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</si>
  <si>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</si>
  <si>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</si>
  <si>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</si>
  <si>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</si>
  <si>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</si>
  <si>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</si>
  <si>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</si>
  <si>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</si>
  <si>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</si>
  <si>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</si>
  <si>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</si>
  <si>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</si>
  <si>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</si>
  <si>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</si>
  <si>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</si>
  <si>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</si>
  <si>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</si>
  <si>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</si>
  <si>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</si>
  <si>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</si>
  <si>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</si>
  <si>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</si>
  <si>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</si>
  <si>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</si>
  <si>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</si>
  <si>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</si>
  <si>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</si>
  <si>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</si>
  <si>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</si>
  <si>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</si>
  <si>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</si>
  <si>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</si>
  <si>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</si>
  <si>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</si>
  <si>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</si>
  <si>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</si>
  <si>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</si>
  <si>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</si>
  <si>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</si>
  <si>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</si>
  <si>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</si>
  <si>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</si>
  <si>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</si>
  <si>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</si>
  <si>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</si>
  <si>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</si>
  <si>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</si>
  <si>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</si>
  <si>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</si>
  <si>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</si>
  <si>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</si>
  <si>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</si>
  <si>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</si>
  <si>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</si>
  <si>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</si>
  <si>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</si>
  <si>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</si>
  <si>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</si>
  <si>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</si>
  <si>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</si>
  <si>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</si>
  <si>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</si>
  <si>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</si>
  <si>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</si>
  <si>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</si>
  <si>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</si>
  <si>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</si>
  <si>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</si>
  <si>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</si>
  <si>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</si>
  <si>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</si>
  <si>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</si>
  <si>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</si>
  <si>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</si>
  <si>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</si>
  <si>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</si>
  <si>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</si>
  <si>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</si>
  <si>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</si>
  <si>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</si>
  <si>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</si>
  <si>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</si>
  <si>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</si>
  <si>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</si>
  <si>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</si>
  <si>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</si>
  <si>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</si>
  <si>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</si>
  <si>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</si>
  <si>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</si>
  <si>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</si>
  <si>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</si>
  <si>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</si>
  <si>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</si>
  <si>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</si>
  <si>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PU - 34</t>
  </si>
  <si>
    <t>PU - 35</t>
  </si>
  <si>
    <t>Adjustments (PU-33)</t>
  </si>
  <si>
    <t>Diesel-Home Rly Loco (PU-27)</t>
  </si>
  <si>
    <t>STAFF COST (Main PriAply Units)</t>
  </si>
  <si>
    <t>OTHER THAN STAFF COST (Main PriAply Units)</t>
  </si>
  <si>
    <t>% BG(SL) Utilization</t>
  </si>
  <si>
    <t>% of Total OWE 2022-23</t>
  </si>
  <si>
    <t>LEASE CHAFGES &amp; DEBITS</t>
  </si>
  <si>
    <t>Actuals 2022-23</t>
  </si>
  <si>
    <t>PU - 53</t>
  </si>
  <si>
    <t>PU - 22</t>
  </si>
  <si>
    <t>% of Total RG 2023-24</t>
  </si>
  <si>
    <t>RG Utilization</t>
  </si>
  <si>
    <t>PU - 39</t>
  </si>
  <si>
    <t>FINANCE REGISTER - GRANT WISE AND PU WISE SUMMARY FROM MONTH :APRIL    22 TO MARCH    23</t>
  </si>
  <si>
    <t>Report generated on : 01.04.2024 at 11:02:36 AM</t>
  </si>
  <si>
    <t>BP to end of March-24</t>
  </si>
  <si>
    <t>Actuals upto March-23</t>
  </si>
  <si>
    <t>Actuals upto March-24</t>
  </si>
  <si>
    <t>ORDINARY WORKING EXPENSES PU WISE PRYJ DIVISION March-24</t>
  </si>
  <si>
    <t>PU Wise expenditure to end of March-24 on FG PRYJ. DIVISION</t>
  </si>
  <si>
    <t xml:space="preserve">FG 2023-24 </t>
  </si>
  <si>
    <t>FG-AC</t>
  </si>
  <si>
    <t>% FG Utilization</t>
  </si>
  <si>
    <t>FINANCE REGISTER - GRANT WISE AND PU WISE SUMMARY FROM MONTH :APRIL    23 TO MARCH    24</t>
  </si>
  <si>
    <t>Report generated on : 26.04.2024 at 10:47:29 AM</t>
  </si>
</sst>
</file>

<file path=xl/styles.xml><?xml version="1.0" encoding="utf-8"?>
<styleSheet xmlns="http://schemas.openxmlformats.org/spreadsheetml/2006/main">
  <numFmts count="1">
    <numFmt numFmtId="164" formatCode="0.0%"/>
  </numFmts>
  <fonts count="26">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i/>
      <sz val="10"/>
      <name val="Arial"/>
    </font>
    <font>
      <sz val="12"/>
      <color rgb="FFFF0000"/>
      <name val="Calibri"/>
      <family val="2"/>
      <scheme val="minor"/>
    </font>
    <font>
      <sz val="12"/>
      <color rgb="FFFF0000"/>
      <name val="Arial"/>
      <family val="2"/>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39997558519241921"/>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9">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0" fontId="7" fillId="3" borderId="3" xfId="0" applyFont="1" applyFill="1" applyBorder="1"/>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1" fontId="8" fillId="0" borderId="0" xfId="0" applyNumberFormat="1" applyFont="1"/>
    <xf numFmtId="1" fontId="3" fillId="0" borderId="3" xfId="0" applyNumberFormat="1" applyFont="1" applyBorder="1" applyAlignment="1">
      <alignment horizontal="right"/>
    </xf>
    <xf numFmtId="1" fontId="3" fillId="0" borderId="3" xfId="0" applyNumberFormat="1" applyFont="1" applyFill="1" applyBorder="1" applyAlignment="1">
      <alignment horizontal="right"/>
    </xf>
    <xf numFmtId="0" fontId="8" fillId="0" borderId="0" xfId="0" applyFont="1" applyAlignment="1">
      <alignment wrapText="1"/>
    </xf>
    <xf numFmtId="0" fontId="8" fillId="0" borderId="0" xfId="0" applyFont="1" applyBorder="1"/>
    <xf numFmtId="0" fontId="8" fillId="0" borderId="0" xfId="0" applyFont="1" applyBorder="1" applyAlignment="1">
      <alignment wrapText="1"/>
    </xf>
    <xf numFmtId="0" fontId="10" fillId="0" borderId="3" xfId="0" applyFont="1" applyBorder="1"/>
    <xf numFmtId="0" fontId="22" fillId="0" borderId="3" xfId="0" applyFont="1" applyBorder="1"/>
    <xf numFmtId="1" fontId="4" fillId="0" borderId="3" xfId="0" applyNumberFormat="1" applyFont="1" applyFill="1" applyBorder="1"/>
    <xf numFmtId="1" fontId="4" fillId="0" borderId="3" xfId="0" applyNumberFormat="1" applyFont="1" applyBorder="1" applyAlignment="1">
      <alignment horizontal="right"/>
    </xf>
    <xf numFmtId="1" fontId="7" fillId="0" borderId="0" xfId="0" applyNumberFormat="1" applyFont="1"/>
    <xf numFmtId="0" fontId="4" fillId="0" borderId="3" xfId="0" applyFont="1" applyFill="1" applyBorder="1"/>
    <xf numFmtId="1" fontId="10" fillId="0" borderId="3" xfId="0" applyNumberFormat="1" applyFont="1" applyFill="1" applyBorder="1"/>
    <xf numFmtId="1" fontId="22" fillId="0" borderId="3" xfId="0" applyNumberFormat="1" applyFont="1" applyBorder="1"/>
    <xf numFmtId="1" fontId="2" fillId="0" borderId="3" xfId="0" applyNumberFormat="1" applyFont="1" applyFill="1" applyBorder="1"/>
    <xf numFmtId="1" fontId="0" fillId="0" borderId="0" xfId="0" applyNumberFormat="1" applyFont="1"/>
    <xf numFmtId="0" fontId="3" fillId="0" borderId="8" xfId="0" applyFont="1" applyBorder="1"/>
    <xf numFmtId="1" fontId="2" fillId="0" borderId="3" xfId="0" applyNumberFormat="1" applyFont="1" applyFill="1" applyBorder="1" applyAlignment="1">
      <alignment horizontal="right"/>
    </xf>
    <xf numFmtId="1" fontId="7" fillId="0" borderId="3" xfId="0" applyNumberFormat="1" applyFont="1" applyBorder="1" applyAlignment="1">
      <alignment wrapText="1"/>
    </xf>
    <xf numFmtId="0" fontId="6" fillId="3" borderId="0" xfId="0" applyFont="1" applyFill="1" applyBorder="1"/>
    <xf numFmtId="2" fontId="7" fillId="0" borderId="0" xfId="0" applyNumberFormat="1" applyFont="1" applyBorder="1"/>
    <xf numFmtId="164" fontId="7" fillId="0" borderId="0" xfId="1" applyNumberFormat="1" applyFont="1" applyBorder="1" applyAlignment="1">
      <alignment horizontal="right"/>
    </xf>
    <xf numFmtId="164" fontId="7" fillId="0" borderId="0" xfId="1" applyNumberFormat="1" applyFont="1" applyBorder="1"/>
    <xf numFmtId="2" fontId="7" fillId="0" borderId="0" xfId="0" applyNumberFormat="1" applyFont="1" applyBorder="1" applyAlignment="1">
      <alignment wrapText="1"/>
    </xf>
    <xf numFmtId="10" fontId="7" fillId="0" borderId="0" xfId="1" applyNumberFormat="1" applyFont="1" applyBorder="1"/>
    <xf numFmtId="0" fontId="7" fillId="0" borderId="0" xfId="0"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applyAlignment="1">
      <alignment horizontal="right"/>
    </xf>
    <xf numFmtId="164" fontId="6" fillId="0" borderId="0" xfId="1" applyNumberFormat="1" applyFont="1" applyBorder="1"/>
    <xf numFmtId="0" fontId="6" fillId="0" borderId="0" xfId="0" applyFont="1" applyBorder="1" applyAlignment="1">
      <alignment wrapText="1"/>
    </xf>
    <xf numFmtId="10" fontId="6" fillId="0" borderId="0" xfId="1" applyNumberFormat="1" applyFont="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7" fillId="2" borderId="0" xfId="0" applyFont="1" applyFill="1"/>
    <xf numFmtId="2" fontId="7" fillId="0" borderId="0" xfId="0" applyNumberFormat="1" applyFont="1"/>
    <xf numFmtId="2" fontId="6" fillId="0" borderId="0" xfId="0" applyNumberFormat="1" applyFont="1" applyBorder="1" applyAlignment="1">
      <alignment wrapText="1"/>
    </xf>
    <xf numFmtId="2" fontId="6" fillId="3" borderId="3" xfId="0" applyNumberFormat="1" applyFont="1" applyFill="1" applyBorder="1" applyAlignment="1">
      <alignment wrapText="1"/>
    </xf>
    <xf numFmtId="2" fontId="6" fillId="2" borderId="3" xfId="0" applyNumberFormat="1" applyFont="1" applyFill="1" applyBorder="1"/>
    <xf numFmtId="1" fontId="7" fillId="0" borderId="3" xfId="0" applyNumberFormat="1" applyFont="1" applyBorder="1"/>
    <xf numFmtId="2" fontId="0" fillId="0" borderId="3" xfId="0" applyNumberFormat="1" applyFont="1" applyBorder="1" applyAlignment="1">
      <alignment wrapText="1"/>
    </xf>
    <xf numFmtId="0" fontId="0" fillId="0" borderId="0" xfId="0"/>
    <xf numFmtId="0" fontId="23" fillId="0" borderId="1" xfId="0" applyFont="1" applyBorder="1" applyAlignment="1">
      <alignment horizontal="center" vertical="top"/>
    </xf>
    <xf numFmtId="1" fontId="4" fillId="5" borderId="3" xfId="0" applyNumberFormat="1" applyFont="1" applyFill="1" applyBorder="1" applyAlignment="1">
      <alignment horizontal="center" vertical="center"/>
    </xf>
    <xf numFmtId="1" fontId="4" fillId="0" borderId="0" xfId="0" applyNumberFormat="1" applyFont="1"/>
    <xf numFmtId="0" fontId="4" fillId="5" borderId="3" xfId="0" applyFont="1" applyFill="1" applyBorder="1" applyAlignment="1">
      <alignment horizontal="center" vertical="center"/>
    </xf>
    <xf numFmtId="0" fontId="2" fillId="5" borderId="3" xfId="0" applyFont="1" applyFill="1" applyBorder="1" applyAlignment="1">
      <alignment horizontal="center" vertical="center"/>
    </xf>
    <xf numFmtId="1" fontId="4" fillId="5" borderId="3" xfId="0" applyNumberFormat="1" applyFont="1" applyFill="1" applyBorder="1"/>
    <xf numFmtId="1" fontId="14" fillId="0" borderId="0" xfId="0" applyNumberFormat="1" applyFont="1"/>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6" fillId="3" borderId="4" xfId="0" applyNumberFormat="1" applyFont="1" applyFill="1" applyBorder="1" applyAlignment="1">
      <alignment horizontal="center" wrapText="1"/>
    </xf>
    <xf numFmtId="0" fontId="6"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5"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2" borderId="4" xfId="0" applyFont="1" applyFill="1" applyBorder="1" applyAlignment="1">
      <alignment horizontal="center" vertical="top" wrapText="1"/>
    </xf>
    <xf numFmtId="0" fontId="5" fillId="2"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1" fontId="6" fillId="3" borderId="4" xfId="0" applyNumberFormat="1" applyFont="1" applyFill="1" applyBorder="1" applyAlignment="1">
      <alignment horizontal="center"/>
    </xf>
    <xf numFmtId="0" fontId="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4" fillId="0" borderId="3" xfId="0" applyFont="1" applyBorder="1"/>
    <xf numFmtId="1" fontId="25" fillId="0" borderId="3" xfId="0" applyNumberFormat="1" applyFont="1" applyFill="1" applyBorder="1"/>
    <xf numFmtId="0" fontId="25" fillId="0" borderId="3" xfId="0" applyFont="1" applyBorder="1"/>
    <xf numFmtId="1" fontId="25" fillId="0" borderId="3" xfId="0" applyNumberFormat="1" applyFont="1" applyFill="1" applyBorder="1" applyAlignment="1">
      <alignment horizontal="right"/>
    </xf>
    <xf numFmtId="0" fontId="3" fillId="5" borderId="3" xfId="0" applyFont="1" applyFill="1" applyBorder="1" applyAlignment="1">
      <alignment horizontal="center" vertical="center"/>
    </xf>
    <xf numFmtId="1" fontId="3" fillId="5" borderId="3" xfId="0" applyNumberFormat="1" applyFont="1" applyFill="1" applyBorder="1"/>
    <xf numFmtId="1" fontId="24" fillId="0" borderId="3" xfId="0" applyNumberFormat="1" applyFont="1" applyBorder="1"/>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PRYJ%20MAY'21%20-%20AS%20OBG(SL)%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PRYJ"/>
      <sheetName val="Sheet1"/>
    </sheetNames>
    <sheetDataSet>
      <sheetData sheetId="0" refreshError="1"/>
      <sheetData sheetId="1" refreshError="1"/>
      <sheetData sheetId="2" refreshError="1"/>
      <sheetData sheetId="3" refreshError="1">
        <row r="5">
          <cell r="L5" t="str">
            <v/>
          </cell>
        </row>
        <row r="61">
          <cell r="B61">
            <v>152671</v>
          </cell>
          <cell r="C61">
            <v>650631</v>
          </cell>
          <cell r="D61">
            <v>187957</v>
          </cell>
          <cell r="E61">
            <v>435800</v>
          </cell>
          <cell r="G61">
            <v>856580</v>
          </cell>
          <cell r="H61">
            <v>755223</v>
          </cell>
          <cell r="I61">
            <v>862518</v>
          </cell>
          <cell r="J61">
            <v>201386</v>
          </cell>
          <cell r="K61">
            <v>225057</v>
          </cell>
          <cell r="L61">
            <v>297912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34" t="s">
        <v>214</v>
      </c>
      <c r="B1" s="271"/>
      <c r="C1" s="271"/>
      <c r="D1" s="271"/>
      <c r="E1" s="271"/>
      <c r="F1" s="271"/>
      <c r="G1" s="271"/>
      <c r="H1" s="271"/>
      <c r="I1" s="271"/>
      <c r="J1" s="271"/>
      <c r="K1" s="271"/>
      <c r="L1" s="271"/>
      <c r="M1" s="271"/>
      <c r="N1" s="271"/>
      <c r="O1" s="271"/>
      <c r="P1" s="271"/>
    </row>
    <row r="3" spans="1:27">
      <c r="A3" s="334" t="s">
        <v>215</v>
      </c>
      <c r="B3" s="271"/>
      <c r="C3" s="271"/>
      <c r="D3" s="271"/>
      <c r="E3" s="271"/>
      <c r="F3" s="271"/>
      <c r="G3" s="271"/>
      <c r="H3" s="271"/>
      <c r="I3" s="271"/>
      <c r="J3" s="271"/>
      <c r="K3" s="271"/>
      <c r="L3" s="271"/>
      <c r="M3" s="271"/>
      <c r="N3" s="271"/>
      <c r="O3" s="271"/>
      <c r="P3" s="271"/>
    </row>
    <row r="5" spans="1:27" ht="76.5">
      <c r="A5" s="142" t="s">
        <v>216</v>
      </c>
      <c r="B5" s="142" t="s">
        <v>217</v>
      </c>
      <c r="C5" s="142" t="s">
        <v>218</v>
      </c>
      <c r="D5" s="142" t="s">
        <v>219</v>
      </c>
      <c r="E5" s="142" t="s">
        <v>220</v>
      </c>
      <c r="F5" s="142" t="s">
        <v>221</v>
      </c>
      <c r="G5" s="142" t="s">
        <v>222</v>
      </c>
      <c r="H5" s="146" t="s">
        <v>223</v>
      </c>
      <c r="I5" s="142" t="s">
        <v>224</v>
      </c>
      <c r="J5" s="142" t="s">
        <v>225</v>
      </c>
      <c r="K5" s="142" t="s">
        <v>226</v>
      </c>
      <c r="L5" s="142" t="s">
        <v>227</v>
      </c>
      <c r="M5" s="142" t="s">
        <v>228</v>
      </c>
      <c r="N5" s="142" t="s">
        <v>229</v>
      </c>
      <c r="O5" s="142" t="s">
        <v>230</v>
      </c>
      <c r="P5" s="170" t="s">
        <v>231</v>
      </c>
      <c r="Q5" s="171" t="s">
        <v>64</v>
      </c>
      <c r="R5" s="171" t="s">
        <v>281</v>
      </c>
      <c r="S5" s="143"/>
      <c r="T5" s="143"/>
      <c r="U5" s="143"/>
      <c r="V5" s="143"/>
      <c r="X5" s="143"/>
      <c r="Y5" s="143"/>
      <c r="Z5" s="143"/>
      <c r="AA5" s="143"/>
    </row>
    <row r="6" spans="1:27">
      <c r="A6" s="144" t="s">
        <v>232</v>
      </c>
      <c r="B6" s="144" t="s">
        <v>233</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232</v>
      </c>
      <c r="B7" s="144" t="s">
        <v>234</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232</v>
      </c>
      <c r="B8" s="144" t="s">
        <v>235</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232</v>
      </c>
      <c r="B9" s="144" t="s">
        <v>236</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232</v>
      </c>
      <c r="B10" s="144" t="s">
        <v>237</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232</v>
      </c>
      <c r="B11" s="144" t="s">
        <v>238</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232</v>
      </c>
      <c r="B12" s="144" t="s">
        <v>239</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232</v>
      </c>
      <c r="B13" s="144" t="s">
        <v>240</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232</v>
      </c>
      <c r="B14" s="144" t="s">
        <v>241</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232</v>
      </c>
      <c r="B15" s="144" t="s">
        <v>242</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232</v>
      </c>
      <c r="B16" s="144" t="s">
        <v>243</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232</v>
      </c>
      <c r="B17" s="144" t="s">
        <v>244</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232</v>
      </c>
      <c r="B18" s="144" t="s">
        <v>122</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271</v>
      </c>
      <c r="B1" s="36"/>
    </row>
    <row r="2" spans="1:19">
      <c r="M2" s="36" t="s">
        <v>142</v>
      </c>
      <c r="P2" s="175" t="s">
        <v>283</v>
      </c>
    </row>
    <row r="3" spans="1:19" s="36" customFormat="1" ht="15" customHeight="1">
      <c r="A3" s="279" t="s">
        <v>143</v>
      </c>
      <c r="B3" s="277" t="s">
        <v>288</v>
      </c>
      <c r="C3" s="287" t="str">
        <f>'PU Wise OWE'!$B$7</f>
        <v>Actuals upto March-23</v>
      </c>
      <c r="D3" s="277" t="s">
        <v>165</v>
      </c>
      <c r="E3" s="277"/>
      <c r="F3" s="287" t="str">
        <f>'PU Wise OWE'!$B$5</f>
        <v xml:space="preserve">FG 2023-24 </v>
      </c>
      <c r="G3" s="277" t="s">
        <v>294</v>
      </c>
      <c r="H3" s="277" t="s">
        <v>302</v>
      </c>
      <c r="I3" s="287" t="str">
        <f>'PU Wise OWE'!B8</f>
        <v>Actuals upto March-24</v>
      </c>
      <c r="J3" s="277" t="s">
        <v>197</v>
      </c>
      <c r="K3" s="274" t="s">
        <v>198</v>
      </c>
      <c r="L3" s="274"/>
      <c r="M3" s="274" t="s">
        <v>139</v>
      </c>
      <c r="N3" s="274"/>
      <c r="O3" s="332" t="s">
        <v>300</v>
      </c>
      <c r="P3" s="176" t="s">
        <v>284</v>
      </c>
      <c r="Q3" s="156"/>
    </row>
    <row r="4" spans="1:19" ht="15.6" customHeight="1">
      <c r="A4" s="280"/>
      <c r="B4" s="278"/>
      <c r="C4" s="278"/>
      <c r="D4" s="278"/>
      <c r="E4" s="278"/>
      <c r="F4" s="278"/>
      <c r="G4" s="278"/>
      <c r="H4" s="278"/>
      <c r="I4" s="278"/>
      <c r="J4" s="278"/>
      <c r="K4" s="19" t="s">
        <v>137</v>
      </c>
      <c r="L4" s="18" t="s">
        <v>138</v>
      </c>
      <c r="M4" s="19" t="s">
        <v>137</v>
      </c>
      <c r="N4" s="18" t="s">
        <v>138</v>
      </c>
      <c r="O4" s="332"/>
      <c r="P4" s="175" t="s">
        <v>285</v>
      </c>
      <c r="R4" s="71" t="s">
        <v>272</v>
      </c>
    </row>
    <row r="5" spans="1:19" ht="15.75">
      <c r="A5" s="63" t="s">
        <v>140</v>
      </c>
      <c r="B5" s="105">
        <v>4575.6000000000004</v>
      </c>
      <c r="C5" s="72">
        <f>ROUND('PU Wise OWE'!$AD$128/10000,2)</f>
        <v>2633.93</v>
      </c>
      <c r="D5" s="68">
        <f>C5/C7</f>
        <v>0.63894360457218269</v>
      </c>
      <c r="E5" s="68"/>
      <c r="F5" s="22">
        <f>ROUND('PU Wise OWE'!$AD$126/10000,2)</f>
        <v>2937.7</v>
      </c>
      <c r="G5" s="68">
        <f>F5/F7</f>
        <v>0.65578052101703233</v>
      </c>
      <c r="H5" s="23">
        <f>ROUND('PU Wise OWE'!$AD$127/10000,2)</f>
        <v>2931.28</v>
      </c>
      <c r="I5" s="23">
        <f>ROUND('PU Wise OWE'!$AD$129/10000,2)</f>
        <v>2932.73</v>
      </c>
      <c r="J5" s="24">
        <f>I5/$I$7</f>
        <v>0.65580709937968762</v>
      </c>
      <c r="K5" s="22">
        <f>H5-I5</f>
        <v>-1.4499999999998181</v>
      </c>
      <c r="L5" s="24">
        <f>K5/I5</f>
        <v>-4.9441987499695441E-4</v>
      </c>
      <c r="M5" s="22">
        <f>I5-C5</f>
        <v>298.80000000000018</v>
      </c>
      <c r="N5" s="54">
        <f>M5/C5</f>
        <v>0.11344265033618972</v>
      </c>
      <c r="O5" s="54">
        <f>I5/F5</f>
        <v>0.99830820029274614</v>
      </c>
      <c r="P5" s="149">
        <f>10.57+1.36+2.68+11.45+3.4+9.35</f>
        <v>38.809999999999995</v>
      </c>
      <c r="Q5" s="165">
        <f>Q28+I5-I28</f>
        <v>3488.1720000000005</v>
      </c>
      <c r="R5" s="70">
        <f>Q5-F5</f>
        <v>550.47200000000066</v>
      </c>
      <c r="S5" s="70"/>
    </row>
    <row r="6" spans="1:19" ht="15.75">
      <c r="A6" s="80" t="s">
        <v>136</v>
      </c>
      <c r="B6" s="105">
        <v>3242.41</v>
      </c>
      <c r="C6" s="72">
        <f>C7-C5</f>
        <v>1488.3899999999999</v>
      </c>
      <c r="D6" s="68">
        <f>C6/C7</f>
        <v>0.36105639542781737</v>
      </c>
      <c r="E6" s="68"/>
      <c r="F6" s="21">
        <f>F7-F5</f>
        <v>1542</v>
      </c>
      <c r="G6" s="68">
        <f>F6/F7</f>
        <v>0.34421947898296762</v>
      </c>
      <c r="H6" s="21">
        <f>H7-H5</f>
        <v>1548.4199999999996</v>
      </c>
      <c r="I6" s="21">
        <f>I7-I5</f>
        <v>1539.2099999999996</v>
      </c>
      <c r="J6" s="24">
        <f>I6/$I$7</f>
        <v>0.34419290062031238</v>
      </c>
      <c r="K6" s="22">
        <f>H6-I6</f>
        <v>9.2100000000000364</v>
      </c>
      <c r="L6" s="24">
        <f>K6/I6</f>
        <v>5.9835889839593287E-3</v>
      </c>
      <c r="M6" s="22">
        <f>I6-C6</f>
        <v>50.819999999999709</v>
      </c>
      <c r="N6" s="54">
        <f>M6/C6</f>
        <v>3.4144276701670744E-2</v>
      </c>
      <c r="O6" s="54">
        <f>I6/F6</f>
        <v>0.99819066147859892</v>
      </c>
      <c r="P6" s="149">
        <f>26.18+9.93</f>
        <v>36.11</v>
      </c>
      <c r="Q6" s="165">
        <f>Q85+I6-I85</f>
        <v>1427.5819999999994</v>
      </c>
      <c r="R6" s="70">
        <f>Q6-F6</f>
        <v>-114.41800000000057</v>
      </c>
      <c r="S6" s="70"/>
    </row>
    <row r="7" spans="1:19">
      <c r="A7" s="27" t="s">
        <v>163</v>
      </c>
      <c r="B7" s="106">
        <f>SUM(B5:B6)</f>
        <v>7818.01</v>
      </c>
      <c r="C7" s="73">
        <f>ROUND('PU Wise OWE'!BK128/10000,2)</f>
        <v>4122.32</v>
      </c>
      <c r="D7" s="69">
        <f>SUM(D5:D6)</f>
        <v>1</v>
      </c>
      <c r="E7" s="69"/>
      <c r="F7" s="26">
        <f>ROUND('PU Wise OWE'!BK126/10000,2)</f>
        <v>4479.7</v>
      </c>
      <c r="G7" s="69">
        <f>SUM(G5:G6)</f>
        <v>1</v>
      </c>
      <c r="H7" s="25">
        <f>ROUND('PU Wise OWE'!BK127/10000,2)</f>
        <v>4479.7</v>
      </c>
      <c r="I7" s="25">
        <f>ROUND('PU Wise OWE'!BK129/10000,2)</f>
        <v>4471.9399999999996</v>
      </c>
      <c r="J7" s="56">
        <f>I7/$I$7</f>
        <v>1</v>
      </c>
      <c r="K7" s="26">
        <f>H7-I7</f>
        <v>7.7600000000002183</v>
      </c>
      <c r="L7" s="56">
        <f>K7/I7</f>
        <v>1.7352647844112888E-3</v>
      </c>
      <c r="M7" s="26">
        <f>I7-C7</f>
        <v>349.61999999999989</v>
      </c>
      <c r="N7" s="57">
        <f>M7/C7</f>
        <v>8.4811465388422033E-2</v>
      </c>
      <c r="O7" s="54">
        <f>I7/F7</f>
        <v>0.99826774114338013</v>
      </c>
      <c r="Q7" s="70">
        <f>SUM(Q5:Q6)</f>
        <v>4915.7539999999999</v>
      </c>
      <c r="R7" s="70">
        <f>Q7-F7</f>
        <v>436.05400000000009</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164</v>
      </c>
      <c r="B10" s="64"/>
      <c r="C10" s="75"/>
      <c r="D10" s="65"/>
      <c r="E10" s="65"/>
      <c r="F10" s="65"/>
      <c r="G10" s="65"/>
      <c r="H10" s="65"/>
      <c r="I10" s="65"/>
      <c r="J10" s="65"/>
      <c r="K10" s="65"/>
      <c r="L10" s="65"/>
      <c r="M10" s="36" t="s">
        <v>142</v>
      </c>
    </row>
    <row r="11" spans="1:19" ht="15" customHeight="1">
      <c r="A11" s="285"/>
      <c r="B11" s="285" t="s">
        <v>288</v>
      </c>
      <c r="C11" s="288" t="str">
        <f>'PU Wise OWE'!$B$7</f>
        <v>Actuals upto March-23</v>
      </c>
      <c r="D11" s="285" t="s">
        <v>165</v>
      </c>
      <c r="E11" s="285"/>
      <c r="F11" s="328" t="str">
        <f>'PU Wise OWE'!$B$5</f>
        <v xml:space="preserve">FG 2023-24 </v>
      </c>
      <c r="G11" s="285" t="s">
        <v>295</v>
      </c>
      <c r="H11" s="285" t="s">
        <v>302</v>
      </c>
      <c r="I11" s="288" t="str">
        <f>'PU Wise OWE'!B8</f>
        <v>Actuals upto March-24</v>
      </c>
      <c r="J11" s="285" t="s">
        <v>197</v>
      </c>
      <c r="K11" s="289" t="s">
        <v>198</v>
      </c>
      <c r="L11" s="289"/>
      <c r="M11" s="289" t="s">
        <v>139</v>
      </c>
      <c r="N11" s="289"/>
      <c r="O11" s="333" t="s">
        <v>300</v>
      </c>
      <c r="P11" s="335" t="s">
        <v>259</v>
      </c>
      <c r="Q11" s="164"/>
    </row>
    <row r="12" spans="1:19" ht="17.25" customHeight="1">
      <c r="A12" s="286"/>
      <c r="B12" s="286"/>
      <c r="C12" s="286"/>
      <c r="D12" s="286"/>
      <c r="E12" s="286"/>
      <c r="F12" s="329"/>
      <c r="G12" s="286"/>
      <c r="H12" s="286"/>
      <c r="I12" s="286"/>
      <c r="J12" s="286"/>
      <c r="K12" s="66" t="s">
        <v>137</v>
      </c>
      <c r="L12" s="67" t="s">
        <v>138</v>
      </c>
      <c r="M12" s="66" t="s">
        <v>137</v>
      </c>
      <c r="N12" s="67" t="s">
        <v>138</v>
      </c>
      <c r="O12" s="333"/>
      <c r="P12" s="335"/>
      <c r="Q12" s="164"/>
    </row>
    <row r="13" spans="1:19" ht="15.75">
      <c r="A13" s="20" t="s">
        <v>144</v>
      </c>
      <c r="B13" s="107">
        <v>2522.8000000000002</v>
      </c>
      <c r="C13" s="72">
        <f>ROUND('PU Wise OWE'!$C$128/10000,2)</f>
        <v>1258.0899999999999</v>
      </c>
      <c r="D13" s="68">
        <f>C13/$C$7</f>
        <v>0.30518979603718294</v>
      </c>
      <c r="E13" s="21"/>
      <c r="F13" s="22">
        <f>ROUND('PU Wise OWE'!$C$126/10000,2)</f>
        <v>1298.0999999999999</v>
      </c>
      <c r="G13" s="24">
        <f>F13/$F$7</f>
        <v>0.2897738687858562</v>
      </c>
      <c r="H13" s="23">
        <f>ROUND('PU Wise OWE'!$C$127/10000,2)</f>
        <v>1298.0999999999999</v>
      </c>
      <c r="I13" s="23">
        <f>ROUND('PU Wise OWE'!$C$129/10000,2)</f>
        <v>1295.97</v>
      </c>
      <c r="J13" s="24">
        <f>I13/$I$7</f>
        <v>0.28980039982647354</v>
      </c>
      <c r="K13" s="22">
        <f>H13-I13</f>
        <v>2.1299999999998818</v>
      </c>
      <c r="L13" s="24">
        <f>K13/I13</f>
        <v>1.6435565638092562E-3</v>
      </c>
      <c r="M13" s="22">
        <f t="shared" ref="M13:M28" si="0">I13-C13</f>
        <v>37.880000000000109</v>
      </c>
      <c r="N13" s="54">
        <f t="shared" ref="N13:N28" si="1">M13/C13</f>
        <v>3.0109133686779255E-2</v>
      </c>
      <c r="O13" s="54">
        <f>I13/F13</f>
        <v>0.99835914028195061</v>
      </c>
      <c r="P13" s="157"/>
      <c r="Q13" s="165">
        <f>(I13/10)*12</f>
        <v>1555.1640000000002</v>
      </c>
      <c r="R13" s="169">
        <f t="shared" ref="R13:R27" si="2">Q13-F13</f>
        <v>257.06400000000031</v>
      </c>
    </row>
    <row r="14" spans="1:19" ht="15.75">
      <c r="A14" s="20" t="s">
        <v>145</v>
      </c>
      <c r="B14" s="107">
        <v>441.91</v>
      </c>
      <c r="C14" s="72">
        <f>ROUND('PU Wise OWE'!$D$128/10000,2)</f>
        <v>500.31</v>
      </c>
      <c r="D14" s="68">
        <f t="shared" ref="D14:D27" si="3">C14/$C$7</f>
        <v>0.12136612393021406</v>
      </c>
      <c r="E14" s="21"/>
      <c r="F14" s="22">
        <f>ROUND('PU Wise OWE'!$D$126/10000,2)</f>
        <v>638.29</v>
      </c>
      <c r="G14" s="24">
        <f t="shared" ref="G14:G27" si="4">F14/$F$7</f>
        <v>0.14248498783400673</v>
      </c>
      <c r="H14" s="23">
        <f>ROUND('PU Wise OWE'!$D$127/10000,2)</f>
        <v>638.29</v>
      </c>
      <c r="I14" s="23">
        <f>ROUND('PU Wise OWE'!$D$129/10000,2)</f>
        <v>637.25</v>
      </c>
      <c r="J14" s="24">
        <f t="shared" ref="J14:J28" si="5">I14/$I$7</f>
        <v>0.14249967575593592</v>
      </c>
      <c r="K14" s="22">
        <f t="shared" ref="K14:K28" si="6">H14-I14</f>
        <v>1.0399999999999636</v>
      </c>
      <c r="L14" s="24">
        <f t="shared" ref="L14:L28" si="7">K14/I14</f>
        <v>1.6320125539426656E-3</v>
      </c>
      <c r="M14" s="22">
        <f t="shared" si="0"/>
        <v>136.94</v>
      </c>
      <c r="N14" s="54">
        <f t="shared" si="1"/>
        <v>0.27371029961423915</v>
      </c>
      <c r="O14" s="54">
        <f t="shared" ref="O14:O27" si="8">I14/F14</f>
        <v>0.99837064657130781</v>
      </c>
      <c r="P14" s="157"/>
      <c r="Q14" s="165">
        <f>(I14/10)*12</f>
        <v>764.7</v>
      </c>
      <c r="R14" s="70">
        <f t="shared" si="2"/>
        <v>126.41000000000008</v>
      </c>
    </row>
    <row r="15" spans="1:19" ht="15.75">
      <c r="A15" s="23" t="s">
        <v>166</v>
      </c>
      <c r="B15" s="22">
        <v>98.2</v>
      </c>
      <c r="C15" s="72">
        <f>ROUND('PU Wise OWE'!$E$128/10000,2)</f>
        <v>50.81</v>
      </c>
      <c r="D15" s="68">
        <f t="shared" si="3"/>
        <v>1.232558365192416E-2</v>
      </c>
      <c r="E15" s="21"/>
      <c r="F15" s="22">
        <f>ROUND('PU Wise OWE'!$E$126/10000,2)</f>
        <v>51.59</v>
      </c>
      <c r="G15" s="24">
        <f t="shared" si="4"/>
        <v>1.1516396187244683E-2</v>
      </c>
      <c r="H15" s="23">
        <f>ROUND('PU Wise OWE'!$E$127/10000,2)</f>
        <v>56.97</v>
      </c>
      <c r="I15" s="23">
        <f>ROUND('PU Wise OWE'!$E$129/10000,2)</f>
        <v>51.5</v>
      </c>
      <c r="J15" s="24">
        <f t="shared" si="5"/>
        <v>1.1516254690358101E-2</v>
      </c>
      <c r="K15" s="22">
        <f t="shared" si="6"/>
        <v>5.4699999999999989</v>
      </c>
      <c r="L15" s="24">
        <f t="shared" si="7"/>
        <v>0.10621359223300969</v>
      </c>
      <c r="M15" s="22">
        <f t="shared" si="0"/>
        <v>0.68999999999999773</v>
      </c>
      <c r="N15" s="54">
        <f t="shared" si="1"/>
        <v>1.358000393623298E-2</v>
      </c>
      <c r="O15" s="54">
        <f t="shared" si="8"/>
        <v>0.99825547586741614</v>
      </c>
      <c r="P15" s="157" t="s">
        <v>260</v>
      </c>
      <c r="Q15" s="165">
        <f>F15</f>
        <v>51.59</v>
      </c>
      <c r="R15" s="70">
        <f t="shared" si="2"/>
        <v>0</v>
      </c>
    </row>
    <row r="16" spans="1:19" ht="15.75">
      <c r="A16" s="23" t="s">
        <v>167</v>
      </c>
      <c r="B16" s="22">
        <v>264.85000000000002</v>
      </c>
      <c r="C16" s="72">
        <f>ROUND('PU Wise OWE'!$F$128/10000,2)</f>
        <v>143.61000000000001</v>
      </c>
      <c r="D16" s="68">
        <f t="shared" si="3"/>
        <v>3.4837179064216274E-2</v>
      </c>
      <c r="E16" s="21"/>
      <c r="F16" s="22">
        <f>ROUND('PU Wise OWE'!$F$126/10000,2)</f>
        <v>150.65</v>
      </c>
      <c r="G16" s="24">
        <f t="shared" si="4"/>
        <v>3.3629484117239997E-2</v>
      </c>
      <c r="H16" s="23">
        <f>ROUND('PU Wise OWE'!$F$127/10000,2)</f>
        <v>150.16</v>
      </c>
      <c r="I16" s="23">
        <f>ROUND('PU Wise OWE'!$F$129/10000,2)</f>
        <v>150.4</v>
      </c>
      <c r="J16" s="24">
        <f t="shared" si="5"/>
        <v>3.3631936027764243E-2</v>
      </c>
      <c r="K16" s="22">
        <f t="shared" si="6"/>
        <v>-0.24000000000000909</v>
      </c>
      <c r="L16" s="24">
        <f t="shared" si="7"/>
        <v>-1.5957446808511242E-3</v>
      </c>
      <c r="M16" s="22">
        <f t="shared" si="0"/>
        <v>6.789999999999992</v>
      </c>
      <c r="N16" s="54">
        <f t="shared" si="1"/>
        <v>4.7280830025764164E-2</v>
      </c>
      <c r="O16" s="54">
        <f t="shared" si="8"/>
        <v>0.99834052439429144</v>
      </c>
      <c r="P16" s="157"/>
      <c r="Q16" s="165">
        <f>(I16/10)*12</f>
        <v>180.48000000000002</v>
      </c>
      <c r="R16" s="70">
        <f t="shared" si="2"/>
        <v>29.830000000000013</v>
      </c>
    </row>
    <row r="17" spans="1:18" ht="15.75">
      <c r="A17" s="23" t="s">
        <v>168</v>
      </c>
      <c r="B17" s="22">
        <v>134.78</v>
      </c>
      <c r="C17" s="72">
        <f>ROUND('PU Wise OWE'!$G$128/10000,2)</f>
        <v>93.6</v>
      </c>
      <c r="D17" s="68">
        <f t="shared" si="3"/>
        <v>2.270566088998428E-2</v>
      </c>
      <c r="E17" s="21"/>
      <c r="F17" s="22">
        <f>ROUND('PU Wise OWE'!$G$126/10000,2)</f>
        <v>103.38</v>
      </c>
      <c r="G17" s="24">
        <f t="shared" si="4"/>
        <v>2.3077438221309463E-2</v>
      </c>
      <c r="H17" s="23">
        <f>ROUND('PU Wise OWE'!$G$127/10000,2)</f>
        <v>92.07</v>
      </c>
      <c r="I17" s="23">
        <f>ROUND('PU Wise OWE'!$G$129/10000,2)</f>
        <v>103.21</v>
      </c>
      <c r="J17" s="24">
        <f t="shared" si="5"/>
        <v>2.307946886586135E-2</v>
      </c>
      <c r="K17" s="22">
        <f t="shared" si="6"/>
        <v>-11.14</v>
      </c>
      <c r="L17" s="24">
        <f t="shared" si="7"/>
        <v>-0.10793527758938089</v>
      </c>
      <c r="M17" s="22">
        <f t="shared" si="0"/>
        <v>9.61</v>
      </c>
      <c r="N17" s="54">
        <f t="shared" si="1"/>
        <v>0.10267094017094017</v>
      </c>
      <c r="O17" s="54">
        <f t="shared" si="8"/>
        <v>0.99835558135035785</v>
      </c>
      <c r="P17" s="157"/>
      <c r="Q17" s="165">
        <f>(I17/10)*12</f>
        <v>123.852</v>
      </c>
      <c r="R17" s="70">
        <f t="shared" si="2"/>
        <v>20.472000000000008</v>
      </c>
    </row>
    <row r="18" spans="1:18" ht="15.75">
      <c r="A18" s="20" t="s">
        <v>146</v>
      </c>
      <c r="B18" s="107">
        <v>247.05</v>
      </c>
      <c r="C18" s="72">
        <f>ROUND('PU Wise OWE'!$H$128/10000,2)</f>
        <v>156.4</v>
      </c>
      <c r="D18" s="68">
        <f t="shared" si="3"/>
        <v>3.7939800888819888E-2</v>
      </c>
      <c r="E18" s="21"/>
      <c r="F18" s="22">
        <f>ROUND('PU Wise OWE'!$H$126/10000,2)</f>
        <v>182.01</v>
      </c>
      <c r="G18" s="24">
        <f t="shared" si="4"/>
        <v>4.0629952898631604E-2</v>
      </c>
      <c r="H18" s="23">
        <f>ROUND('PU Wise OWE'!$H$127/10000,2)</f>
        <v>182.01</v>
      </c>
      <c r="I18" s="23">
        <f>ROUND('PU Wise OWE'!$H$129/10000,2)</f>
        <v>182.01</v>
      </c>
      <c r="J18" s="24">
        <f t="shared" si="5"/>
        <v>4.0700456625088886E-2</v>
      </c>
      <c r="K18" s="22">
        <f t="shared" si="6"/>
        <v>0</v>
      </c>
      <c r="L18" s="24">
        <f t="shared" si="7"/>
        <v>0</v>
      </c>
      <c r="M18" s="22">
        <f t="shared" si="0"/>
        <v>25.609999999999985</v>
      </c>
      <c r="N18" s="54">
        <f t="shared" si="1"/>
        <v>0.16374680306905362</v>
      </c>
      <c r="O18" s="54">
        <f t="shared" si="8"/>
        <v>1</v>
      </c>
      <c r="P18" s="157"/>
      <c r="Q18" s="165">
        <f>(I18/10)*12</f>
        <v>218.41200000000001</v>
      </c>
      <c r="R18" s="70">
        <f t="shared" si="2"/>
        <v>36.402000000000015</v>
      </c>
    </row>
    <row r="19" spans="1:18" ht="72" customHeight="1">
      <c r="A19" s="58" t="s">
        <v>147</v>
      </c>
      <c r="B19" s="108">
        <v>188.24</v>
      </c>
      <c r="C19" s="72">
        <f>ROUND('PU Wise OWE'!$J$128/10000,2)</f>
        <v>143.69999999999999</v>
      </c>
      <c r="D19" s="68">
        <f t="shared" si="3"/>
        <v>3.4859011430456638E-2</v>
      </c>
      <c r="E19" s="21"/>
      <c r="F19" s="22">
        <f>ROUND('PU Wise OWE'!$J$126/10000,2)</f>
        <v>179.77</v>
      </c>
      <c r="G19" s="24">
        <f t="shared" si="4"/>
        <v>4.0129919414246491E-2</v>
      </c>
      <c r="H19" s="23">
        <f>ROUND('PU Wise OWE'!$J$127/10000,2)</f>
        <v>179.77</v>
      </c>
      <c r="I19" s="23">
        <f>ROUND('PU Wise OWE'!$J$129/10000,2)</f>
        <v>179.47</v>
      </c>
      <c r="J19" s="24">
        <f t="shared" si="5"/>
        <v>4.0132470471428511E-2</v>
      </c>
      <c r="K19" s="22">
        <f t="shared" si="6"/>
        <v>0.30000000000001137</v>
      </c>
      <c r="L19" s="24">
        <f t="shared" si="7"/>
        <v>1.6715885663342697E-3</v>
      </c>
      <c r="M19" s="22">
        <f t="shared" si="0"/>
        <v>35.77000000000001</v>
      </c>
      <c r="N19" s="54">
        <f t="shared" si="1"/>
        <v>0.24892136395267928</v>
      </c>
      <c r="O19" s="54">
        <f t="shared" si="8"/>
        <v>0.99833120097902872</v>
      </c>
      <c r="P19" s="158" t="s">
        <v>274</v>
      </c>
      <c r="Q19" s="165">
        <f>(I19-10.57)/10*2+I19</f>
        <v>213.25</v>
      </c>
      <c r="R19" s="169">
        <f t="shared" si="2"/>
        <v>33.47999999999999</v>
      </c>
    </row>
    <row r="20" spans="1:18" ht="48" customHeight="1">
      <c r="A20" s="20" t="s">
        <v>148</v>
      </c>
      <c r="B20" s="107">
        <v>12.03</v>
      </c>
      <c r="C20" s="72">
        <f>ROUND('PU Wise OWE'!$K$128/10000,2)</f>
        <v>8.98</v>
      </c>
      <c r="D20" s="68">
        <f t="shared" si="3"/>
        <v>2.1783849870946458E-3</v>
      </c>
      <c r="E20" s="21"/>
      <c r="F20" s="22">
        <f>ROUND('PU Wise OWE'!$K$126/10000,2)</f>
        <v>10.220000000000001</v>
      </c>
      <c r="G20" s="24">
        <f t="shared" si="4"/>
        <v>2.2814027725070879E-3</v>
      </c>
      <c r="H20" s="23">
        <f>ROUND('PU Wise OWE'!$K$127/10000,2)</f>
        <v>10.220000000000001</v>
      </c>
      <c r="I20" s="23">
        <f>ROUND('PU Wise OWE'!$K$129/10000,2)</f>
        <v>10.210000000000001</v>
      </c>
      <c r="J20" s="24">
        <f t="shared" si="5"/>
        <v>2.2831254444379847E-3</v>
      </c>
      <c r="K20" s="22">
        <f t="shared" si="6"/>
        <v>9.9999999999997868E-3</v>
      </c>
      <c r="L20" s="24">
        <f t="shared" si="7"/>
        <v>9.7943192948088008E-4</v>
      </c>
      <c r="M20" s="22">
        <f t="shared" si="0"/>
        <v>1.2300000000000004</v>
      </c>
      <c r="N20" s="54">
        <f t="shared" si="1"/>
        <v>0.13697104677060137</v>
      </c>
      <c r="O20" s="54">
        <f t="shared" si="8"/>
        <v>0.99902152641878672</v>
      </c>
      <c r="P20" s="158" t="s">
        <v>273</v>
      </c>
      <c r="Q20" s="165">
        <f>(I20-1.36)/10*2+I20</f>
        <v>11.98</v>
      </c>
      <c r="R20" s="70">
        <f t="shared" si="2"/>
        <v>1.7599999999999998</v>
      </c>
    </row>
    <row r="21" spans="1:18" ht="60">
      <c r="A21" s="20" t="s">
        <v>149</v>
      </c>
      <c r="B21" s="107">
        <v>48.93</v>
      </c>
      <c r="C21" s="72">
        <f>ROUND('PU Wise OWE'!$L$128/10000,2)</f>
        <v>26.79</v>
      </c>
      <c r="D21" s="68">
        <f t="shared" si="3"/>
        <v>6.4987676842166546E-3</v>
      </c>
      <c r="E21" s="21"/>
      <c r="F21" s="22">
        <f>ROUND('PU Wise OWE'!$L$126/10000,2)</f>
        <v>43.09</v>
      </c>
      <c r="G21" s="24">
        <f t="shared" si="4"/>
        <v>9.6189476973904519E-3</v>
      </c>
      <c r="H21" s="23">
        <f>ROUND('PU Wise OWE'!$L$127/10000,2)</f>
        <v>43.09</v>
      </c>
      <c r="I21" s="23">
        <f>ROUND('PU Wise OWE'!$L$129/10000,2)</f>
        <v>43.02</v>
      </c>
      <c r="J21" s="24">
        <f t="shared" si="5"/>
        <v>9.6199859568777777E-3</v>
      </c>
      <c r="K21" s="22">
        <f t="shared" si="6"/>
        <v>7.0000000000000284E-2</v>
      </c>
      <c r="L21" s="24">
        <f t="shared" si="7"/>
        <v>1.6271501627150228E-3</v>
      </c>
      <c r="M21" s="22">
        <f t="shared" si="0"/>
        <v>16.230000000000004</v>
      </c>
      <c r="N21" s="54">
        <f t="shared" si="1"/>
        <v>0.60582306830907073</v>
      </c>
      <c r="O21" s="54">
        <f t="shared" si="8"/>
        <v>0.99837549315386398</v>
      </c>
      <c r="P21" s="158" t="s">
        <v>275</v>
      </c>
      <c r="Q21" s="165">
        <f>(I21-2.68)/10*2+I21</f>
        <v>51.088000000000008</v>
      </c>
      <c r="R21" s="70">
        <f t="shared" si="2"/>
        <v>7.9980000000000047</v>
      </c>
    </row>
    <row r="22" spans="1:18" ht="45">
      <c r="A22" s="20" t="s">
        <v>171</v>
      </c>
      <c r="B22" s="107">
        <v>120.4</v>
      </c>
      <c r="C22" s="72">
        <f>ROUND('PU Wise OWE'!$M$128/10000,2)</f>
        <v>66.510000000000005</v>
      </c>
      <c r="D22" s="68">
        <f t="shared" si="3"/>
        <v>1.6134118651633063E-2</v>
      </c>
      <c r="E22" s="21"/>
      <c r="F22" s="22">
        <f>ROUND('PU Wise OWE'!$M$126/10000,2)</f>
        <v>71.540000000000006</v>
      </c>
      <c r="G22" s="24">
        <f t="shared" si="4"/>
        <v>1.5969819407549615E-2</v>
      </c>
      <c r="H22" s="23">
        <f>ROUND('PU Wise OWE'!$M$127/10000,2)</f>
        <v>71.540000000000006</v>
      </c>
      <c r="I22" s="23">
        <f>ROUND('PU Wise OWE'!$M$129/10000,2)</f>
        <v>71.42</v>
      </c>
      <c r="J22" s="24">
        <f t="shared" si="5"/>
        <v>1.5970697281269427E-2</v>
      </c>
      <c r="K22" s="22">
        <f t="shared" si="6"/>
        <v>0.12000000000000455</v>
      </c>
      <c r="L22" s="24">
        <f t="shared" si="7"/>
        <v>1.6802016241949671E-3</v>
      </c>
      <c r="M22" s="22">
        <f t="shared" si="0"/>
        <v>4.9099999999999966</v>
      </c>
      <c r="N22" s="54">
        <f t="shared" si="1"/>
        <v>7.3823485190196908E-2</v>
      </c>
      <c r="O22" s="54">
        <f t="shared" si="8"/>
        <v>0.99832261671792</v>
      </c>
      <c r="P22" s="158" t="s">
        <v>261</v>
      </c>
      <c r="Q22" s="165">
        <f>(I22/10)*12</f>
        <v>85.704000000000008</v>
      </c>
      <c r="R22" s="70">
        <f t="shared" si="2"/>
        <v>14.164000000000001</v>
      </c>
    </row>
    <row r="23" spans="1:18" ht="60">
      <c r="A23" s="58" t="s">
        <v>150</v>
      </c>
      <c r="B23" s="108">
        <v>88.73</v>
      </c>
      <c r="C23" s="72">
        <f>ROUND('PU Wise OWE'!$P$128/10000,2)</f>
        <v>49.82</v>
      </c>
      <c r="D23" s="68">
        <f t="shared" si="3"/>
        <v>1.2085427623280095E-2</v>
      </c>
      <c r="E23" s="21"/>
      <c r="F23" s="22">
        <f>ROUND('PU Wise OWE'!$P$126/10000,2)</f>
        <v>62.07</v>
      </c>
      <c r="G23" s="24">
        <f t="shared" si="4"/>
        <v>1.38558385606179E-2</v>
      </c>
      <c r="H23" s="23">
        <f>ROUND('PU Wise OWE'!$P$127/10000,2)</f>
        <v>62.07</v>
      </c>
      <c r="I23" s="23">
        <f>ROUND('PU Wise OWE'!$P$129/10000,2)</f>
        <v>61.97</v>
      </c>
      <c r="J23" s="24">
        <f t="shared" si="5"/>
        <v>1.3857520449737698E-2</v>
      </c>
      <c r="K23" s="22">
        <f t="shared" si="6"/>
        <v>0.10000000000000142</v>
      </c>
      <c r="L23" s="24">
        <f t="shared" si="7"/>
        <v>1.6136840406648608E-3</v>
      </c>
      <c r="M23" s="22">
        <f t="shared" si="0"/>
        <v>12.149999999999999</v>
      </c>
      <c r="N23" s="54">
        <f t="shared" si="1"/>
        <v>0.24387796065837011</v>
      </c>
      <c r="O23" s="54">
        <f t="shared" si="8"/>
        <v>0.9983889157402932</v>
      </c>
      <c r="P23" s="158" t="s">
        <v>282</v>
      </c>
      <c r="Q23" s="165">
        <f>(I23-11.45)/10*2+I23</f>
        <v>72.073999999999998</v>
      </c>
      <c r="R23" s="169">
        <f t="shared" si="2"/>
        <v>10.003999999999998</v>
      </c>
    </row>
    <row r="24" spans="1:18" ht="34.15" customHeight="1">
      <c r="A24" s="58" t="s">
        <v>151</v>
      </c>
      <c r="B24" s="108">
        <v>81.78</v>
      </c>
      <c r="C24" s="72">
        <f>ROUND('PU Wise OWE'!$S$128/10000,2)</f>
        <v>42.47</v>
      </c>
      <c r="D24" s="68">
        <f t="shared" si="3"/>
        <v>1.0302451046983253E-2</v>
      </c>
      <c r="E24" s="21"/>
      <c r="F24" s="22">
        <f>ROUND('PU Wise OWE'!$S$126/10000,2)</f>
        <v>47.22</v>
      </c>
      <c r="G24" s="24">
        <f t="shared" si="4"/>
        <v>1.0540884434225507E-2</v>
      </c>
      <c r="H24" s="23">
        <f>ROUND('PU Wise OWE'!$S$127/10000,2)</f>
        <v>47.22</v>
      </c>
      <c r="I24" s="23">
        <f>ROUND('PU Wise OWE'!$S$129/10000,2)</f>
        <v>47.13</v>
      </c>
      <c r="J24" s="24">
        <f t="shared" si="5"/>
        <v>1.0539050166147132E-2</v>
      </c>
      <c r="K24" s="22">
        <f t="shared" si="6"/>
        <v>8.9999999999996305E-2</v>
      </c>
      <c r="L24" s="24">
        <f t="shared" si="7"/>
        <v>1.9096117122850901E-3</v>
      </c>
      <c r="M24" s="22">
        <f t="shared" si="0"/>
        <v>4.6600000000000037</v>
      </c>
      <c r="N24" s="54">
        <f t="shared" si="1"/>
        <v>0.10972451141982585</v>
      </c>
      <c r="O24" s="54">
        <f t="shared" si="8"/>
        <v>0.99809402795425672</v>
      </c>
      <c r="P24" s="158" t="s">
        <v>262</v>
      </c>
      <c r="Q24" s="165">
        <f>F24</f>
        <v>47.22</v>
      </c>
      <c r="R24" s="70">
        <f t="shared" si="2"/>
        <v>0</v>
      </c>
    </row>
    <row r="25" spans="1:18" ht="28.9" customHeight="1">
      <c r="A25" s="58" t="s">
        <v>152</v>
      </c>
      <c r="B25" s="108">
        <v>90.5</v>
      </c>
      <c r="C25" s="72">
        <f>ROUND('PU Wise OWE'!$T$128/10000,2)</f>
        <v>37.81</v>
      </c>
      <c r="D25" s="68">
        <f t="shared" si="3"/>
        <v>9.1720196394263435E-3</v>
      </c>
      <c r="E25" s="21"/>
      <c r="F25" s="22">
        <f>ROUND('PU Wise OWE'!$T$126/10000,2)</f>
        <v>53.14</v>
      </c>
      <c r="G25" s="24">
        <f t="shared" si="4"/>
        <v>1.1862401500100454E-2</v>
      </c>
      <c r="H25" s="22">
        <f>ROUND('PU Wise OWE'!$T$127/10000,2)</f>
        <v>53.14</v>
      </c>
      <c r="I25" s="23">
        <f>ROUND('PU Wise OWE'!$T$129/10000,2)</f>
        <v>53.04</v>
      </c>
      <c r="J25" s="24">
        <f t="shared" si="5"/>
        <v>1.1860624248089197E-2</v>
      </c>
      <c r="K25" s="22">
        <f t="shared" si="6"/>
        <v>0.10000000000000142</v>
      </c>
      <c r="L25" s="24">
        <f t="shared" si="7"/>
        <v>1.8853695324283829E-3</v>
      </c>
      <c r="M25" s="22">
        <f t="shared" si="0"/>
        <v>15.229999999999997</v>
      </c>
      <c r="N25" s="54">
        <f t="shared" si="1"/>
        <v>0.40280349113990999</v>
      </c>
      <c r="O25" s="54">
        <f t="shared" si="8"/>
        <v>0.99811817839668793</v>
      </c>
      <c r="P25" s="158" t="s">
        <v>276</v>
      </c>
      <c r="Q25" s="165">
        <f>(I25-4)/10*2+I25</f>
        <v>62.847999999999999</v>
      </c>
      <c r="R25" s="70">
        <f t="shared" si="2"/>
        <v>9.7079999999999984</v>
      </c>
    </row>
    <row r="26" spans="1:18" ht="42.6" customHeight="1">
      <c r="A26" s="58" t="s">
        <v>170</v>
      </c>
      <c r="B26" s="108">
        <v>41.07</v>
      </c>
      <c r="C26" s="72">
        <f>ROUND('PU Wise OWE'!$V$128/10000,2)</f>
        <v>11.18</v>
      </c>
      <c r="D26" s="68">
        <f t="shared" si="3"/>
        <v>2.7120650507481223E-3</v>
      </c>
      <c r="E26" s="22"/>
      <c r="F26" s="22">
        <f>ROUND('PU Wise OWE'!$V$126/10000,2)</f>
        <v>10.53</v>
      </c>
      <c r="G26" s="24">
        <f t="shared" si="4"/>
        <v>2.350603835078242E-3</v>
      </c>
      <c r="H26" s="22">
        <f>ROUND('PU Wise OWE'!$V$127/10000,2)</f>
        <v>10.53</v>
      </c>
      <c r="I26" s="23">
        <f>ROUND('PU Wise OWE'!$V$129/10000,2)</f>
        <v>10.09</v>
      </c>
      <c r="J26" s="24">
        <f t="shared" si="5"/>
        <v>2.2562914529264707E-3</v>
      </c>
      <c r="K26" s="22">
        <f t="shared" si="6"/>
        <v>0.4399999999999995</v>
      </c>
      <c r="L26" s="24">
        <f t="shared" si="7"/>
        <v>4.3607532210108969E-2</v>
      </c>
      <c r="M26" s="22">
        <f t="shared" si="0"/>
        <v>-1.0899999999999999</v>
      </c>
      <c r="N26" s="54">
        <f t="shared" si="1"/>
        <v>-9.7495527728085854E-2</v>
      </c>
      <c r="O26" s="54">
        <f t="shared" si="8"/>
        <v>0.95821462488129161</v>
      </c>
      <c r="P26" s="158" t="s">
        <v>279</v>
      </c>
      <c r="Q26" s="165">
        <f>(I26-3.4)/10*2+I26</f>
        <v>11.427999999999999</v>
      </c>
      <c r="R26" s="70">
        <f t="shared" si="2"/>
        <v>0.89799999999999969</v>
      </c>
    </row>
    <row r="27" spans="1:18" ht="60" customHeight="1">
      <c r="A27" s="58" t="s">
        <v>169</v>
      </c>
      <c r="B27" s="108">
        <v>169.78</v>
      </c>
      <c r="C27" s="72">
        <f>ROUND('PU Wise OWE'!$AC$128/10000,2)</f>
        <v>28.39</v>
      </c>
      <c r="D27" s="68">
        <f t="shared" si="3"/>
        <v>6.8868986396010022E-3</v>
      </c>
      <c r="E27" s="22"/>
      <c r="F27" s="22">
        <f>ROUND('PU Wise OWE'!$AC$126/10000,2)</f>
        <v>21.1</v>
      </c>
      <c r="G27" s="24">
        <f t="shared" si="4"/>
        <v>4.7101368395205045E-3</v>
      </c>
      <c r="H27" s="23">
        <f>ROUND('PU Wise OWE'!$AC$127/10000,2)</f>
        <v>21.1</v>
      </c>
      <c r="I27" s="23">
        <f>ROUND('PU Wise OWE'!$AC$129/10000,2)</f>
        <v>21.06</v>
      </c>
      <c r="J27" s="24">
        <f t="shared" si="5"/>
        <v>4.7093655102707103E-3</v>
      </c>
      <c r="K27" s="22">
        <f t="shared" si="6"/>
        <v>4.00000000000027E-2</v>
      </c>
      <c r="L27" s="24">
        <f t="shared" si="7"/>
        <v>1.8993352326686942E-3</v>
      </c>
      <c r="M27" s="22">
        <f t="shared" si="0"/>
        <v>-7.3300000000000018</v>
      </c>
      <c r="N27" s="54">
        <f t="shared" si="1"/>
        <v>-0.25818950334624874</v>
      </c>
      <c r="O27" s="54">
        <f t="shared" si="8"/>
        <v>0.99810426540284347</v>
      </c>
      <c r="P27" s="158" t="s">
        <v>278</v>
      </c>
      <c r="Q27" s="165">
        <f>(I27-9.35)/10*2+I27</f>
        <v>23.401999999999997</v>
      </c>
      <c r="R27" s="70">
        <f t="shared" si="2"/>
        <v>2.301999999999996</v>
      </c>
    </row>
    <row r="28" spans="1:18">
      <c r="A28" s="25" t="s">
        <v>141</v>
      </c>
      <c r="B28" s="26">
        <f>SUM(B13:B27)</f>
        <v>4551.0499999999993</v>
      </c>
      <c r="C28" s="76">
        <f>SUM(C13:C27)</f>
        <v>2618.4699999999993</v>
      </c>
      <c r="D28" s="56">
        <f>SUM(D13:D27)</f>
        <v>0.63519328921578155</v>
      </c>
      <c r="E28" s="26"/>
      <c r="F28" s="26">
        <f>F5</f>
        <v>2937.7</v>
      </c>
      <c r="G28" s="56">
        <f>SUM(G13:G27)</f>
        <v>0.65243208250552487</v>
      </c>
      <c r="H28" s="26">
        <f>SUM(H13:H27)</f>
        <v>2916.28</v>
      </c>
      <c r="I28" s="26">
        <f>SUM(I13:I27)</f>
        <v>2917.75</v>
      </c>
      <c r="J28" s="56">
        <f t="shared" si="5"/>
        <v>0.65245732277266699</v>
      </c>
      <c r="K28" s="26">
        <f t="shared" si="6"/>
        <v>-1.4699999999997999</v>
      </c>
      <c r="L28" s="56">
        <f t="shared" si="7"/>
        <v>-5.038128695055436E-4</v>
      </c>
      <c r="M28" s="26">
        <f t="shared" si="0"/>
        <v>299.28000000000065</v>
      </c>
      <c r="N28" s="57">
        <f t="shared" si="1"/>
        <v>0.11429575286331359</v>
      </c>
      <c r="Q28" s="76">
        <f>SUM(Q13:Q27)</f>
        <v>3473.1920000000005</v>
      </c>
      <c r="R28" s="76">
        <f>SUM(R13:R27)</f>
        <v>550.49200000000053</v>
      </c>
    </row>
    <row r="29" spans="1:18">
      <c r="I29" s="70"/>
      <c r="J29" s="70"/>
      <c r="K29" s="70"/>
      <c r="L29" s="70"/>
      <c r="Q29" s="166"/>
    </row>
    <row r="30" spans="1:18">
      <c r="Q30" s="166"/>
    </row>
    <row r="31" spans="1:18">
      <c r="A31" s="77" t="s">
        <v>172</v>
      </c>
      <c r="B31" s="77"/>
      <c r="C31" s="78"/>
      <c r="D31" s="79"/>
      <c r="M31" s="155" t="s">
        <v>142</v>
      </c>
      <c r="Q31" s="166"/>
    </row>
    <row r="32" spans="1:18" ht="15" customHeight="1">
      <c r="A32" s="298"/>
      <c r="B32" s="295" t="s">
        <v>288</v>
      </c>
      <c r="C32" s="297" t="str">
        <f>'PU Wise OWE'!$B$7</f>
        <v>Actuals upto March-23</v>
      </c>
      <c r="D32" s="295" t="s">
        <v>165</v>
      </c>
      <c r="E32" s="295"/>
      <c r="F32" s="325" t="str">
        <f>'PU Wise OWE'!$B$5</f>
        <v xml:space="preserve">FG 2023-24 </v>
      </c>
      <c r="G32" s="295" t="s">
        <v>295</v>
      </c>
      <c r="H32" s="295" t="s">
        <v>302</v>
      </c>
      <c r="I32" s="297" t="str">
        <f>'PU Wise OWE'!B8</f>
        <v>Actuals upto March-24</v>
      </c>
      <c r="J32" s="295" t="s">
        <v>197</v>
      </c>
      <c r="K32" s="294" t="s">
        <v>198</v>
      </c>
      <c r="L32" s="294"/>
      <c r="M32" s="294" t="s">
        <v>139</v>
      </c>
      <c r="N32" s="294"/>
      <c r="O32" s="298" t="s">
        <v>300</v>
      </c>
      <c r="P32" s="335" t="s">
        <v>259</v>
      </c>
      <c r="Q32" s="167"/>
    </row>
    <row r="33" spans="1:18" ht="17.25" customHeight="1">
      <c r="A33" s="298"/>
      <c r="B33" s="296"/>
      <c r="C33" s="296"/>
      <c r="D33" s="296"/>
      <c r="E33" s="296"/>
      <c r="F33" s="326"/>
      <c r="G33" s="296"/>
      <c r="H33" s="296"/>
      <c r="I33" s="296"/>
      <c r="J33" s="296"/>
      <c r="K33" s="81" t="s">
        <v>137</v>
      </c>
      <c r="L33" s="82" t="s">
        <v>138</v>
      </c>
      <c r="M33" s="81" t="s">
        <v>137</v>
      </c>
      <c r="N33" s="82" t="s">
        <v>138</v>
      </c>
      <c r="O33" s="298"/>
      <c r="P33" s="335"/>
      <c r="Q33" s="167"/>
    </row>
    <row r="34" spans="1:18" ht="15" customHeight="1">
      <c r="A34" s="86" t="s">
        <v>173</v>
      </c>
      <c r="B34" s="109">
        <v>10.44</v>
      </c>
      <c r="C34" s="72">
        <f>ROUND(('PU Wise OWE'!$AE$128+'PU Wise OWE'!$AF$128)/10000,2)</f>
        <v>1.59</v>
      </c>
      <c r="D34" s="87">
        <f>C34/$C$7</f>
        <v>3.8570513691319456E-4</v>
      </c>
      <c r="E34" s="21"/>
      <c r="F34" s="22">
        <f>ROUND(('PU Wise OWE'!$AE$126+'PU Wise OWE'!$AF$126)/10000,2)</f>
        <v>2.14</v>
      </c>
      <c r="G34" s="24">
        <f>F34/$F$7</f>
        <v>4.7771056097506534E-4</v>
      </c>
      <c r="H34" s="23">
        <f>ROUND(('PU Wise OWE'!$AE$127+'PU Wise OWE'!$AF$127)/10000,2)</f>
        <v>2.14</v>
      </c>
      <c r="I34" s="23">
        <f>ROUND(('PU Wise OWE'!$AE$129+'PU Wise OWE'!$AF$129)/10000,2)</f>
        <v>2.14</v>
      </c>
      <c r="J34" s="24">
        <f>I34/$I$7</f>
        <v>4.7853951528866671E-4</v>
      </c>
      <c r="K34" s="22">
        <f>H34-I34</f>
        <v>0</v>
      </c>
      <c r="L34" s="24">
        <f>K34/I34</f>
        <v>0</v>
      </c>
      <c r="M34" s="22">
        <f>I34-C34</f>
        <v>0.55000000000000004</v>
      </c>
      <c r="N34" s="54">
        <f>M34/C34</f>
        <v>0.34591194968553463</v>
      </c>
      <c r="O34" s="54">
        <f>I34/F34</f>
        <v>1</v>
      </c>
      <c r="P34" s="336" t="s">
        <v>270</v>
      </c>
      <c r="Q34" s="165">
        <f>(I34/10)*12</f>
        <v>2.5680000000000005</v>
      </c>
      <c r="R34" s="70">
        <f>Q34-F34</f>
        <v>0.42800000000000038</v>
      </c>
    </row>
    <row r="35" spans="1:18" ht="16.5" customHeight="1">
      <c r="A35" s="86" t="s">
        <v>174</v>
      </c>
      <c r="B35" s="109">
        <v>21.76</v>
      </c>
      <c r="C35" s="72">
        <f>ROUND('PU Wise OWE'!$AG$128/10000,2)</f>
        <v>4.21</v>
      </c>
      <c r="D35" s="87">
        <f>C35/$C$7</f>
        <v>1.0212695763550622E-3</v>
      </c>
      <c r="E35" s="21"/>
      <c r="F35" s="22">
        <f>ROUND('PU Wise OWE'!$AG$126/10000,2)</f>
        <v>4.68</v>
      </c>
      <c r="G35" s="24">
        <f>F35/$F$7</f>
        <v>1.0447128155903296E-3</v>
      </c>
      <c r="H35" s="23">
        <f>ROUND('PU Wise OWE'!$AG$127/10000,2)</f>
        <v>4.68</v>
      </c>
      <c r="I35" s="23">
        <f>ROUND('PU Wise OWE'!$AG$129/10000,2)</f>
        <v>4.67</v>
      </c>
      <c r="J35" s="24">
        <f>I35/$I$7</f>
        <v>1.0442895029897539E-3</v>
      </c>
      <c r="K35" s="22">
        <f>H35-I35</f>
        <v>9.9999999999997868E-3</v>
      </c>
      <c r="L35" s="24">
        <f>K35/I35</f>
        <v>2.1413276231262929E-3</v>
      </c>
      <c r="M35" s="22">
        <f>I35-C35</f>
        <v>0.45999999999999996</v>
      </c>
      <c r="N35" s="54">
        <f>M35/C35</f>
        <v>0.10926365795724464</v>
      </c>
      <c r="O35" s="54">
        <f>I35/F35</f>
        <v>0.99786324786324787</v>
      </c>
      <c r="P35" s="337"/>
      <c r="Q35" s="165">
        <f>(I35/10)*12+6</f>
        <v>11.603999999999999</v>
      </c>
      <c r="R35" s="169">
        <f>Q35-F35</f>
        <v>6.9239999999999995</v>
      </c>
    </row>
    <row r="36" spans="1:18" ht="15.75" customHeight="1">
      <c r="A36" s="86" t="s">
        <v>175</v>
      </c>
      <c r="B36" s="109">
        <v>2.4700000000000002</v>
      </c>
      <c r="C36" s="72">
        <f>ROUND('PU Wise OWE'!$AJ$128/10000,2)</f>
        <v>2.23</v>
      </c>
      <c r="D36" s="87">
        <f>C36/$C$7</f>
        <v>5.4095751906693321E-4</v>
      </c>
      <c r="E36" s="21"/>
      <c r="F36" s="22">
        <f>ROUND('PU Wise OWE'!$AJ$126/10000,2)</f>
        <v>1.73</v>
      </c>
      <c r="G36" s="24">
        <f>F36/$F$7</f>
        <v>3.8618657499386123E-4</v>
      </c>
      <c r="H36" s="23">
        <f>ROUND('PU Wise OWE'!$AJ$127/10000,2)</f>
        <v>1.73</v>
      </c>
      <c r="I36" s="23">
        <f>ROUND('PU Wise OWE'!$AJ$129/10000,2)</f>
        <v>1.73</v>
      </c>
      <c r="J36" s="24">
        <f>I36/$I$7</f>
        <v>3.8685671095766046E-4</v>
      </c>
      <c r="K36" s="22">
        <f>H36-I36</f>
        <v>0</v>
      </c>
      <c r="L36" s="24">
        <f>K36/I36</f>
        <v>0</v>
      </c>
      <c r="M36" s="22">
        <f>I36-C36</f>
        <v>-0.5</v>
      </c>
      <c r="N36" s="54">
        <f>M36/C36</f>
        <v>-0.22421524663677131</v>
      </c>
      <c r="O36" s="54">
        <f>I36/F36</f>
        <v>1</v>
      </c>
      <c r="P36" s="337"/>
      <c r="Q36" s="165">
        <f>(I36/10)*12</f>
        <v>2.0759999999999996</v>
      </c>
      <c r="R36" s="70">
        <f>Q36-F36</f>
        <v>0.34599999999999964</v>
      </c>
    </row>
    <row r="37" spans="1:18">
      <c r="A37" s="25" t="s">
        <v>141</v>
      </c>
      <c r="B37" s="26">
        <v>34.619999999999997</v>
      </c>
      <c r="C37" s="76">
        <f>SUM(C34:C36)</f>
        <v>8.0299999999999994</v>
      </c>
      <c r="D37" s="88">
        <f>C37/$C$7</f>
        <v>1.9479322323351898E-3</v>
      </c>
      <c r="E37" s="26"/>
      <c r="F37" s="76">
        <f>SUM(F34:F36)</f>
        <v>8.5500000000000007</v>
      </c>
      <c r="G37" s="56">
        <f>F37/$F$7</f>
        <v>1.9086099515592564E-3</v>
      </c>
      <c r="H37" s="76">
        <f>SUM(H34:H36)</f>
        <v>8.5500000000000007</v>
      </c>
      <c r="I37" s="76">
        <f>SUM(I34:I36)</f>
        <v>8.5400000000000009</v>
      </c>
      <c r="J37" s="56">
        <f>I37/$I$7</f>
        <v>1.9096857292360814E-3</v>
      </c>
      <c r="K37" s="26">
        <f>H37-I37</f>
        <v>9.9999999999997868E-3</v>
      </c>
      <c r="L37" s="56">
        <f>K37/I37</f>
        <v>1.1709601873536048E-3</v>
      </c>
      <c r="M37" s="26">
        <f>I37-C37</f>
        <v>0.51000000000000156</v>
      </c>
      <c r="N37" s="57">
        <f>M37/C37</f>
        <v>6.3511830635118505E-2</v>
      </c>
      <c r="O37" s="54">
        <f>I37/F37</f>
        <v>0.99883040935672518</v>
      </c>
      <c r="P37" s="338"/>
      <c r="Q37" s="76">
        <f>SUM(Q34:Q36)</f>
        <v>16.248000000000001</v>
      </c>
      <c r="R37" s="76">
        <f>SUM(R34:R36)</f>
        <v>7.6980000000000004</v>
      </c>
    </row>
    <row r="38" spans="1:18">
      <c r="Q38" s="166"/>
    </row>
    <row r="39" spans="1:18" ht="15.75" thickBot="1">
      <c r="A39" s="84"/>
      <c r="B39" s="84"/>
      <c r="C39" s="85"/>
      <c r="D39" s="84"/>
      <c r="M39" s="155" t="s">
        <v>142</v>
      </c>
      <c r="Q39" s="166"/>
    </row>
    <row r="40" spans="1:18" ht="15" customHeight="1">
      <c r="A40" s="298" t="s">
        <v>156</v>
      </c>
      <c r="B40" s="295" t="s">
        <v>288</v>
      </c>
      <c r="C40" s="297" t="str">
        <f>'PU Wise OWE'!$B$7</f>
        <v>Actuals upto March-23</v>
      </c>
      <c r="D40" s="295" t="s">
        <v>165</v>
      </c>
      <c r="E40" s="295"/>
      <c r="F40" s="325" t="str">
        <f>'PU Wise OWE'!$B$5</f>
        <v xml:space="preserve">FG 2023-24 </v>
      </c>
      <c r="G40" s="295" t="s">
        <v>295</v>
      </c>
      <c r="H40" s="295" t="s">
        <v>302</v>
      </c>
      <c r="I40" s="297" t="str">
        <f>'PU Wise OWE'!B8</f>
        <v>Actuals upto March-24</v>
      </c>
      <c r="J40" s="295" t="s">
        <v>197</v>
      </c>
      <c r="K40" s="294" t="s">
        <v>198</v>
      </c>
      <c r="L40" s="294"/>
      <c r="M40" s="294" t="s">
        <v>139</v>
      </c>
      <c r="N40" s="294"/>
      <c r="O40" s="298" t="s">
        <v>300</v>
      </c>
      <c r="P40" s="339" t="s">
        <v>259</v>
      </c>
      <c r="Q40" s="167"/>
    </row>
    <row r="41" spans="1:18" ht="30">
      <c r="A41" s="298"/>
      <c r="B41" s="296"/>
      <c r="C41" s="296"/>
      <c r="D41" s="296"/>
      <c r="E41" s="296"/>
      <c r="F41" s="326"/>
      <c r="G41" s="296"/>
      <c r="H41" s="296"/>
      <c r="I41" s="296"/>
      <c r="J41" s="296"/>
      <c r="K41" s="81" t="s">
        <v>137</v>
      </c>
      <c r="L41" s="82" t="s">
        <v>138</v>
      </c>
      <c r="M41" s="81" t="s">
        <v>137</v>
      </c>
      <c r="N41" s="82" t="s">
        <v>138</v>
      </c>
      <c r="O41" s="298"/>
      <c r="P41" s="340"/>
      <c r="Q41" s="167"/>
    </row>
    <row r="42" spans="1:18" ht="15.75">
      <c r="A42" s="27" t="s">
        <v>157</v>
      </c>
      <c r="B42" s="106">
        <v>273.47000000000003</v>
      </c>
      <c r="C42" s="72">
        <f>SUM(C43:C47)</f>
        <v>82.02000000000001</v>
      </c>
      <c r="D42" s="87">
        <f t="shared" ref="D42:D49" si="9">C42/$C$7</f>
        <v>1.9896563100390074E-2</v>
      </c>
      <c r="E42" s="99"/>
      <c r="F42" s="21">
        <f>SUM(F43:F47)</f>
        <v>42.91</v>
      </c>
      <c r="G42" s="24">
        <f t="shared" ref="G42:G49" si="10">F42/$F$7</f>
        <v>9.5787664352523609E-3</v>
      </c>
      <c r="H42" s="21">
        <f>SUM(H43:H47)</f>
        <v>42.91</v>
      </c>
      <c r="I42" s="21">
        <f>SUM(I43:I47)</f>
        <v>42.83</v>
      </c>
      <c r="J42" s="24">
        <f t="shared" ref="J42:J49" si="11">I42/$I$7</f>
        <v>9.5774988036512118E-3</v>
      </c>
      <c r="K42" s="22">
        <f>H42-I42</f>
        <v>7.9999999999998295E-2</v>
      </c>
      <c r="L42" s="24">
        <f>K42/I42</f>
        <v>1.8678496381040928E-3</v>
      </c>
      <c r="M42" s="22">
        <f t="shared" ref="M42:M49" si="12">I42-C42</f>
        <v>-39.190000000000012</v>
      </c>
      <c r="N42" s="54">
        <f t="shared" ref="N42:N49" si="13">M42/C42</f>
        <v>-0.47781029017312859</v>
      </c>
      <c r="O42" s="54">
        <f t="shared" ref="O42:O49" si="14">I42/F42</f>
        <v>0.99813563271964578</v>
      </c>
      <c r="P42" s="159"/>
      <c r="Q42" s="165">
        <v>266.16000000000003</v>
      </c>
      <c r="R42" s="70">
        <f t="shared" ref="R42:R48" si="15">Q42-F42</f>
        <v>223.25000000000003</v>
      </c>
    </row>
    <row r="43" spans="1:18" ht="15.75">
      <c r="A43" s="59" t="s">
        <v>153</v>
      </c>
      <c r="B43" s="21">
        <v>19.690000000000001</v>
      </c>
      <c r="C43" s="72">
        <f>ROUND('PU Wise OWE'!$AK$84/10000,2)</f>
        <v>0.34</v>
      </c>
      <c r="D43" s="87">
        <f t="shared" si="9"/>
        <v>8.2477828019173683E-5</v>
      </c>
      <c r="E43" s="99"/>
      <c r="F43" s="21">
        <f>ROUND('PU Wise OWE'!$AK$82/10000,2)</f>
        <v>0.15</v>
      </c>
      <c r="G43" s="24">
        <f t="shared" si="10"/>
        <v>3.348438511507467E-5</v>
      </c>
      <c r="H43" s="21">
        <f>ROUND('PU Wise OWE'!$AK$83/10000,2)</f>
        <v>0.15</v>
      </c>
      <c r="I43" s="21">
        <f>ROUND('PU Wise OWE'!$AK$85/10000,2)</f>
        <v>0.15</v>
      </c>
      <c r="J43" s="24">
        <f t="shared" si="11"/>
        <v>3.3542489389392528E-5</v>
      </c>
      <c r="K43" s="22">
        <f t="shared" ref="K43:K49" si="16">H43-I43</f>
        <v>0</v>
      </c>
      <c r="L43" s="24">
        <f t="shared" ref="L43:L49" si="17">K43/I43</f>
        <v>0</v>
      </c>
      <c r="M43" s="22">
        <f t="shared" si="12"/>
        <v>-0.19000000000000003</v>
      </c>
      <c r="N43" s="54">
        <f t="shared" si="13"/>
        <v>-0.55882352941176472</v>
      </c>
      <c r="O43" s="54">
        <f t="shared" si="14"/>
        <v>1</v>
      </c>
      <c r="P43" s="159"/>
      <c r="Q43" s="165">
        <f>(I43/10)*12</f>
        <v>0.18</v>
      </c>
      <c r="R43" s="70">
        <f t="shared" si="15"/>
        <v>0.03</v>
      </c>
    </row>
    <row r="44" spans="1:18" ht="15.75">
      <c r="A44" s="60" t="s">
        <v>160</v>
      </c>
      <c r="B44" s="110">
        <v>114.4</v>
      </c>
      <c r="C44" s="72">
        <f>ROUND('PU Wise OWE'!$AR$84/10000,2)</f>
        <v>-1.1399999999999999</v>
      </c>
      <c r="D44" s="87">
        <f t="shared" si="9"/>
        <v>-2.76543305711347E-4</v>
      </c>
      <c r="E44" s="99"/>
      <c r="F44" s="21">
        <f>ROUND('PU Wise OWE'!$AR$82/10000,2)</f>
        <v>1.35</v>
      </c>
      <c r="G44" s="24">
        <f t="shared" si="10"/>
        <v>3.0135946603567209E-4</v>
      </c>
      <c r="H44" s="21">
        <f>ROUND('PU Wise OWE'!$AR$83/10000,2)</f>
        <v>1.35</v>
      </c>
      <c r="I44" s="21">
        <f>ROUND('PU Wise OWE'!$AR$85/10000,2)</f>
        <v>1.35</v>
      </c>
      <c r="J44" s="24">
        <f t="shared" si="11"/>
        <v>3.0188240450453274E-4</v>
      </c>
      <c r="K44" s="22">
        <f t="shared" si="16"/>
        <v>0</v>
      </c>
      <c r="L44" s="24">
        <f t="shared" si="17"/>
        <v>0</v>
      </c>
      <c r="M44" s="22">
        <f t="shared" si="12"/>
        <v>2.4900000000000002</v>
      </c>
      <c r="N44" s="54">
        <f t="shared" si="13"/>
        <v>-2.1842105263157898</v>
      </c>
      <c r="O44" s="54">
        <f t="shared" si="14"/>
        <v>1</v>
      </c>
      <c r="P44" s="159"/>
      <c r="Q44" s="165">
        <f>(I44/10)*12</f>
        <v>1.62</v>
      </c>
      <c r="R44" s="70">
        <f t="shared" si="15"/>
        <v>0.27</v>
      </c>
    </row>
    <row r="45" spans="1:18" ht="15.75">
      <c r="A45" s="60" t="s">
        <v>161</v>
      </c>
      <c r="B45" s="110">
        <v>46.69</v>
      </c>
      <c r="C45" s="72">
        <f>ROUND('PU Wise OWE'!$AU$84/10000,2)</f>
        <v>-3.05</v>
      </c>
      <c r="D45" s="87">
        <f t="shared" si="9"/>
        <v>-7.3987463370141086E-4</v>
      </c>
      <c r="E45" s="99"/>
      <c r="F45" s="21">
        <f>ROUND('PU Wise OWE'!$AU$82/10000,2)</f>
        <v>0.87</v>
      </c>
      <c r="G45" s="24">
        <f t="shared" si="10"/>
        <v>1.9420943366743308E-4</v>
      </c>
      <c r="H45" s="21">
        <f>ROUND('PU Wise OWE'!$AU$83/10000,2)</f>
        <v>0.87</v>
      </c>
      <c r="I45" s="21">
        <f>ROUND('PU Wise OWE'!$AU$85/10000,2)</f>
        <v>0.87</v>
      </c>
      <c r="J45" s="24">
        <f t="shared" si="11"/>
        <v>1.9454643845847664E-4</v>
      </c>
      <c r="K45" s="22">
        <f t="shared" si="16"/>
        <v>0</v>
      </c>
      <c r="L45" s="24">
        <f t="shared" si="17"/>
        <v>0</v>
      </c>
      <c r="M45" s="22">
        <f t="shared" si="12"/>
        <v>3.92</v>
      </c>
      <c r="N45" s="54">
        <f t="shared" si="13"/>
        <v>-1.2852459016393443</v>
      </c>
      <c r="O45" s="54">
        <f t="shared" si="14"/>
        <v>1</v>
      </c>
      <c r="P45" s="159"/>
      <c r="Q45" s="165">
        <f>(I45/10)*12</f>
        <v>1.044</v>
      </c>
      <c r="R45" s="70">
        <f t="shared" si="15"/>
        <v>0.17400000000000004</v>
      </c>
    </row>
    <row r="46" spans="1:18" ht="15.75">
      <c r="A46" s="59" t="s">
        <v>158</v>
      </c>
      <c r="B46" s="21">
        <v>54.55</v>
      </c>
      <c r="C46" s="72">
        <f>ROUND('PU Wise OWE'!$AZ$84/10000,2)</f>
        <v>0</v>
      </c>
      <c r="D46" s="87">
        <f t="shared" si="9"/>
        <v>0</v>
      </c>
      <c r="E46" s="99"/>
      <c r="F46" s="21">
        <f>ROUND('PU Wise OWE'!$AZ$82/10000,2)</f>
        <v>0</v>
      </c>
      <c r="G46" s="24">
        <f t="shared" si="10"/>
        <v>0</v>
      </c>
      <c r="H46" s="21">
        <f>ROUND('PU Wise OWE'!$AZ$83/10000,2)</f>
        <v>0</v>
      </c>
      <c r="I46" s="21">
        <f>ROUND('PU Wise OWE'!$AZ$85/10000,2)</f>
        <v>0</v>
      </c>
      <c r="J46" s="24">
        <f t="shared" si="11"/>
        <v>0</v>
      </c>
      <c r="K46" s="22">
        <f t="shared" si="16"/>
        <v>0</v>
      </c>
      <c r="L46" s="24" t="e">
        <f t="shared" si="17"/>
        <v>#DIV/0!</v>
      </c>
      <c r="M46" s="22">
        <f t="shared" si="12"/>
        <v>0</v>
      </c>
      <c r="N46" s="54" t="e">
        <f t="shared" si="13"/>
        <v>#DIV/0!</v>
      </c>
      <c r="O46" s="54" t="e">
        <f t="shared" si="14"/>
        <v>#DIV/0!</v>
      </c>
      <c r="P46" s="159"/>
      <c r="Q46" s="165">
        <f>(I46/10)*12</f>
        <v>0</v>
      </c>
      <c r="R46" s="169">
        <f t="shared" si="15"/>
        <v>0</v>
      </c>
    </row>
    <row r="47" spans="1:18" ht="15.75">
      <c r="A47" s="60" t="s">
        <v>159</v>
      </c>
      <c r="B47" s="110">
        <v>38.14</v>
      </c>
      <c r="C47" s="72">
        <f>ROUND('PU Wise OWE'!$BA$84/10000,2)</f>
        <v>85.87</v>
      </c>
      <c r="D47" s="87">
        <f t="shared" si="9"/>
        <v>2.0830503211783657E-2</v>
      </c>
      <c r="E47" s="99"/>
      <c r="F47" s="21">
        <f>ROUND('PU Wise OWE'!$BA$82/10000,2)</f>
        <v>40.54</v>
      </c>
      <c r="G47" s="24">
        <f t="shared" si="10"/>
        <v>9.0497131504341816E-3</v>
      </c>
      <c r="H47" s="21">
        <f>ROUND('PU Wise OWE'!$BA$83/10000,2)</f>
        <v>40.54</v>
      </c>
      <c r="I47" s="21">
        <f>ROUND('PU Wise OWE'!$BA$85/10000,2)</f>
        <v>40.46</v>
      </c>
      <c r="J47" s="24">
        <f t="shared" si="11"/>
        <v>9.0475274712988104E-3</v>
      </c>
      <c r="K47" s="22">
        <f t="shared" si="16"/>
        <v>7.9999999999998295E-2</v>
      </c>
      <c r="L47" s="24">
        <f t="shared" si="17"/>
        <v>1.9772614928323848E-3</v>
      </c>
      <c r="M47" s="22">
        <f t="shared" si="12"/>
        <v>-45.410000000000004</v>
      </c>
      <c r="N47" s="54">
        <f t="shared" si="13"/>
        <v>-0.52882263887271463</v>
      </c>
      <c r="O47" s="54">
        <f t="shared" si="14"/>
        <v>0.99802664035520483</v>
      </c>
      <c r="P47" s="159"/>
      <c r="Q47" s="165">
        <f>(I47/10)*12</f>
        <v>48.552000000000007</v>
      </c>
      <c r="R47" s="70">
        <f t="shared" si="15"/>
        <v>8.0120000000000076</v>
      </c>
    </row>
    <row r="48" spans="1:18" ht="15.75">
      <c r="A48" s="61" t="s">
        <v>162</v>
      </c>
      <c r="B48" s="105">
        <v>663.48</v>
      </c>
      <c r="C48" s="72">
        <f>ROUND('PU Wise OWE'!$AM$84/10000,2)-ROUND('PU Wise OWE'!$BJ$84/10000,2)</f>
        <v>857.5</v>
      </c>
      <c r="D48" s="87">
        <f t="shared" si="9"/>
        <v>0.20801393390129833</v>
      </c>
      <c r="E48" s="99"/>
      <c r="F48" s="21">
        <f>ROUND('PU Wise OWE'!$AM$82/10000,2)-ROUND('PU Wise OWE'!$BJ$82/10000,2)</f>
        <v>956.67</v>
      </c>
      <c r="G48" s="24">
        <f t="shared" si="10"/>
        <v>0.21355671138692323</v>
      </c>
      <c r="H48" s="21">
        <f>ROUND('PU Wise OWE'!$AM$83/10000,2)-ROUND('PU Wise OWE'!$BJ$83/10000,2)</f>
        <v>956.67</v>
      </c>
      <c r="I48" s="21">
        <f>ROUND('PU Wise OWE'!$AM$85/10000,2)-ROUND('PU Wise OWE'!$BJ$85/10000,2)</f>
        <v>954.9</v>
      </c>
      <c r="J48" s="24">
        <f t="shared" si="11"/>
        <v>0.21353148745287281</v>
      </c>
      <c r="K48" s="22">
        <f t="shared" si="16"/>
        <v>1.7699999999999818</v>
      </c>
      <c r="L48" s="24">
        <f t="shared" si="17"/>
        <v>1.8535972353125791E-3</v>
      </c>
      <c r="M48" s="22">
        <f t="shared" si="12"/>
        <v>97.399999999999977</v>
      </c>
      <c r="N48" s="54">
        <f t="shared" si="13"/>
        <v>0.11358600583090377</v>
      </c>
      <c r="O48" s="54">
        <f t="shared" si="14"/>
        <v>0.99814983223054976</v>
      </c>
      <c r="P48" s="159"/>
      <c r="Q48" s="165">
        <v>670.28</v>
      </c>
      <c r="R48" s="70">
        <f t="shared" si="15"/>
        <v>-286.39</v>
      </c>
    </row>
    <row r="49" spans="1:18" s="36" customFormat="1" ht="15.75" thickBot="1">
      <c r="A49" s="62" t="s">
        <v>122</v>
      </c>
      <c r="B49" s="76">
        <f>B42+B48</f>
        <v>936.95</v>
      </c>
      <c r="C49" s="76">
        <f>C42+C48</f>
        <v>939.52</v>
      </c>
      <c r="D49" s="88">
        <f t="shared" si="9"/>
        <v>0.22791049700168839</v>
      </c>
      <c r="E49" s="100"/>
      <c r="F49" s="26">
        <f>F42+F48</f>
        <v>999.57999999999993</v>
      </c>
      <c r="G49" s="56">
        <f t="shared" si="10"/>
        <v>0.22313547782217558</v>
      </c>
      <c r="H49" s="26">
        <f>H42+H48</f>
        <v>999.57999999999993</v>
      </c>
      <c r="I49" s="26">
        <f>I42+I48</f>
        <v>997.73</v>
      </c>
      <c r="J49" s="56">
        <f t="shared" si="11"/>
        <v>0.22310898625652403</v>
      </c>
      <c r="K49" s="26">
        <f t="shared" si="16"/>
        <v>1.8499999999999091</v>
      </c>
      <c r="L49" s="56">
        <f t="shared" si="17"/>
        <v>1.854209054553746E-3</v>
      </c>
      <c r="M49" s="26">
        <f t="shared" si="12"/>
        <v>58.210000000000036</v>
      </c>
      <c r="N49" s="57">
        <f t="shared" si="13"/>
        <v>6.1957169618528651E-2</v>
      </c>
      <c r="O49" s="54">
        <f t="shared" si="14"/>
        <v>0.99814922267352302</v>
      </c>
      <c r="P49" s="160"/>
      <c r="Q49" s="76">
        <f>Q42+Q48</f>
        <v>936.44</v>
      </c>
      <c r="R49" s="76">
        <f>R42+R48</f>
        <v>-63.139999999999958</v>
      </c>
    </row>
    <row r="50" spans="1:18">
      <c r="Q50" s="166"/>
    </row>
    <row r="51" spans="1:18">
      <c r="A51" s="77" t="s">
        <v>176</v>
      </c>
      <c r="B51" s="77"/>
      <c r="Q51" s="166"/>
    </row>
    <row r="52" spans="1:18" ht="30" customHeight="1">
      <c r="A52" s="83" t="s">
        <v>177</v>
      </c>
      <c r="B52" s="111">
        <v>188.88</v>
      </c>
      <c r="C52" s="72">
        <f>ROUND('PU Wise OWE'!$AK$128/10000,2)-C43</f>
        <v>119.78999999999999</v>
      </c>
      <c r="D52" s="87">
        <f>C52/$C$7</f>
        <v>2.9058879465931806E-2</v>
      </c>
      <c r="E52" s="313"/>
      <c r="F52" s="22">
        <f>ROUND('PU Wise OWE'!$AK$126/10000,2)-F43</f>
        <v>112.61999999999999</v>
      </c>
      <c r="G52" s="24">
        <f>F52/$F$7</f>
        <v>2.5140076344398063E-2</v>
      </c>
      <c r="H52" s="22">
        <f>ROUND('PU Wise OWE'!$AK$127/10000,2)-H43</f>
        <v>112.61999999999999</v>
      </c>
      <c r="I52" s="22">
        <f>ROUND('PU Wise OWE'!$AK$129/10000,2)-I43</f>
        <v>112.41</v>
      </c>
      <c r="J52" s="24">
        <f>I52/$I$7</f>
        <v>2.5136741548410758E-2</v>
      </c>
      <c r="K52" s="22">
        <f>H52-I52</f>
        <v>0.20999999999999375</v>
      </c>
      <c r="L52" s="24">
        <f>K52/I52</f>
        <v>1.8681611956231096E-3</v>
      </c>
      <c r="M52" s="22">
        <f>I52-C52</f>
        <v>-7.3799999999999955</v>
      </c>
      <c r="N52" s="54">
        <f>M52/C52</f>
        <v>-6.160781367392934E-2</v>
      </c>
      <c r="O52" s="54">
        <f>I52/F52</f>
        <v>0.99813532232285562</v>
      </c>
      <c r="P52" s="158" t="s">
        <v>263</v>
      </c>
      <c r="Q52" s="165">
        <f>(I52/10)*12</f>
        <v>134.892</v>
      </c>
      <c r="R52" s="169">
        <f>Q52-F52</f>
        <v>22.272000000000006</v>
      </c>
    </row>
    <row r="53" spans="1:18" ht="15.75">
      <c r="A53" s="20" t="s">
        <v>154</v>
      </c>
      <c r="B53" s="107">
        <v>121.46</v>
      </c>
      <c r="C53" s="72">
        <f>ROUND('PU Wise OWE'!$AL$128/10000,2)</f>
        <v>46.29</v>
      </c>
      <c r="D53" s="87">
        <f>C53/$C$7</f>
        <v>1.1229113702963381E-2</v>
      </c>
      <c r="E53" s="314"/>
      <c r="F53" s="22">
        <f>ROUND('PU Wise OWE'!$AL$126/10000,2)</f>
        <v>65.930000000000007</v>
      </c>
      <c r="G53" s="24">
        <f>F53/$F$7</f>
        <v>1.4717503404245822E-2</v>
      </c>
      <c r="H53" s="23">
        <f>ROUND('PU Wise OWE'!$AL$127/10000,2)</f>
        <v>65.930000000000007</v>
      </c>
      <c r="I53" s="23">
        <f>ROUND('PU Wise OWE'!$AL$129/10000,2)</f>
        <v>65.81</v>
      </c>
      <c r="J53" s="24">
        <f>I53/$I$7</f>
        <v>1.4716208178106148E-2</v>
      </c>
      <c r="K53" s="22">
        <f>H53-I53</f>
        <v>0.12000000000000455</v>
      </c>
      <c r="L53" s="24">
        <f>K53/I53</f>
        <v>1.8234310895001451E-3</v>
      </c>
      <c r="M53" s="22">
        <f>I53-C53</f>
        <v>19.520000000000003</v>
      </c>
      <c r="N53" s="54">
        <f>M53/C53</f>
        <v>0.4216893497515663</v>
      </c>
      <c r="O53" s="54">
        <f>I53/F53</f>
        <v>0.99817988775974509</v>
      </c>
      <c r="P53" s="157" t="s">
        <v>264</v>
      </c>
      <c r="Q53" s="165">
        <f>(I53/10)*12</f>
        <v>78.972000000000008</v>
      </c>
      <c r="R53" s="70">
        <f>Q53-F53</f>
        <v>13.042000000000002</v>
      </c>
    </row>
    <row r="54" spans="1:18" s="36" customFormat="1">
      <c r="A54" s="25" t="s">
        <v>122</v>
      </c>
      <c r="B54" s="26">
        <f>SUM(B52:B53)</f>
        <v>310.33999999999997</v>
      </c>
      <c r="C54" s="76">
        <f>SUM(C52:C53)</f>
        <v>166.07999999999998</v>
      </c>
      <c r="D54" s="88">
        <f>C54/$C$7</f>
        <v>4.0287993168895184E-2</v>
      </c>
      <c r="E54" s="315"/>
      <c r="F54" s="76">
        <f>SUM(F52:F53)</f>
        <v>178.55</v>
      </c>
      <c r="G54" s="56">
        <f>F54/$F$7</f>
        <v>3.9857579748643887E-2</v>
      </c>
      <c r="H54" s="76">
        <f>SUM(H52:H53)</f>
        <v>178.55</v>
      </c>
      <c r="I54" s="76">
        <f>SUM(I52:I53)</f>
        <v>178.22</v>
      </c>
      <c r="J54" s="56">
        <f>I54/$I$7</f>
        <v>3.9852949726516908E-2</v>
      </c>
      <c r="K54" s="26">
        <f>H54-I54</f>
        <v>0.33000000000001251</v>
      </c>
      <c r="L54" s="56">
        <f>K54/I54</f>
        <v>1.8516440354618591E-3</v>
      </c>
      <c r="M54" s="26">
        <f>I54-C54</f>
        <v>12.140000000000015</v>
      </c>
      <c r="N54" s="104">
        <f>M54/C54</f>
        <v>7.3097302504817052E-2</v>
      </c>
      <c r="O54" s="54">
        <f>I54/F54</f>
        <v>0.99815177821338552</v>
      </c>
      <c r="P54" s="156"/>
      <c r="Q54" s="76">
        <f>SUM(Q52:Q53)</f>
        <v>213.864</v>
      </c>
      <c r="R54" s="76">
        <f>SUM(R52:R53)</f>
        <v>35.314000000000007</v>
      </c>
    </row>
    <row r="55" spans="1:18">
      <c r="Q55" s="166"/>
    </row>
    <row r="56" spans="1:18" s="36" customFormat="1" ht="38.450000000000003" customHeight="1">
      <c r="A56" s="80" t="s">
        <v>155</v>
      </c>
      <c r="B56" s="112">
        <v>348.19</v>
      </c>
      <c r="C56" s="73">
        <f>ROUND('PU Wise OWE'!$AO$128/10000,2)</f>
        <v>201.74</v>
      </c>
      <c r="D56" s="88">
        <f>C56/$C$7</f>
        <v>4.8938461837023821E-2</v>
      </c>
      <c r="E56" s="55"/>
      <c r="F56" s="26">
        <f>ROUND('PU Wise OWE'!$AO$126/10000,2)</f>
        <v>224.78</v>
      </c>
      <c r="G56" s="56">
        <f>F56/$F$7</f>
        <v>5.0177467241109899E-2</v>
      </c>
      <c r="H56" s="25">
        <f>ROUND('PU Wise OWE'!$AO$127/10000,2)</f>
        <v>224.78</v>
      </c>
      <c r="I56" s="25">
        <f>ROUND('PU Wise OWE'!$AO$129/10000,2)</f>
        <v>224.16</v>
      </c>
      <c r="J56" s="56">
        <f>I56/$I$7</f>
        <v>5.0125896143508188E-2</v>
      </c>
      <c r="K56" s="26">
        <f>H56-I56</f>
        <v>0.62000000000000455</v>
      </c>
      <c r="L56" s="56">
        <f>K56/I56</f>
        <v>2.765881513204874E-3</v>
      </c>
      <c r="M56" s="26">
        <f>I56-C56</f>
        <v>22.419999999999987</v>
      </c>
      <c r="N56" s="57">
        <f>M56/C56</f>
        <v>0.11113314166749275</v>
      </c>
      <c r="O56" s="54">
        <f>I56/F56</f>
        <v>0.99724174748643113</v>
      </c>
      <c r="P56" s="158" t="s">
        <v>277</v>
      </c>
      <c r="Q56" s="165">
        <f>(I56-26.18)/10*2+I56</f>
        <v>263.75599999999997</v>
      </c>
      <c r="R56" s="169">
        <f>Q56-F56</f>
        <v>38.975999999999971</v>
      </c>
    </row>
    <row r="57" spans="1:18" s="36" customFormat="1">
      <c r="A57" s="118"/>
      <c r="B57" s="119"/>
      <c r="C57" s="115"/>
      <c r="D57" s="116"/>
      <c r="E57" s="117"/>
      <c r="F57" s="93"/>
      <c r="G57" s="92"/>
      <c r="H57" s="92"/>
      <c r="I57" s="90"/>
      <c r="J57" s="92"/>
      <c r="K57" s="92"/>
      <c r="L57" s="92"/>
      <c r="M57" s="26"/>
      <c r="N57" s="57"/>
      <c r="O57" s="102"/>
      <c r="P57" s="161"/>
      <c r="Q57" s="168"/>
    </row>
    <row r="58" spans="1:18">
      <c r="B58" s="295" t="s">
        <v>288</v>
      </c>
      <c r="C58" s="297" t="str">
        <f>'PU Wise OWE'!$B$7</f>
        <v>Actuals upto March-23</v>
      </c>
      <c r="D58" s="295" t="s">
        <v>165</v>
      </c>
      <c r="E58" s="295"/>
      <c r="F58" s="325" t="str">
        <f>'PU Wise OWE'!$B$5</f>
        <v xml:space="preserve">FG 2023-24 </v>
      </c>
      <c r="G58" s="295" t="s">
        <v>295</v>
      </c>
      <c r="H58" s="295" t="s">
        <v>302</v>
      </c>
      <c r="I58" s="297" t="str">
        <f>'PU Wise OWE'!B8</f>
        <v>Actuals upto March-24</v>
      </c>
      <c r="J58" s="295" t="s">
        <v>197</v>
      </c>
      <c r="K58" s="294" t="s">
        <v>198</v>
      </c>
      <c r="L58" s="294"/>
      <c r="M58" s="294" t="s">
        <v>139</v>
      </c>
      <c r="N58" s="294"/>
      <c r="O58" s="298" t="s">
        <v>300</v>
      </c>
      <c r="P58" s="335" t="s">
        <v>259</v>
      </c>
      <c r="Q58" s="167"/>
    </row>
    <row r="59" spans="1:18" ht="30">
      <c r="A59" s="77" t="s">
        <v>178</v>
      </c>
      <c r="B59" s="296"/>
      <c r="C59" s="296"/>
      <c r="D59" s="296"/>
      <c r="E59" s="296"/>
      <c r="F59" s="326"/>
      <c r="G59" s="296"/>
      <c r="H59" s="296"/>
      <c r="I59" s="296"/>
      <c r="J59" s="296"/>
      <c r="K59" s="81" t="s">
        <v>137</v>
      </c>
      <c r="L59" s="82" t="s">
        <v>138</v>
      </c>
      <c r="M59" s="81" t="s">
        <v>137</v>
      </c>
      <c r="N59" s="82" t="s">
        <v>138</v>
      </c>
      <c r="O59" s="298"/>
      <c r="P59" s="335"/>
      <c r="Q59" s="167"/>
    </row>
    <row r="60" spans="1:18" ht="15.75">
      <c r="A60" s="23" t="s">
        <v>179</v>
      </c>
      <c r="B60" s="22">
        <v>80.099999999999994</v>
      </c>
      <c r="C60" s="72">
        <f>ROUND('PU Wise OWE'!$AM$62/10000,2)</f>
        <v>57.33</v>
      </c>
      <c r="D60" s="87">
        <f>C60/$C$7</f>
        <v>1.3907217295115373E-2</v>
      </c>
      <c r="E60" s="310"/>
      <c r="F60" s="22">
        <f>ROUND('PU Wise OWE'!$AM$60/10000,2)</f>
        <v>43.83</v>
      </c>
      <c r="G60" s="24">
        <f>F60/$F$7</f>
        <v>9.7841373306248192E-3</v>
      </c>
      <c r="H60" s="23">
        <f>ROUND('PU Wise OWE'!$AM$61/10000,2)</f>
        <v>43.83</v>
      </c>
      <c r="I60" s="23">
        <f>ROUND('PU Wise OWE'!$AM$63/10000,2)</f>
        <v>43.75</v>
      </c>
      <c r="J60" s="96">
        <f>I60/$I$7</f>
        <v>9.7832260719061537E-3</v>
      </c>
      <c r="K60" s="22">
        <f>H60-I60</f>
        <v>7.9999999999998295E-2</v>
      </c>
      <c r="L60" s="24">
        <f>K60/I60</f>
        <v>1.8285714285713895E-3</v>
      </c>
      <c r="M60" s="22">
        <f>I60-C60</f>
        <v>-13.579999999999998</v>
      </c>
      <c r="N60" s="54">
        <f>M60/C60</f>
        <v>-0.23687423687423687</v>
      </c>
      <c r="O60" s="54">
        <f>I60/F60</f>
        <v>0.99817476614191192</v>
      </c>
      <c r="P60" s="158"/>
      <c r="Q60" s="165">
        <f>(I60/10)*12</f>
        <v>52.5</v>
      </c>
      <c r="R60" s="70">
        <f>Q60-F60</f>
        <v>8.6700000000000017</v>
      </c>
    </row>
    <row r="61" spans="1:18" ht="46.15" customHeight="1">
      <c r="A61" s="23" t="s">
        <v>180</v>
      </c>
      <c r="B61" s="22">
        <v>21.26</v>
      </c>
      <c r="C61" s="72">
        <f>ROUND('PU Wise OWE'!$AM$95/10000,2)</f>
        <v>5.13</v>
      </c>
      <c r="D61" s="87">
        <f>C61/$C$7</f>
        <v>1.2444448757010615E-3</v>
      </c>
      <c r="E61" s="311"/>
      <c r="F61" s="22">
        <f>ROUND('PU Wise OWE'!$AM$93/10000,2)</f>
        <v>11.46</v>
      </c>
      <c r="G61" s="24">
        <f>F61/$F$7</f>
        <v>2.558207022791705E-3</v>
      </c>
      <c r="H61" s="23">
        <f>ROUND('PU Wise OWE'!$AM$94/10000,2)</f>
        <v>11.46</v>
      </c>
      <c r="I61" s="23">
        <f>ROUND('PU Wise OWE'!$AM$96/10000,2)</f>
        <v>11.44</v>
      </c>
      <c r="J61" s="96">
        <f>I61/$I$7</f>
        <v>2.5581738574310033E-3</v>
      </c>
      <c r="K61" s="22">
        <f>H61-I61</f>
        <v>2.000000000000135E-2</v>
      </c>
      <c r="L61" s="24">
        <f>K61/I61</f>
        <v>1.7482517482518664E-3</v>
      </c>
      <c r="M61" s="22">
        <f>I61-C61</f>
        <v>6.31</v>
      </c>
      <c r="N61" s="54">
        <f>M61/C61</f>
        <v>1.2300194931773878</v>
      </c>
      <c r="O61" s="54">
        <f>I61/F61</f>
        <v>0.99825479930191963</v>
      </c>
      <c r="P61" s="158" t="s">
        <v>268</v>
      </c>
      <c r="Q61" s="165">
        <f>(I61/10)*12</f>
        <v>13.727999999999998</v>
      </c>
      <c r="R61" s="70">
        <f>Q61-F61</f>
        <v>2.2679999999999971</v>
      </c>
    </row>
    <row r="62" spans="1:18" ht="43.15" customHeight="1">
      <c r="A62" s="23" t="s">
        <v>181</v>
      </c>
      <c r="B62" s="22">
        <v>9.89</v>
      </c>
      <c r="C62" s="72">
        <f>ROUND('PU Wise OWE'!$AN$18/10000,2)</f>
        <v>13.24</v>
      </c>
      <c r="D62" s="87">
        <f>C62/$C$7</f>
        <v>3.2117836558054691E-3</v>
      </c>
      <c r="E62" s="311"/>
      <c r="F62" s="22">
        <f>ROUND('PU Wise OWE'!$AN$16/10000,2)</f>
        <v>15.07</v>
      </c>
      <c r="G62" s="24">
        <f>F62/$F$7</f>
        <v>3.3640645578945022E-3</v>
      </c>
      <c r="H62" s="23">
        <f>ROUND('PU Wise OWE'!$AN$17/10000,2)</f>
        <v>15.07</v>
      </c>
      <c r="I62" s="23">
        <f>ROUND('PU Wise OWE'!$AN$19/10000,2)</f>
        <v>15.04</v>
      </c>
      <c r="J62" s="96">
        <f>I62/$I$7</f>
        <v>3.3631936027764238E-3</v>
      </c>
      <c r="K62" s="22">
        <f>H62-I62</f>
        <v>3.0000000000001137E-2</v>
      </c>
      <c r="L62" s="24">
        <f>K62/I62</f>
        <v>1.9946808510639055E-3</v>
      </c>
      <c r="M62" s="22">
        <f>I62-C62</f>
        <v>1.7999999999999989</v>
      </c>
      <c r="N62" s="54">
        <f>M62/C62</f>
        <v>0.13595166163141986</v>
      </c>
      <c r="O62" s="54">
        <f>I62/F62</f>
        <v>0.99800928998009286</v>
      </c>
      <c r="P62" s="158" t="s">
        <v>265</v>
      </c>
      <c r="Q62" s="165">
        <f>(I62/10)*12</f>
        <v>18.048000000000002</v>
      </c>
      <c r="R62" s="70">
        <f>Q62-F62</f>
        <v>2.9780000000000015</v>
      </c>
    </row>
    <row r="63" spans="1:18" ht="15.75">
      <c r="A63" s="23" t="s">
        <v>182</v>
      </c>
      <c r="B63" s="22">
        <v>1.64</v>
      </c>
      <c r="C63" s="72">
        <f>ROUND('PU Wise OWE'!$AN$62/10000,2)</f>
        <v>8.49</v>
      </c>
      <c r="D63" s="87">
        <f>C63/$C$7</f>
        <v>2.0595198820081897E-3</v>
      </c>
      <c r="E63" s="311"/>
      <c r="F63" s="22">
        <f>ROUND('PU Wise OWE'!$AN$60/10000,2)</f>
        <v>16.54</v>
      </c>
      <c r="G63" s="24">
        <f>F63/$F$7</f>
        <v>3.6922115320222335E-3</v>
      </c>
      <c r="H63" s="23">
        <f>ROUND('PU Wise OWE'!$AN$61/10000,2)</f>
        <v>16.54</v>
      </c>
      <c r="I63" s="23">
        <f>ROUND('PU Wise OWE'!$AN$63/10000,2)</f>
        <v>16.510000000000002</v>
      </c>
      <c r="J63" s="96">
        <f>I63/$I$7</f>
        <v>3.6919099987924712E-3</v>
      </c>
      <c r="K63" s="22">
        <f>H63-I63</f>
        <v>2.9999999999997584E-2</v>
      </c>
      <c r="L63" s="24">
        <f>K63/I63</f>
        <v>1.817080557237891E-3</v>
      </c>
      <c r="M63" s="22">
        <f>I63-C63</f>
        <v>8.0200000000000014</v>
      </c>
      <c r="N63" s="54">
        <f>M63/C63</f>
        <v>0.94464075382803314</v>
      </c>
      <c r="O63" s="54">
        <f>I63/F63</f>
        <v>0.99818621523579221</v>
      </c>
      <c r="P63" s="157"/>
      <c r="Q63" s="165">
        <f>(I63/10)*12</f>
        <v>19.812000000000005</v>
      </c>
      <c r="R63" s="70">
        <f>Q63-F63</f>
        <v>3.2720000000000056</v>
      </c>
    </row>
    <row r="64" spans="1:18" s="36" customFormat="1">
      <c r="A64" s="25" t="s">
        <v>122</v>
      </c>
      <c r="B64" s="26">
        <f>SUM(B60:B63)</f>
        <v>112.89</v>
      </c>
      <c r="C64" s="76">
        <f>SUM(C60:C63)</f>
        <v>84.19</v>
      </c>
      <c r="D64" s="88">
        <f>C64/$C$7</f>
        <v>2.0422965708630093E-2</v>
      </c>
      <c r="E64" s="312"/>
      <c r="F64" s="26">
        <f>SUM(F60:F63)</f>
        <v>86.9</v>
      </c>
      <c r="G64" s="56">
        <f>F64/$F$7</f>
        <v>1.9398620443333261E-2</v>
      </c>
      <c r="H64" s="26">
        <f>SUM(H60:H63)</f>
        <v>86.9</v>
      </c>
      <c r="I64" s="26">
        <f>SUM(I60:I63)</f>
        <v>86.74</v>
      </c>
      <c r="J64" s="56">
        <f>I64/$I$7</f>
        <v>1.9396503530906051E-2</v>
      </c>
      <c r="K64" s="26">
        <f>H64-I64</f>
        <v>0.1600000000000108</v>
      </c>
      <c r="L64" s="56">
        <f>K64/I64</f>
        <v>1.8445930366614112E-3</v>
      </c>
      <c r="M64" s="26">
        <f>I64-C64</f>
        <v>2.5499999999999972</v>
      </c>
      <c r="N64" s="57">
        <f>M64/C64</f>
        <v>3.0288632854258191E-2</v>
      </c>
      <c r="O64" s="54">
        <f>I64/F64</f>
        <v>0.99815880322209427</v>
      </c>
      <c r="P64" s="156"/>
      <c r="Q64" s="76">
        <f>SUM(Q60:Q63)</f>
        <v>104.08799999999999</v>
      </c>
      <c r="R64" s="76">
        <f>SUM(R60:R63)</f>
        <v>17.188000000000006</v>
      </c>
    </row>
    <row r="65" spans="1:18">
      <c r="Q65" s="166"/>
    </row>
    <row r="66" spans="1:18">
      <c r="A66" s="77" t="s">
        <v>183</v>
      </c>
      <c r="B66" s="77"/>
      <c r="Q66" s="166"/>
    </row>
    <row r="67" spans="1:18" ht="27.6" customHeight="1">
      <c r="A67" s="23" t="s">
        <v>184</v>
      </c>
      <c r="B67" s="22">
        <v>1117.51</v>
      </c>
      <c r="C67" s="72">
        <f>ROUND('PU Wise OWE'!$AP$73/10000,2)</f>
        <v>0</v>
      </c>
      <c r="D67" s="87">
        <f>C67/$C$7</f>
        <v>0</v>
      </c>
      <c r="E67" s="23"/>
      <c r="F67" s="22">
        <f>ROUND('PU Wise OWE'!$AP$71/10000,2)</f>
        <v>0</v>
      </c>
      <c r="G67" s="24">
        <f>F67/$F$7</f>
        <v>0</v>
      </c>
      <c r="H67" s="23">
        <f>ROUND('PU Wise OWE'!$AP$72/10000,2)</f>
        <v>0</v>
      </c>
      <c r="I67" s="23">
        <f>ROUND('PU Wise OWE'!$AP$74/10000,2)</f>
        <v>0</v>
      </c>
      <c r="J67" s="96">
        <f>I67/$I$7</f>
        <v>0</v>
      </c>
      <c r="K67" s="22">
        <f>H67-I67</f>
        <v>0</v>
      </c>
      <c r="L67" s="24" t="e">
        <f>K67/I67</f>
        <v>#DIV/0!</v>
      </c>
      <c r="M67" s="22">
        <f>I67-C67</f>
        <v>0</v>
      </c>
      <c r="N67" s="54" t="e">
        <f>M67/C67</f>
        <v>#DIV/0!</v>
      </c>
      <c r="O67" s="54" t="e">
        <f>I67/F67</f>
        <v>#DIV/0!</v>
      </c>
      <c r="P67" s="158" t="s">
        <v>269</v>
      </c>
      <c r="Q67" s="165">
        <f>(I67-256.76-544.78)/10*2+I67</f>
        <v>-160.30799999999999</v>
      </c>
      <c r="R67" s="70">
        <f>Q67-F67</f>
        <v>-160.30799999999999</v>
      </c>
    </row>
    <row r="68" spans="1:18" ht="15.75">
      <c r="A68" s="89" t="s">
        <v>185</v>
      </c>
      <c r="B68" s="113">
        <v>38.520000000000003</v>
      </c>
      <c r="C68" s="72">
        <f>ROUND('PU Wise OWE'!$AP$128/10000,2)-C67</f>
        <v>-72.38</v>
      </c>
      <c r="D68" s="87">
        <f>C68/$C$7</f>
        <v>-1.7558074094199384E-2</v>
      </c>
      <c r="E68" s="23"/>
      <c r="F68" s="22">
        <f>ROUND('PU Wise OWE'!$AP$126/10000,2)-F67</f>
        <v>-67.87</v>
      </c>
      <c r="G68" s="24">
        <f>F68/$F$7</f>
        <v>-1.5150568118400787E-2</v>
      </c>
      <c r="H68" s="23">
        <f>ROUND('PU Wise OWE'!$AP$127/10000,2)-H67</f>
        <v>-67.87</v>
      </c>
      <c r="I68" s="23">
        <f>ROUND('PU Wise OWE'!$AP$129/10000,2)-I67</f>
        <v>-67.75</v>
      </c>
      <c r="J68" s="96">
        <f>I68/$I$7</f>
        <v>-1.5150024374208957E-2</v>
      </c>
      <c r="K68" s="22">
        <f>H68-I68</f>
        <v>-0.12000000000000455</v>
      </c>
      <c r="L68" s="24">
        <f>K68/I68</f>
        <v>1.7712177121771888E-3</v>
      </c>
      <c r="M68" s="22">
        <f>I68-C68</f>
        <v>4.6299999999999955</v>
      </c>
      <c r="N68" s="54">
        <f>M68/C68</f>
        <v>-6.3967946946670295E-2</v>
      </c>
      <c r="O68" s="54">
        <f>I68/F68</f>
        <v>0.9982319139531457</v>
      </c>
      <c r="P68" s="157"/>
      <c r="Q68" s="165">
        <f>(I68/10)*12</f>
        <v>-81.300000000000011</v>
      </c>
      <c r="R68" s="70">
        <f>Q68-F68</f>
        <v>-13.430000000000007</v>
      </c>
    </row>
    <row r="69" spans="1:18" s="36" customFormat="1">
      <c r="A69" s="25" t="s">
        <v>122</v>
      </c>
      <c r="B69" s="26">
        <f>SUM(B67:B68)</f>
        <v>1156.03</v>
      </c>
      <c r="C69" s="76">
        <f>SUM(C67:C68)</f>
        <v>-72.38</v>
      </c>
      <c r="D69" s="88">
        <f>C69/$C$7</f>
        <v>-1.7558074094199384E-2</v>
      </c>
      <c r="E69" s="90"/>
      <c r="F69" s="91">
        <f>SUM(F67:F68)</f>
        <v>-67.87</v>
      </c>
      <c r="G69" s="92">
        <f>F69/$F$7</f>
        <v>-1.5150568118400787E-2</v>
      </c>
      <c r="H69" s="91">
        <f>SUM(H67:H68)</f>
        <v>-67.87</v>
      </c>
      <c r="I69" s="91">
        <f>SUM(I67:I68)</f>
        <v>-67.75</v>
      </c>
      <c r="J69" s="56">
        <f>I69/$I$7</f>
        <v>-1.5150024374208957E-2</v>
      </c>
      <c r="K69" s="22">
        <f>H69-I69</f>
        <v>-0.12000000000000455</v>
      </c>
      <c r="L69" s="24">
        <f>K69/I69</f>
        <v>1.7712177121771888E-3</v>
      </c>
      <c r="M69" s="93">
        <f>I69-C69</f>
        <v>4.6299999999999955</v>
      </c>
      <c r="N69" s="103">
        <f>M69/C69</f>
        <v>-6.3967946946670295E-2</v>
      </c>
      <c r="P69" s="162"/>
      <c r="Q69" s="76">
        <f>SUM(Q67:Q68)</f>
        <v>-241.608</v>
      </c>
      <c r="R69" s="76">
        <f>SUM(R67:R68)</f>
        <v>-173.738</v>
      </c>
    </row>
    <row r="70" spans="1:18">
      <c r="E70" s="31"/>
      <c r="F70" s="34"/>
      <c r="G70" s="34"/>
      <c r="H70" s="34"/>
      <c r="I70" s="31"/>
      <c r="J70" s="31"/>
      <c r="K70" s="31"/>
      <c r="L70" s="31"/>
      <c r="M70" s="34"/>
      <c r="N70" s="94"/>
      <c r="Q70" s="166"/>
    </row>
    <row r="71" spans="1:18">
      <c r="A71" s="77" t="s">
        <v>187</v>
      </c>
      <c r="B71" s="77"/>
      <c r="E71" s="31"/>
      <c r="F71" s="34"/>
      <c r="G71" s="34"/>
      <c r="H71" s="34"/>
      <c r="I71" s="31"/>
      <c r="J71" s="31"/>
      <c r="K71" s="31"/>
      <c r="L71" s="31"/>
      <c r="M71" s="34"/>
      <c r="N71" s="94"/>
      <c r="Q71" s="166"/>
    </row>
    <row r="72" spans="1:18" ht="38.450000000000003" customHeight="1">
      <c r="A72" s="23" t="s">
        <v>186</v>
      </c>
      <c r="B72" s="22">
        <v>12.31</v>
      </c>
      <c r="C72" s="72">
        <f>ROUND('PU Wise OWE'!$AQ$29/10000,2)+ROUND('PU Wise OWE'!$BB$29/10000,2)</f>
        <v>-11.94</v>
      </c>
      <c r="D72" s="87">
        <f>C72/$C$7</f>
        <v>-2.8964272545556873E-3</v>
      </c>
      <c r="E72" s="23"/>
      <c r="F72" s="72">
        <f>ROUND('PU Wise OWE'!$AQ$27/10000,2)+ROUND('PU Wise OWE'!$BB$27/10000,2)</f>
        <v>-15.13</v>
      </c>
      <c r="G72" s="24">
        <f>F72/$F$7</f>
        <v>-3.3774583119405318E-3</v>
      </c>
      <c r="H72" s="72">
        <f>ROUND('PU Wise OWE'!$AQ$28/10000,2)+ROUND('PU Wise OWE'!$BB$28/10000,2)</f>
        <v>-15.13</v>
      </c>
      <c r="I72" s="72">
        <f>ROUND('PU Wise OWE'!$AQ$30/10000,2)+ROUND('PU Wise OWE'!$BB$30/10000,2)</f>
        <v>-15.1</v>
      </c>
      <c r="J72" s="96">
        <f>I72/$I$7</f>
        <v>-3.3766105985321808E-3</v>
      </c>
      <c r="K72" s="22">
        <f>H72-I72</f>
        <v>-3.0000000000001137E-2</v>
      </c>
      <c r="L72" s="24">
        <f>K72/I72</f>
        <v>1.9867549668874927E-3</v>
      </c>
      <c r="M72" s="22">
        <f>I72-C72</f>
        <v>-3.16</v>
      </c>
      <c r="N72" s="54">
        <f>M72/C72</f>
        <v>0.26465661641541038</v>
      </c>
      <c r="O72" s="54">
        <f>I72/F72</f>
        <v>0.9980171844018505</v>
      </c>
      <c r="P72" s="158" t="s">
        <v>280</v>
      </c>
      <c r="Q72" s="165">
        <f>(I72/10)*12</f>
        <v>-18.12</v>
      </c>
      <c r="R72" s="70">
        <f>Q72-F72</f>
        <v>-2.99</v>
      </c>
    </row>
    <row r="73" spans="1:18" ht="52.9" customHeight="1">
      <c r="A73" s="23" t="s">
        <v>188</v>
      </c>
      <c r="B73" s="22">
        <v>114.52</v>
      </c>
      <c r="C73" s="72">
        <f>ROUND('PU Wise OWE'!$AQ$40/10000,2)+ROUND('PU Wise OWE'!$BB$40/10000,2)</f>
        <v>54.86</v>
      </c>
      <c r="D73" s="87">
        <f>C73/$C$7</f>
        <v>1.3308040132740787E-2</v>
      </c>
      <c r="E73" s="23"/>
      <c r="F73" s="72">
        <f>ROUND('PU Wise OWE'!$AQ$38/10000,2)+ROUND('PU Wise OWE'!$BB$38/10000,2)</f>
        <v>44.9</v>
      </c>
      <c r="G73" s="24">
        <f>F73/$F$7</f>
        <v>1.0022992611112351E-2</v>
      </c>
      <c r="H73" s="72">
        <f>ROUND('PU Wise OWE'!$AQ$39/10000,2)+ROUND('PU Wise OWE'!$BB$39/10000,2)</f>
        <v>44.9</v>
      </c>
      <c r="I73" s="72">
        <f>ROUND('PU Wise OWE'!$AQ$41/10000,2)+ROUND('PU Wise OWE'!$BB$41/10000,2)</f>
        <v>45.230000000000004</v>
      </c>
      <c r="J73" s="96">
        <f>I73/$I$7</f>
        <v>1.0114178633881494E-2</v>
      </c>
      <c r="K73" s="22">
        <f>H73-I73</f>
        <v>-0.3300000000000054</v>
      </c>
      <c r="L73" s="24">
        <f>K73/I73</f>
        <v>-7.296042449701644E-3</v>
      </c>
      <c r="M73" s="22">
        <f>I73-C73</f>
        <v>-9.6299999999999955</v>
      </c>
      <c r="N73" s="54">
        <f>M73/C73</f>
        <v>-0.17553773240977025</v>
      </c>
      <c r="O73" s="54">
        <f>I73/F73</f>
        <v>1.0073496659242762</v>
      </c>
      <c r="P73" s="158" t="s">
        <v>266</v>
      </c>
      <c r="Q73" s="165">
        <f>(I73/10)*12</f>
        <v>54.27600000000001</v>
      </c>
      <c r="R73" s="70">
        <f>Q73-F73</f>
        <v>9.3760000000000119</v>
      </c>
    </row>
    <row r="74" spans="1:18" s="36" customFormat="1">
      <c r="A74" s="25" t="s">
        <v>122</v>
      </c>
      <c r="B74" s="26">
        <v>126.83</v>
      </c>
      <c r="C74" s="76">
        <f>SUM(C72:C73)</f>
        <v>42.92</v>
      </c>
      <c r="D74" s="88">
        <f>C74/$C$7</f>
        <v>1.04116128781851E-2</v>
      </c>
      <c r="E74" s="25"/>
      <c r="F74" s="76">
        <f>SUM(F72:F73)</f>
        <v>29.769999999999996</v>
      </c>
      <c r="G74" s="56">
        <f>F74/$F$7</f>
        <v>6.6455342991718191E-3</v>
      </c>
      <c r="H74" s="76">
        <f>SUM(H72:H73)</f>
        <v>29.769999999999996</v>
      </c>
      <c r="I74" s="76">
        <f>SUM(I72:I73)</f>
        <v>30.130000000000003</v>
      </c>
      <c r="J74" s="56">
        <f>I74/$I$7</f>
        <v>6.7375680353493131E-3</v>
      </c>
      <c r="K74" s="26">
        <f>H74-I74</f>
        <v>-0.36000000000000654</v>
      </c>
      <c r="L74" s="56">
        <f>K74/I74</f>
        <v>-1.1948224361102107E-2</v>
      </c>
      <c r="M74" s="26">
        <f>I74-C74</f>
        <v>-12.79</v>
      </c>
      <c r="N74" s="57">
        <f>M74/C74</f>
        <v>-0.29799627213420316</v>
      </c>
      <c r="P74" s="162"/>
      <c r="Q74" s="76">
        <f>SUM(Q72:Q73)</f>
        <v>36.156000000000006</v>
      </c>
      <c r="R74" s="76">
        <f>SUM(R72:R73)</f>
        <v>6.3860000000000117</v>
      </c>
    </row>
    <row r="75" spans="1:18">
      <c r="D75" s="31"/>
      <c r="E75" s="31"/>
      <c r="F75" s="34"/>
      <c r="G75" s="34"/>
      <c r="H75" s="34"/>
      <c r="I75" s="31"/>
      <c r="J75" s="31"/>
      <c r="K75" s="31"/>
      <c r="L75" s="31"/>
      <c r="M75" s="34"/>
      <c r="N75" s="94"/>
      <c r="Q75" s="166"/>
    </row>
    <row r="76" spans="1:18">
      <c r="A76" s="77" t="s">
        <v>189</v>
      </c>
      <c r="B76" s="77"/>
      <c r="D76" s="31"/>
      <c r="E76" s="31"/>
      <c r="F76" s="34"/>
      <c r="G76" s="34"/>
      <c r="H76" s="34"/>
      <c r="I76" s="31"/>
      <c r="J76" s="31"/>
      <c r="K76" s="31"/>
      <c r="L76" s="31"/>
      <c r="M76" s="34"/>
      <c r="N76" s="94"/>
      <c r="Q76" s="166"/>
    </row>
    <row r="77" spans="1:18" ht="15.75">
      <c r="A77" s="23" t="s">
        <v>191</v>
      </c>
      <c r="B77" s="22">
        <v>2</v>
      </c>
      <c r="C77" s="72">
        <f>ROUND('PU Wise OWE'!$AW$128/10000,2)</f>
        <v>0.41</v>
      </c>
      <c r="D77" s="87">
        <f t="shared" ref="D77:D83" si="18">C77/$C$7</f>
        <v>9.9458557317238836E-5</v>
      </c>
      <c r="E77" s="23"/>
      <c r="F77" s="22">
        <f>ROUND('PU Wise OWE'!$AW$126/10000,2)</f>
        <v>0</v>
      </c>
      <c r="G77" s="24">
        <f t="shared" ref="G77:G83" si="19">F77/$F$7</f>
        <v>0</v>
      </c>
      <c r="H77" s="23">
        <f>ROUND('PU Wise OWE'!$AW$127/10000,2)</f>
        <v>0</v>
      </c>
      <c r="I77" s="23">
        <f>ROUND('PU Wise OWE'!$AW$129/10000,2)</f>
        <v>0</v>
      </c>
      <c r="J77" s="96">
        <f t="shared" ref="J77:J85" si="20">I77/$I$7</f>
        <v>0</v>
      </c>
      <c r="K77" s="22">
        <f>H77-I77</f>
        <v>0</v>
      </c>
      <c r="L77" s="24" t="e">
        <f>K77/I77</f>
        <v>#DIV/0!</v>
      </c>
      <c r="M77" s="22">
        <f t="shared" ref="M77:M83" si="21">I77-C77</f>
        <v>-0.41</v>
      </c>
      <c r="N77" s="54">
        <f t="shared" ref="N77:N83" si="22">M77/C77</f>
        <v>-1</v>
      </c>
      <c r="O77" s="54" t="e">
        <f t="shared" ref="O77:O82" si="23">I77/F77</f>
        <v>#DIV/0!</v>
      </c>
      <c r="P77" s="157"/>
      <c r="Q77" s="165">
        <f t="shared" ref="Q77:Q82" si="24">(I77/10)*12</f>
        <v>0</v>
      </c>
      <c r="R77" s="70">
        <f t="shared" ref="R77:R82" si="25">Q77-F77</f>
        <v>0</v>
      </c>
    </row>
    <row r="78" spans="1:18" ht="15.75">
      <c r="A78" s="23" t="s">
        <v>190</v>
      </c>
      <c r="B78" s="22">
        <v>1.66</v>
      </c>
      <c r="C78" s="72">
        <f>ROUND('PU Wise OWE'!$AX$128/10000,2)</f>
        <v>0.15</v>
      </c>
      <c r="D78" s="87">
        <f t="shared" si="18"/>
        <v>3.6387277067282504E-5</v>
      </c>
      <c r="E78" s="23"/>
      <c r="F78" s="22">
        <f>ROUND('PU Wise OWE'!$AW$126/10000,2)</f>
        <v>0</v>
      </c>
      <c r="G78" s="24">
        <f t="shared" si="19"/>
        <v>0</v>
      </c>
      <c r="H78" s="23">
        <f>ROUND('PU Wise OWE'!$AX$127/10000,2)</f>
        <v>0.23</v>
      </c>
      <c r="I78" s="23">
        <f>ROUND('PU Wise OWE'!$AX$129/10000,2)</f>
        <v>0.23</v>
      </c>
      <c r="J78" s="96">
        <f t="shared" si="20"/>
        <v>5.1431817063735209E-5</v>
      </c>
      <c r="K78" s="22">
        <f t="shared" ref="K78:K83" si="26">H78-I78</f>
        <v>0</v>
      </c>
      <c r="L78" s="24">
        <f t="shared" ref="L78:L83" si="27">K78/I78</f>
        <v>0</v>
      </c>
      <c r="M78" s="22">
        <f t="shared" si="21"/>
        <v>8.0000000000000016E-2</v>
      </c>
      <c r="N78" s="54">
        <f t="shared" si="22"/>
        <v>0.53333333333333344</v>
      </c>
      <c r="O78" s="54" t="e">
        <f t="shared" si="23"/>
        <v>#DIV/0!</v>
      </c>
      <c r="P78" s="157"/>
      <c r="Q78" s="165">
        <f t="shared" si="24"/>
        <v>0.27600000000000002</v>
      </c>
      <c r="R78" s="70">
        <f t="shared" si="25"/>
        <v>0.27600000000000002</v>
      </c>
    </row>
    <row r="79" spans="1:18" ht="34.15" customHeight="1">
      <c r="A79" s="23" t="s">
        <v>192</v>
      </c>
      <c r="B79" s="22">
        <v>16.940000000000001</v>
      </c>
      <c r="C79" s="72">
        <f>ROUND('PU Wise OWE'!$BC$128/10000,2)</f>
        <v>10.55</v>
      </c>
      <c r="D79" s="87">
        <f t="shared" si="18"/>
        <v>2.5592384870655365E-3</v>
      </c>
      <c r="E79" s="23"/>
      <c r="F79" s="22">
        <f>ROUND('PU Wise OWE'!$BC$126/10000,2)</f>
        <v>10.29</v>
      </c>
      <c r="G79" s="24">
        <f t="shared" si="19"/>
        <v>2.2970288188941222E-3</v>
      </c>
      <c r="H79" s="23">
        <f>ROUND('PU Wise OWE'!$BC$127/10000,2)</f>
        <v>10.29</v>
      </c>
      <c r="I79" s="23">
        <f>ROUND('PU Wise OWE'!$BC$129/10000,2)</f>
        <v>10.26</v>
      </c>
      <c r="J79" s="96">
        <f t="shared" si="20"/>
        <v>2.2943062742344488E-3</v>
      </c>
      <c r="K79" s="22">
        <f t="shared" si="26"/>
        <v>2.9999999999999361E-2</v>
      </c>
      <c r="L79" s="24">
        <f t="shared" si="27"/>
        <v>2.9239766081870723E-3</v>
      </c>
      <c r="M79" s="22">
        <f t="shared" si="21"/>
        <v>-0.29000000000000092</v>
      </c>
      <c r="N79" s="54">
        <f t="shared" si="22"/>
        <v>-2.7488151658767859E-2</v>
      </c>
      <c r="O79" s="54">
        <f t="shared" si="23"/>
        <v>0.99708454810495628</v>
      </c>
      <c r="P79" s="158" t="s">
        <v>267</v>
      </c>
      <c r="Q79" s="165">
        <f t="shared" si="24"/>
        <v>12.312000000000001</v>
      </c>
      <c r="R79" s="70">
        <f t="shared" si="25"/>
        <v>2.022000000000002</v>
      </c>
    </row>
    <row r="80" spans="1:18" ht="52.9" customHeight="1">
      <c r="A80" s="23" t="s">
        <v>193</v>
      </c>
      <c r="B80" s="22">
        <v>16.95</v>
      </c>
      <c r="C80" s="72">
        <f>ROUND('PU Wise OWE'!$BD$128/10000,2)</f>
        <v>10.49</v>
      </c>
      <c r="D80" s="87">
        <f t="shared" si="18"/>
        <v>2.5446835762386231E-3</v>
      </c>
      <c r="E80" s="23"/>
      <c r="F80" s="22">
        <f>ROUND('PU Wise OWE'!$BD$126/10000,2)</f>
        <v>10.29</v>
      </c>
      <c r="G80" s="24">
        <f t="shared" si="19"/>
        <v>2.2970288188941222E-3</v>
      </c>
      <c r="H80" s="23">
        <f>ROUND('PU Wise OWE'!$BD$127/10000,2)</f>
        <v>10.29</v>
      </c>
      <c r="I80" s="23">
        <f>ROUND('PU Wise OWE'!$BD$129/10000,2)</f>
        <v>10.26</v>
      </c>
      <c r="J80" s="96">
        <f t="shared" si="20"/>
        <v>2.2943062742344488E-3</v>
      </c>
      <c r="K80" s="22">
        <f t="shared" si="26"/>
        <v>2.9999999999999361E-2</v>
      </c>
      <c r="L80" s="24">
        <f t="shared" si="27"/>
        <v>2.9239766081870723E-3</v>
      </c>
      <c r="M80" s="22">
        <f t="shared" si="21"/>
        <v>-0.23000000000000043</v>
      </c>
      <c r="N80" s="54">
        <f t="shared" si="22"/>
        <v>-2.1925643469971442E-2</v>
      </c>
      <c r="O80" s="54">
        <f t="shared" si="23"/>
        <v>0.99708454810495628</v>
      </c>
      <c r="P80" s="158" t="s">
        <v>267</v>
      </c>
      <c r="Q80" s="165">
        <f t="shared" si="24"/>
        <v>12.312000000000001</v>
      </c>
      <c r="R80" s="70">
        <f t="shared" si="25"/>
        <v>2.022000000000002</v>
      </c>
    </row>
    <row r="81" spans="1:18" ht="43.9" customHeight="1">
      <c r="A81" s="23" t="s">
        <v>194</v>
      </c>
      <c r="B81" s="22">
        <v>17.329999999999998</v>
      </c>
      <c r="C81" s="72">
        <f>ROUND('PU Wise OWE'!$BF$128/10000,2)</f>
        <v>14.79</v>
      </c>
      <c r="D81" s="87">
        <f t="shared" si="18"/>
        <v>3.5877855188340547E-3</v>
      </c>
      <c r="E81" s="23"/>
      <c r="F81" s="22">
        <f>ROUND('PU Wise OWE'!$BF$126/10000,2)</f>
        <v>8.44</v>
      </c>
      <c r="G81" s="24">
        <f t="shared" si="19"/>
        <v>1.8840547358082015E-3</v>
      </c>
      <c r="H81" s="23">
        <f>ROUND('PU Wise OWE'!$BF$127/10000,2)</f>
        <v>8.44</v>
      </c>
      <c r="I81" s="23">
        <f>ROUND('PU Wise OWE'!$BF$129/10000,2)</f>
        <v>8.43</v>
      </c>
      <c r="J81" s="96">
        <f t="shared" si="20"/>
        <v>1.8850879036838599E-3</v>
      </c>
      <c r="K81" s="22">
        <f t="shared" si="26"/>
        <v>9.9999999999997868E-3</v>
      </c>
      <c r="L81" s="24">
        <f t="shared" si="27"/>
        <v>1.1862396204032962E-3</v>
      </c>
      <c r="M81" s="22">
        <f t="shared" si="21"/>
        <v>-6.3599999999999994</v>
      </c>
      <c r="N81" s="54">
        <f t="shared" si="22"/>
        <v>-0.43002028397565922</v>
      </c>
      <c r="O81" s="54">
        <f t="shared" si="23"/>
        <v>0.99881516587677732</v>
      </c>
      <c r="P81" s="158" t="s">
        <v>267</v>
      </c>
      <c r="Q81" s="165">
        <f t="shared" si="24"/>
        <v>10.116</v>
      </c>
      <c r="R81" s="70">
        <f t="shared" si="25"/>
        <v>1.6760000000000002</v>
      </c>
    </row>
    <row r="82" spans="1:18" ht="15.75">
      <c r="A82" s="23" t="s">
        <v>195</v>
      </c>
      <c r="B82" s="22">
        <v>166.71</v>
      </c>
      <c r="C82" s="72">
        <f>ROUND('PU Wise OWE'!$BG$128/10000,2)-ROUND('PU Wise OWE'!$BG$117/10000,2)</f>
        <v>83.899999999999977</v>
      </c>
      <c r="D82" s="87">
        <f t="shared" si="18"/>
        <v>2.0352616972966676E-2</v>
      </c>
      <c r="E82" s="23"/>
      <c r="F82" s="22">
        <f>ROUND('PU Wise OWE'!$BG$126/10000,2)-ROUND('PU Wise OWE'!$BG$115/10000,2)</f>
        <v>56.91</v>
      </c>
      <c r="G82" s="24">
        <f t="shared" si="19"/>
        <v>1.270397571265933E-2</v>
      </c>
      <c r="H82" s="23">
        <f>ROUND('PU Wise OWE'!$BG$127/10000,2)-ROUND('PU Wise OWE'!$BG$116/10000,2)</f>
        <v>56.91</v>
      </c>
      <c r="I82" s="23">
        <f>ROUND('PU Wise OWE'!$BG$129/10000,2)-ROUND('PU Wise OWE'!$BG$118/10000,2)</f>
        <v>56.809999999999974</v>
      </c>
      <c r="J82" s="96">
        <f t="shared" si="20"/>
        <v>1.2703658814742591E-2</v>
      </c>
      <c r="K82" s="22">
        <f t="shared" si="26"/>
        <v>0.10000000000002274</v>
      </c>
      <c r="L82" s="24">
        <f t="shared" si="27"/>
        <v>1.7602534765010171E-3</v>
      </c>
      <c r="M82" s="22">
        <f t="shared" si="21"/>
        <v>-27.090000000000003</v>
      </c>
      <c r="N82" s="54">
        <f t="shared" si="22"/>
        <v>-0.32288438617401682</v>
      </c>
      <c r="O82" s="54">
        <f t="shared" si="23"/>
        <v>0.99824283957125248</v>
      </c>
      <c r="P82" s="158"/>
      <c r="Q82" s="165">
        <f t="shared" si="24"/>
        <v>68.171999999999969</v>
      </c>
      <c r="R82" s="169">
        <f t="shared" si="25"/>
        <v>11.261999999999972</v>
      </c>
    </row>
    <row r="83" spans="1:18" s="36" customFormat="1">
      <c r="A83" s="25" t="s">
        <v>122</v>
      </c>
      <c r="B83" s="26">
        <f>SUM(B77:B82)</f>
        <v>221.59</v>
      </c>
      <c r="C83" s="76">
        <f>SUM(C77:C82)</f>
        <v>120.28999999999998</v>
      </c>
      <c r="D83" s="88">
        <f t="shared" si="18"/>
        <v>2.9180170389489411E-2</v>
      </c>
      <c r="E83" s="25"/>
      <c r="F83" s="76">
        <f>SUM(F77:F82)</f>
        <v>85.929999999999993</v>
      </c>
      <c r="G83" s="56">
        <f t="shared" si="19"/>
        <v>1.9182088086255777E-2</v>
      </c>
      <c r="H83" s="76">
        <f>SUM(H77:H82)</f>
        <v>86.16</v>
      </c>
      <c r="I83" s="76">
        <f>SUM(I77:I82)</f>
        <v>85.989999999999981</v>
      </c>
      <c r="J83" s="56">
        <f t="shared" si="20"/>
        <v>1.9228791083959085E-2</v>
      </c>
      <c r="K83" s="26">
        <f t="shared" si="26"/>
        <v>0.17000000000001592</v>
      </c>
      <c r="L83" s="56">
        <f t="shared" si="27"/>
        <v>1.9769740667521336E-3</v>
      </c>
      <c r="M83" s="26">
        <f t="shared" si="21"/>
        <v>-34.299999999999997</v>
      </c>
      <c r="N83" s="57">
        <f t="shared" si="22"/>
        <v>-0.28514423476598222</v>
      </c>
      <c r="O83" s="25"/>
      <c r="P83" s="156"/>
      <c r="Q83" s="76">
        <f>SUM(Q77:Q82)</f>
        <v>103.18799999999997</v>
      </c>
      <c r="R83" s="76">
        <f>SUM(R77:R82)</f>
        <v>17.257999999999974</v>
      </c>
    </row>
    <row r="84" spans="1:18">
      <c r="Q84" s="166"/>
    </row>
    <row r="85" spans="1:18" s="36" customFormat="1" ht="30">
      <c r="A85" s="95" t="s">
        <v>196</v>
      </c>
      <c r="B85" s="114">
        <v>5247.44</v>
      </c>
      <c r="C85" s="76">
        <f>C37+C49+C54+C56+C64+C69+C74+C83</f>
        <v>1490.3899999999999</v>
      </c>
      <c r="D85" s="88">
        <f>C85/$C$7</f>
        <v>0.36154155912204777</v>
      </c>
      <c r="E85" s="25"/>
      <c r="F85" s="76">
        <f>F37+F49+F54+F56+F64+F69+F74+F83</f>
        <v>1546.1899999999998</v>
      </c>
      <c r="G85" s="56">
        <f>F85/$F$7</f>
        <v>0.34515480947384869</v>
      </c>
      <c r="H85" s="76">
        <f>H37+H49+H54+H56+H64+H69+H74+H83</f>
        <v>1546.4199999999998</v>
      </c>
      <c r="I85" s="76">
        <f>I37+I49+I54+I56+I64+I69+I74+I83</f>
        <v>1543.7600000000002</v>
      </c>
      <c r="J85" s="56">
        <f t="shared" si="20"/>
        <v>0.34521035613179074</v>
      </c>
      <c r="K85" s="26">
        <f>H85-I85</f>
        <v>2.6599999999996271</v>
      </c>
      <c r="L85" s="56">
        <f>K85/I85</f>
        <v>1.7230657615170924E-3</v>
      </c>
      <c r="M85" s="26">
        <f>I85-C85</f>
        <v>53.370000000000346</v>
      </c>
      <c r="N85" s="57">
        <f>M85/C85</f>
        <v>3.5809419011131549E-2</v>
      </c>
      <c r="O85" s="54">
        <f>I85/F85</f>
        <v>0.99842839495792912</v>
      </c>
      <c r="P85" s="156"/>
      <c r="Q85" s="76">
        <f>Q37+Q49+Q54+Q56+Q64+Q69+Q74+Q83</f>
        <v>1432.1319999999998</v>
      </c>
      <c r="R85" s="169">
        <f>Q85-F85</f>
        <v>-114.05799999999999</v>
      </c>
    </row>
    <row r="86" spans="1:18">
      <c r="Q86" s="166"/>
    </row>
    <row r="87" spans="1:18" s="149" customFormat="1">
      <c r="A87" s="79"/>
      <c r="B87" s="295" t="s">
        <v>288</v>
      </c>
      <c r="C87" s="297" t="s">
        <v>297</v>
      </c>
      <c r="D87" s="295" t="s">
        <v>165</v>
      </c>
      <c r="E87" s="295"/>
      <c r="F87" s="325" t="s">
        <v>299</v>
      </c>
      <c r="G87" s="295" t="s">
        <v>301</v>
      </c>
      <c r="H87" s="153"/>
      <c r="I87" s="297" t="s">
        <v>298</v>
      </c>
      <c r="J87" s="295" t="s">
        <v>197</v>
      </c>
      <c r="K87" s="153"/>
      <c r="L87" s="153"/>
      <c r="M87" s="294" t="s">
        <v>139</v>
      </c>
      <c r="N87" s="294"/>
      <c r="O87" s="298" t="s">
        <v>300</v>
      </c>
      <c r="Q87" s="166"/>
    </row>
    <row r="88" spans="1:18" s="149" customFormat="1">
      <c r="A88" s="135" t="s">
        <v>245</v>
      </c>
      <c r="B88" s="296"/>
      <c r="C88" s="296"/>
      <c r="D88" s="296"/>
      <c r="E88" s="296"/>
      <c r="F88" s="326"/>
      <c r="G88" s="296"/>
      <c r="H88" s="154"/>
      <c r="I88" s="341"/>
      <c r="J88" s="296"/>
      <c r="K88" s="154"/>
      <c r="L88" s="154"/>
      <c r="M88" s="81" t="s">
        <v>137</v>
      </c>
      <c r="N88" s="82" t="s">
        <v>138</v>
      </c>
      <c r="O88" s="298"/>
      <c r="Q88" s="166"/>
    </row>
    <row r="89" spans="1:18" s="149" customFormat="1" ht="15.75">
      <c r="A89" s="23" t="s">
        <v>246</v>
      </c>
      <c r="B89" s="23">
        <v>0</v>
      </c>
      <c r="C89" s="150">
        <v>0</v>
      </c>
      <c r="D89" s="87">
        <f t="shared" ref="D89:D102" si="28">C89/$C$7</f>
        <v>0</v>
      </c>
      <c r="E89" s="23"/>
      <c r="F89" s="22">
        <v>0.69</v>
      </c>
      <c r="G89" s="24">
        <f t="shared" ref="G89:G102" si="29">F89/$F$7</f>
        <v>1.5402817152934347E-4</v>
      </c>
      <c r="H89" s="24"/>
      <c r="I89" s="23">
        <v>0</v>
      </c>
      <c r="J89" s="96">
        <f t="shared" ref="J89:J102" si="30">I89/$I$7</f>
        <v>0</v>
      </c>
      <c r="K89" s="96"/>
      <c r="L89" s="96"/>
      <c r="M89" s="22">
        <f>I89-C89</f>
        <v>0</v>
      </c>
      <c r="N89" s="54">
        <v>0</v>
      </c>
      <c r="O89" s="54">
        <f t="shared" ref="O89:O102" si="31">I89/F89</f>
        <v>0</v>
      </c>
      <c r="Q89" s="165"/>
    </row>
    <row r="90" spans="1:18" s="149" customFormat="1" ht="15.75">
      <c r="A90" s="23" t="s">
        <v>247</v>
      </c>
      <c r="B90" s="23">
        <v>33.630000000000003</v>
      </c>
      <c r="C90" s="151">
        <v>1.86</v>
      </c>
      <c r="D90" s="87">
        <f t="shared" si="28"/>
        <v>4.5120223563430308E-4</v>
      </c>
      <c r="E90" s="23"/>
      <c r="F90" s="22">
        <v>33.28</v>
      </c>
      <c r="G90" s="24">
        <f t="shared" si="29"/>
        <v>7.4290689108645674E-3</v>
      </c>
      <c r="H90" s="24"/>
      <c r="I90" s="22">
        <v>2.77</v>
      </c>
      <c r="J90" s="96">
        <f t="shared" si="30"/>
        <v>6.1941797072411528E-4</v>
      </c>
      <c r="K90" s="96"/>
      <c r="L90" s="96"/>
      <c r="M90" s="22">
        <f t="shared" ref="M90:M102" si="32">I90-C90</f>
        <v>0.90999999999999992</v>
      </c>
      <c r="N90" s="54">
        <f t="shared" ref="N90:N102" si="33">M90/C90</f>
        <v>0.48924731182795694</v>
      </c>
      <c r="O90" s="54">
        <f t="shared" si="31"/>
        <v>8.3233173076923073E-2</v>
      </c>
      <c r="Q90" s="165"/>
    </row>
    <row r="91" spans="1:18" s="149" customFormat="1" ht="15.75">
      <c r="A91" s="23" t="s">
        <v>257</v>
      </c>
      <c r="B91" s="23">
        <v>7.44</v>
      </c>
      <c r="C91" s="151">
        <v>0.04</v>
      </c>
      <c r="D91" s="87">
        <f t="shared" si="28"/>
        <v>9.7032738846086673E-6</v>
      </c>
      <c r="E91" s="23"/>
      <c r="F91" s="22">
        <v>0.53</v>
      </c>
      <c r="G91" s="24">
        <f t="shared" si="29"/>
        <v>1.1831149407326384E-4</v>
      </c>
      <c r="H91" s="24"/>
      <c r="I91" s="22">
        <v>0</v>
      </c>
      <c r="J91" s="96">
        <f t="shared" si="30"/>
        <v>0</v>
      </c>
      <c r="K91" s="96"/>
      <c r="L91" s="96"/>
      <c r="M91" s="22">
        <f t="shared" si="32"/>
        <v>-0.04</v>
      </c>
      <c r="N91" s="54">
        <f t="shared" si="33"/>
        <v>-1</v>
      </c>
      <c r="O91" s="54">
        <f t="shared" si="31"/>
        <v>0</v>
      </c>
      <c r="Q91" s="165"/>
    </row>
    <row r="92" spans="1:18" s="149" customFormat="1" ht="15.75">
      <c r="A92" s="152" t="s">
        <v>248</v>
      </c>
      <c r="B92" s="25">
        <f>SUM(B89:B91)</f>
        <v>41.07</v>
      </c>
      <c r="C92" s="25">
        <f>SUM(C89:C91)</f>
        <v>1.9000000000000001</v>
      </c>
      <c r="D92" s="88">
        <f t="shared" si="28"/>
        <v>4.6090550951891177E-4</v>
      </c>
      <c r="E92" s="25">
        <f>SUM(E89:E90)</f>
        <v>0</v>
      </c>
      <c r="F92" s="26">
        <f>SUM(F89:F90)</f>
        <v>33.97</v>
      </c>
      <c r="G92" s="56">
        <f t="shared" si="29"/>
        <v>7.5830970823939107E-3</v>
      </c>
      <c r="H92" s="56"/>
      <c r="I92" s="26">
        <f>SUM(I89:I91)</f>
        <v>2.77</v>
      </c>
      <c r="J92" s="56">
        <f t="shared" si="30"/>
        <v>6.1941797072411528E-4</v>
      </c>
      <c r="K92" s="56"/>
      <c r="L92" s="56"/>
      <c r="M92" s="26">
        <f t="shared" si="32"/>
        <v>0.86999999999999988</v>
      </c>
      <c r="N92" s="57">
        <f t="shared" si="33"/>
        <v>0.45789473684210519</v>
      </c>
      <c r="O92" s="57">
        <f t="shared" si="31"/>
        <v>8.1542537533117465E-2</v>
      </c>
      <c r="Q92" s="165"/>
    </row>
    <row r="93" spans="1:18" s="149" customFormat="1" ht="15.75">
      <c r="A93" s="23" t="s">
        <v>249</v>
      </c>
      <c r="B93" s="25">
        <v>0</v>
      </c>
      <c r="C93" s="150">
        <v>0</v>
      </c>
      <c r="D93" s="87">
        <f t="shared" si="28"/>
        <v>0</v>
      </c>
      <c r="E93" s="23"/>
      <c r="F93" s="22">
        <v>0</v>
      </c>
      <c r="G93" s="24">
        <f t="shared" si="29"/>
        <v>0</v>
      </c>
      <c r="H93" s="24"/>
      <c r="I93" s="22">
        <v>0</v>
      </c>
      <c r="J93" s="96">
        <f t="shared" si="30"/>
        <v>0</v>
      </c>
      <c r="K93" s="96"/>
      <c r="L93" s="96"/>
      <c r="M93" s="22">
        <f t="shared" si="32"/>
        <v>0</v>
      </c>
      <c r="N93" s="54">
        <v>0</v>
      </c>
      <c r="O93" s="54">
        <v>0</v>
      </c>
      <c r="Q93" s="165"/>
    </row>
    <row r="94" spans="1:18" s="149" customFormat="1" ht="15.75">
      <c r="A94" s="23" t="s">
        <v>250</v>
      </c>
      <c r="B94" s="25">
        <v>13.17</v>
      </c>
      <c r="C94" s="151">
        <v>0.17</v>
      </c>
      <c r="D94" s="87">
        <f t="shared" si="28"/>
        <v>4.1238914009586842E-5</v>
      </c>
      <c r="E94" s="23"/>
      <c r="F94" s="22">
        <v>14.55</v>
      </c>
      <c r="G94" s="24">
        <f t="shared" si="29"/>
        <v>3.2479853561622435E-3</v>
      </c>
      <c r="H94" s="24"/>
      <c r="I94" s="22">
        <v>3.38</v>
      </c>
      <c r="J94" s="96">
        <f t="shared" si="30"/>
        <v>7.5582409424097819E-4</v>
      </c>
      <c r="K94" s="96"/>
      <c r="L94" s="96"/>
      <c r="M94" s="22">
        <f t="shared" si="32"/>
        <v>3.21</v>
      </c>
      <c r="N94" s="54">
        <f t="shared" si="33"/>
        <v>18.882352941176467</v>
      </c>
      <c r="O94" s="54">
        <f t="shared" si="31"/>
        <v>0.23230240549828177</v>
      </c>
      <c r="Q94" s="165"/>
    </row>
    <row r="95" spans="1:18" s="149" customFormat="1" ht="15.75">
      <c r="A95" s="23" t="s">
        <v>258</v>
      </c>
      <c r="B95" s="25">
        <v>-0.3</v>
      </c>
      <c r="C95" s="151">
        <v>0</v>
      </c>
      <c r="D95" s="87">
        <f t="shared" si="28"/>
        <v>0</v>
      </c>
      <c r="E95" s="23"/>
      <c r="F95" s="22">
        <v>0.05</v>
      </c>
      <c r="G95" s="24">
        <f t="shared" si="29"/>
        <v>1.1161461705024892E-5</v>
      </c>
      <c r="H95" s="24"/>
      <c r="I95" s="22">
        <v>0</v>
      </c>
      <c r="J95" s="96">
        <f t="shared" si="30"/>
        <v>0</v>
      </c>
      <c r="K95" s="96"/>
      <c r="L95" s="96"/>
      <c r="M95" s="22">
        <f t="shared" si="32"/>
        <v>0</v>
      </c>
      <c r="N95" s="54">
        <v>0</v>
      </c>
      <c r="O95" s="54">
        <f t="shared" si="31"/>
        <v>0</v>
      </c>
      <c r="Q95" s="165"/>
    </row>
    <row r="96" spans="1:18" s="149" customFormat="1" ht="15.75">
      <c r="A96" s="152" t="s">
        <v>251</v>
      </c>
      <c r="B96" s="25">
        <f>SUM(B93:B95)</f>
        <v>12.87</v>
      </c>
      <c r="C96" s="25">
        <f>SUM(C93:C95)</f>
        <v>0.17</v>
      </c>
      <c r="D96" s="88">
        <f t="shared" si="28"/>
        <v>4.1238914009586842E-5</v>
      </c>
      <c r="E96" s="25">
        <f>SUM(E93:E94)</f>
        <v>0</v>
      </c>
      <c r="F96" s="26">
        <f>SUM(F93:F95)</f>
        <v>14.600000000000001</v>
      </c>
      <c r="G96" s="56">
        <f t="shared" si="29"/>
        <v>3.2591468178672684E-3</v>
      </c>
      <c r="H96" s="56"/>
      <c r="I96" s="26">
        <f>SUM(I93:I95)</f>
        <v>3.38</v>
      </c>
      <c r="J96" s="56">
        <f t="shared" si="30"/>
        <v>7.5582409424097819E-4</v>
      </c>
      <c r="K96" s="56"/>
      <c r="L96" s="56"/>
      <c r="M96" s="26">
        <f t="shared" si="32"/>
        <v>3.21</v>
      </c>
      <c r="N96" s="57">
        <f t="shared" si="33"/>
        <v>18.882352941176467</v>
      </c>
      <c r="O96" s="57">
        <f t="shared" si="31"/>
        <v>0.23150684931506846</v>
      </c>
      <c r="Q96" s="165"/>
    </row>
    <row r="97" spans="1:17" s="149" customFormat="1" ht="15.75">
      <c r="A97" s="23" t="s">
        <v>252</v>
      </c>
      <c r="B97" s="26">
        <v>24.12</v>
      </c>
      <c r="C97" s="151">
        <v>1.61</v>
      </c>
      <c r="D97" s="87">
        <f t="shared" si="28"/>
        <v>3.9055677385549891E-4</v>
      </c>
      <c r="E97" s="23"/>
      <c r="F97" s="22">
        <v>17.600000000000001</v>
      </c>
      <c r="G97" s="24">
        <f t="shared" si="29"/>
        <v>3.9288345201687622E-3</v>
      </c>
      <c r="H97" s="24"/>
      <c r="I97" s="22">
        <v>0.15</v>
      </c>
      <c r="J97" s="96">
        <f t="shared" si="30"/>
        <v>3.3542489389392528E-5</v>
      </c>
      <c r="K97" s="96"/>
      <c r="L97" s="96"/>
      <c r="M97" s="22">
        <f t="shared" si="32"/>
        <v>-1.4600000000000002</v>
      </c>
      <c r="N97" s="54">
        <f t="shared" si="33"/>
        <v>-0.90683229813664601</v>
      </c>
      <c r="O97" s="54">
        <f t="shared" si="31"/>
        <v>8.5227272727272721E-3</v>
      </c>
      <c r="Q97" s="165"/>
    </row>
    <row r="98" spans="1:17" s="149" customFormat="1" ht="15.75">
      <c r="A98" s="23" t="s">
        <v>253</v>
      </c>
      <c r="B98" s="25">
        <v>145.66</v>
      </c>
      <c r="C98" s="151">
        <v>4.3499999999999996</v>
      </c>
      <c r="D98" s="87">
        <f t="shared" si="28"/>
        <v>1.0552310349511926E-3</v>
      </c>
      <c r="E98" s="23"/>
      <c r="F98" s="22">
        <v>11.56</v>
      </c>
      <c r="G98" s="24">
        <f t="shared" si="29"/>
        <v>2.5805299462017548E-3</v>
      </c>
      <c r="H98" s="24"/>
      <c r="I98" s="22">
        <v>6.27</v>
      </c>
      <c r="J98" s="96">
        <f t="shared" si="30"/>
        <v>1.4020760564766074E-3</v>
      </c>
      <c r="K98" s="96"/>
      <c r="L98" s="96"/>
      <c r="M98" s="22">
        <f t="shared" si="32"/>
        <v>1.92</v>
      </c>
      <c r="N98" s="54">
        <f t="shared" si="33"/>
        <v>0.44137931034482758</v>
      </c>
      <c r="O98" s="54">
        <f t="shared" si="31"/>
        <v>0.54238754325259508</v>
      </c>
      <c r="Q98" s="165"/>
    </row>
    <row r="99" spans="1:17" s="149" customFormat="1" ht="15.75">
      <c r="A99" s="152" t="s">
        <v>254</v>
      </c>
      <c r="B99" s="25">
        <f>SUM(B97:B98)</f>
        <v>169.78</v>
      </c>
      <c r="C99" s="26">
        <f>SUM(C97:C98)</f>
        <v>5.96</v>
      </c>
      <c r="D99" s="88">
        <f t="shared" si="28"/>
        <v>1.4457878088066916E-3</v>
      </c>
      <c r="E99" s="25">
        <f>SUM(E97:E98)</f>
        <v>0</v>
      </c>
      <c r="F99" s="26">
        <f>SUM(F97:F98)</f>
        <v>29.160000000000004</v>
      </c>
      <c r="G99" s="56">
        <f t="shared" si="29"/>
        <v>6.509364466370517E-3</v>
      </c>
      <c r="H99" s="56"/>
      <c r="I99" s="26">
        <f>SUM(I97:I98)</f>
        <v>6.42</v>
      </c>
      <c r="J99" s="56">
        <f t="shared" si="30"/>
        <v>1.435618545866E-3</v>
      </c>
      <c r="K99" s="56"/>
      <c r="L99" s="56"/>
      <c r="M99" s="26">
        <f t="shared" si="32"/>
        <v>0.45999999999999996</v>
      </c>
      <c r="N99" s="57">
        <f t="shared" si="33"/>
        <v>7.7181208053691275E-2</v>
      </c>
      <c r="O99" s="57">
        <f t="shared" si="31"/>
        <v>0.22016460905349791</v>
      </c>
      <c r="Q99" s="165"/>
    </row>
    <row r="100" spans="1:17" s="149" customFormat="1" ht="15.75">
      <c r="A100" s="23" t="s">
        <v>255</v>
      </c>
      <c r="B100" s="26">
        <v>12.31</v>
      </c>
      <c r="C100" s="151">
        <v>4.28</v>
      </c>
      <c r="D100" s="87">
        <f t="shared" si="28"/>
        <v>1.0382503056531275E-3</v>
      </c>
      <c r="E100" s="23"/>
      <c r="F100" s="22">
        <v>13.17</v>
      </c>
      <c r="G100" s="24">
        <f t="shared" si="29"/>
        <v>2.939929013103556E-3</v>
      </c>
      <c r="H100" s="24"/>
      <c r="I100" s="22">
        <v>1.93</v>
      </c>
      <c r="J100" s="96">
        <f t="shared" si="30"/>
        <v>4.3158003014351717E-4</v>
      </c>
      <c r="K100" s="96"/>
      <c r="L100" s="96"/>
      <c r="M100" s="22">
        <f t="shared" si="32"/>
        <v>-2.3500000000000005</v>
      </c>
      <c r="N100" s="54">
        <f t="shared" si="33"/>
        <v>-0.54906542056074781</v>
      </c>
      <c r="O100" s="54">
        <f t="shared" si="31"/>
        <v>0.14654517843583903</v>
      </c>
      <c r="Q100" s="165"/>
    </row>
    <row r="101" spans="1:17" s="149" customFormat="1" ht="15.75">
      <c r="A101" s="23" t="s">
        <v>256</v>
      </c>
      <c r="B101" s="25">
        <v>101.34</v>
      </c>
      <c r="C101" s="151">
        <v>1.64</v>
      </c>
      <c r="D101" s="87">
        <f t="shared" si="28"/>
        <v>3.9783422926895534E-4</v>
      </c>
      <c r="E101" s="23"/>
      <c r="F101" s="22">
        <v>65.03</v>
      </c>
      <c r="G101" s="24">
        <f t="shared" si="29"/>
        <v>1.4516597093555373E-2</v>
      </c>
      <c r="H101" s="24"/>
      <c r="I101" s="22">
        <v>5.95</v>
      </c>
      <c r="J101" s="96">
        <f t="shared" si="30"/>
        <v>1.3305187457792369E-3</v>
      </c>
      <c r="K101" s="96"/>
      <c r="L101" s="96"/>
      <c r="M101" s="22">
        <f t="shared" si="32"/>
        <v>4.3100000000000005</v>
      </c>
      <c r="N101" s="54">
        <f t="shared" si="33"/>
        <v>2.6280487804878052</v>
      </c>
      <c r="O101" s="54">
        <f t="shared" si="31"/>
        <v>9.1496232508073191E-2</v>
      </c>
      <c r="Q101" s="165"/>
    </row>
    <row r="102" spans="1:17" s="149" customFormat="1" ht="15.75">
      <c r="A102" s="152" t="s">
        <v>286</v>
      </c>
      <c r="B102" s="25">
        <f>SUM(B100:B101)</f>
        <v>113.65</v>
      </c>
      <c r="C102" s="26">
        <f>SUM(C100:C101)</f>
        <v>5.92</v>
      </c>
      <c r="D102" s="88">
        <f t="shared" si="28"/>
        <v>1.4360845349220828E-3</v>
      </c>
      <c r="E102" s="25">
        <f>SUM(E100:E101)</f>
        <v>0</v>
      </c>
      <c r="F102" s="26">
        <f>SUM(F100:F101)</f>
        <v>78.2</v>
      </c>
      <c r="G102" s="56">
        <f t="shared" si="29"/>
        <v>1.7456526106658928E-2</v>
      </c>
      <c r="H102" s="56"/>
      <c r="I102" s="26">
        <f>SUM(I100:I101)</f>
        <v>7.88</v>
      </c>
      <c r="J102" s="56">
        <f t="shared" si="30"/>
        <v>1.7620987759227539E-3</v>
      </c>
      <c r="K102" s="56"/>
      <c r="L102" s="56"/>
      <c r="M102" s="26">
        <f t="shared" si="32"/>
        <v>1.96</v>
      </c>
      <c r="N102" s="57">
        <f t="shared" si="33"/>
        <v>0.33108108108108109</v>
      </c>
      <c r="O102" s="57">
        <f t="shared" si="31"/>
        <v>0.10076726342710997</v>
      </c>
      <c r="Q102" s="165"/>
    </row>
    <row r="103" spans="1:17">
      <c r="Q103" s="166"/>
    </row>
    <row r="104" spans="1:17">
      <c r="A104" s="79"/>
      <c r="B104" s="295" t="s">
        <v>288</v>
      </c>
      <c r="C104" s="297" t="str">
        <f>'PU Wise OWE'!$B$7</f>
        <v>Actuals upto March-23</v>
      </c>
      <c r="D104" s="295" t="s">
        <v>165</v>
      </c>
      <c r="E104" s="295"/>
      <c r="F104" s="325" t="str">
        <f>'PU Wise OWE'!$B$5</f>
        <v xml:space="preserve">FG 2023-24 </v>
      </c>
      <c r="G104" s="295" t="s">
        <v>301</v>
      </c>
      <c r="H104" s="153"/>
      <c r="I104" s="297" t="str">
        <f>I40</f>
        <v>Actuals upto March-24</v>
      </c>
      <c r="J104" s="295" t="s">
        <v>197</v>
      </c>
      <c r="K104" s="153"/>
      <c r="L104" s="153"/>
      <c r="M104" s="294" t="s">
        <v>139</v>
      </c>
      <c r="N104" s="294"/>
      <c r="O104" s="298" t="s">
        <v>300</v>
      </c>
      <c r="Q104" s="166"/>
    </row>
    <row r="105" spans="1:17">
      <c r="A105" s="135" t="s">
        <v>183</v>
      </c>
      <c r="B105" s="296"/>
      <c r="C105" s="296"/>
      <c r="D105" s="296"/>
      <c r="E105" s="296"/>
      <c r="F105" s="326"/>
      <c r="G105" s="296"/>
      <c r="H105" s="154"/>
      <c r="I105" s="296"/>
      <c r="J105" s="296"/>
      <c r="K105" s="154"/>
      <c r="L105" s="154"/>
      <c r="M105" s="81" t="s">
        <v>137</v>
      </c>
      <c r="N105" s="82" t="s">
        <v>138</v>
      </c>
      <c r="O105" s="298"/>
      <c r="Q105" s="166"/>
    </row>
    <row r="106" spans="1:17" ht="15.75">
      <c r="A106" s="23" t="s">
        <v>209</v>
      </c>
      <c r="B106" s="23">
        <v>305.92</v>
      </c>
      <c r="C106" s="111">
        <v>19.18</v>
      </c>
      <c r="D106" s="87">
        <f>C106/$C$7</f>
        <v>4.6527198276698559E-3</v>
      </c>
      <c r="E106" s="23"/>
      <c r="F106" s="20">
        <v>115.89</v>
      </c>
      <c r="G106" s="24">
        <f>F106/$F$7</f>
        <v>2.587003593990669E-2</v>
      </c>
      <c r="H106" s="24"/>
      <c r="I106" s="107">
        <v>28.26</v>
      </c>
      <c r="J106" s="96">
        <f>I106/$I$7</f>
        <v>6.3194050009615522E-3</v>
      </c>
      <c r="K106" s="96"/>
      <c r="L106" s="96"/>
      <c r="M106" s="22">
        <f>I106-C106</f>
        <v>9.0800000000000018</v>
      </c>
      <c r="N106" s="54">
        <f>M106/C106</f>
        <v>0.47340980187695525</v>
      </c>
      <c r="O106" s="54">
        <f>I106/F106</f>
        <v>0.24385192855293814</v>
      </c>
      <c r="Q106" s="165"/>
    </row>
    <row r="107" spans="1:17" ht="15.75">
      <c r="A107" s="23" t="s">
        <v>208</v>
      </c>
      <c r="B107" s="23">
        <v>266.58999999999997</v>
      </c>
      <c r="C107" s="83">
        <v>27.95</v>
      </c>
      <c r="D107" s="87">
        <f>C107/$C$7</f>
        <v>6.7801626268703067E-3</v>
      </c>
      <c r="E107" s="23"/>
      <c r="F107" s="107">
        <v>750</v>
      </c>
      <c r="G107" s="24">
        <f>F107/$F$7</f>
        <v>0.16742192557537336</v>
      </c>
      <c r="H107" s="24"/>
      <c r="I107" s="107">
        <v>40.58</v>
      </c>
      <c r="J107" s="96">
        <f>I107/$I$7</f>
        <v>9.0743614628103243E-3</v>
      </c>
      <c r="K107" s="96"/>
      <c r="L107" s="96"/>
      <c r="M107" s="22">
        <f>I107-C107</f>
        <v>12.629999999999999</v>
      </c>
      <c r="N107" s="54">
        <f>M107/C107</f>
        <v>0.45187835420393557</v>
      </c>
      <c r="O107" s="54">
        <f>I107/F107</f>
        <v>5.4106666666666664E-2</v>
      </c>
      <c r="Q107" s="165"/>
    </row>
    <row r="108" spans="1:17" ht="15.75">
      <c r="A108" s="89" t="s">
        <v>207</v>
      </c>
      <c r="B108" s="23">
        <v>544.78</v>
      </c>
      <c r="C108" s="83">
        <v>165.44</v>
      </c>
      <c r="D108" s="87">
        <f>C108/$C$7</f>
        <v>4.013274078674145E-2</v>
      </c>
      <c r="E108" s="23"/>
      <c r="F108" s="107">
        <v>676.5</v>
      </c>
      <c r="G108" s="24">
        <f>F108/$F$7</f>
        <v>0.15101457686898676</v>
      </c>
      <c r="H108" s="24"/>
      <c r="I108" s="20">
        <v>301.26</v>
      </c>
      <c r="J108" s="96">
        <f>I108/$I$7</f>
        <v>6.7366735689655954E-2</v>
      </c>
      <c r="K108" s="96"/>
      <c r="L108" s="96"/>
      <c r="M108" s="22">
        <f>I108-C108</f>
        <v>135.82</v>
      </c>
      <c r="N108" s="54">
        <f>M108/C108</f>
        <v>0.82096228239845259</v>
      </c>
      <c r="O108" s="54">
        <f>I108/F108</f>
        <v>0.44532150776053214</v>
      </c>
      <c r="Q108" s="165"/>
    </row>
    <row r="109" spans="1:17" ht="15.75">
      <c r="A109" s="25" t="s">
        <v>122</v>
      </c>
      <c r="B109" s="25">
        <f>SUM(B106:B108)</f>
        <v>1117.29</v>
      </c>
      <c r="C109" s="141">
        <f>+C106+C107+C108</f>
        <v>212.57</v>
      </c>
      <c r="D109" s="88">
        <f>C109/$C$7</f>
        <v>5.1565623241281611E-2</v>
      </c>
      <c r="E109" s="25"/>
      <c r="F109" s="141">
        <f>+F106+F107+F108</f>
        <v>1542.3899999999999</v>
      </c>
      <c r="G109" s="56">
        <f>F109/$F$7</f>
        <v>0.34430653838426678</v>
      </c>
      <c r="H109" s="56"/>
      <c r="I109" s="106">
        <f>SUM(I106:I108)</f>
        <v>370.1</v>
      </c>
      <c r="J109" s="56">
        <f>I109/$I$7</f>
        <v>8.2760502153427826E-2</v>
      </c>
      <c r="K109" s="56"/>
      <c r="L109" s="56"/>
      <c r="M109" s="26">
        <f>I109-C109</f>
        <v>157.53000000000003</v>
      </c>
      <c r="N109" s="57">
        <f>M109/C109</f>
        <v>0.74107352871995125</v>
      </c>
      <c r="O109" s="57">
        <f>I109/F109</f>
        <v>0.23995228184830039</v>
      </c>
      <c r="Q109" s="165"/>
    </row>
    <row r="110" spans="1:17">
      <c r="C110" s="139"/>
      <c r="Q110" s="166"/>
    </row>
    <row r="111" spans="1:17">
      <c r="A111" s="135" t="s">
        <v>210</v>
      </c>
      <c r="B111" s="23"/>
      <c r="C111" s="83"/>
      <c r="D111" s="23"/>
      <c r="E111" s="23"/>
      <c r="F111" s="23"/>
      <c r="G111" s="23"/>
      <c r="H111" s="23"/>
      <c r="I111" s="23"/>
      <c r="J111" s="23"/>
      <c r="K111" s="23"/>
      <c r="L111" s="23"/>
      <c r="M111" s="23"/>
      <c r="N111" s="23"/>
      <c r="O111" s="23"/>
      <c r="Q111" s="166"/>
    </row>
    <row r="112" spans="1:17" ht="15.75">
      <c r="A112" s="23" t="s">
        <v>211</v>
      </c>
      <c r="B112" s="22">
        <v>28.69</v>
      </c>
      <c r="C112" s="111">
        <v>5.63</v>
      </c>
      <c r="D112" s="87">
        <f>C112/$C$7</f>
        <v>1.36573579925867E-3</v>
      </c>
      <c r="E112" s="23"/>
      <c r="F112" s="22">
        <v>27.91</v>
      </c>
      <c r="G112" s="24">
        <f>F112/$F$7</f>
        <v>6.2303279237448939E-3</v>
      </c>
      <c r="H112" s="24"/>
      <c r="I112" s="23">
        <v>0.22</v>
      </c>
      <c r="J112" s="96">
        <f>I112/$I$7</f>
        <v>4.9195651104442374E-5</v>
      </c>
      <c r="K112" s="96"/>
      <c r="L112" s="96"/>
      <c r="M112" s="22">
        <f>I112-C112</f>
        <v>-5.41</v>
      </c>
      <c r="N112" s="54">
        <f>M112/C112</f>
        <v>-0.96092362344582594</v>
      </c>
      <c r="O112" s="54">
        <f>I112/F112</f>
        <v>7.8824793980652088E-3</v>
      </c>
      <c r="Q112" s="165"/>
    </row>
    <row r="113" spans="1:17" ht="15.75">
      <c r="A113" s="23" t="s">
        <v>212</v>
      </c>
      <c r="B113" s="22">
        <v>38.6</v>
      </c>
      <c r="C113" s="83">
        <v>2.54</v>
      </c>
      <c r="D113" s="87">
        <f>C113/$C$7</f>
        <v>6.1615789167265042E-4</v>
      </c>
      <c r="E113" s="23"/>
      <c r="F113" s="23">
        <v>33.72</v>
      </c>
      <c r="G113" s="24">
        <f>F113/$F$7</f>
        <v>7.5272897738687863E-3</v>
      </c>
      <c r="H113" s="24"/>
      <c r="I113" s="22">
        <v>0.11</v>
      </c>
      <c r="J113" s="96">
        <f>I113/$I$7</f>
        <v>2.4597825552221187E-5</v>
      </c>
      <c r="K113" s="96"/>
      <c r="L113" s="96"/>
      <c r="M113" s="22">
        <f>I113-C113</f>
        <v>-2.4300000000000002</v>
      </c>
      <c r="N113" s="54">
        <f>M113/C113</f>
        <v>-0.95669291338582685</v>
      </c>
      <c r="O113" s="54">
        <f>I113/F113</f>
        <v>3.2621589561091344E-3</v>
      </c>
      <c r="Q113" s="165"/>
    </row>
    <row r="114" spans="1:17" ht="15.75">
      <c r="A114" s="89" t="s">
        <v>213</v>
      </c>
      <c r="B114" s="23">
        <v>33.32</v>
      </c>
      <c r="C114" s="83">
        <v>2.81</v>
      </c>
      <c r="D114" s="87">
        <f>C114/$C$7</f>
        <v>6.8165499039375894E-4</v>
      </c>
      <c r="E114" s="23"/>
      <c r="F114" s="23">
        <v>33.19</v>
      </c>
      <c r="G114" s="24">
        <f>F114/$F$7</f>
        <v>7.4089782797955219E-3</v>
      </c>
      <c r="H114" s="24"/>
      <c r="I114" s="22">
        <v>3.03</v>
      </c>
      <c r="J114" s="96">
        <f>I114/$I$7</f>
        <v>6.7755828566572901E-4</v>
      </c>
      <c r="K114" s="96"/>
      <c r="L114" s="96"/>
      <c r="M114" s="22">
        <f>I114-C114</f>
        <v>0.21999999999999975</v>
      </c>
      <c r="N114" s="54">
        <f>M114/C114</f>
        <v>7.8291814946619132E-2</v>
      </c>
      <c r="O114" s="54">
        <f>I114/F114</f>
        <v>9.1292557999397408E-2</v>
      </c>
      <c r="Q114" s="165"/>
    </row>
    <row r="115" spans="1:17" ht="15.75">
      <c r="A115" s="25" t="s">
        <v>122</v>
      </c>
      <c r="B115" s="26">
        <f>SUM(B112:B114)</f>
        <v>100.61000000000001</v>
      </c>
      <c r="C115" s="148">
        <f>SUM(C112:C114)</f>
        <v>10.98</v>
      </c>
      <c r="D115" s="88">
        <f>C115/$C$7</f>
        <v>2.6635486813250792E-3</v>
      </c>
      <c r="E115" s="25"/>
      <c r="F115" s="25">
        <f>SUM(F112:F114)</f>
        <v>94.82</v>
      </c>
      <c r="G115" s="56">
        <f>F115/$F$7</f>
        <v>2.1166595977409202E-2</v>
      </c>
      <c r="H115" s="56"/>
      <c r="I115" s="25">
        <f>SUM(I112:I114)</f>
        <v>3.36</v>
      </c>
      <c r="J115" s="56">
        <f>I115/$I$7</f>
        <v>7.5135176232239253E-4</v>
      </c>
      <c r="K115" s="56"/>
      <c r="L115" s="56"/>
      <c r="M115" s="26">
        <f>I115-C115</f>
        <v>-7.620000000000001</v>
      </c>
      <c r="N115" s="57">
        <f>M115/C115</f>
        <v>-0.69398907103825147</v>
      </c>
      <c r="O115" s="57">
        <f>I115/F115</f>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1:M61"/>
  <sheetViews>
    <sheetView topLeftCell="A40" workbookViewId="0">
      <selection activeCell="A40" sqref="A1:XFD1048576"/>
    </sheetView>
  </sheetViews>
  <sheetFormatPr defaultRowHeight="15"/>
  <cols>
    <col min="1" max="1" width="14.7109375" style="269" customWidth="1"/>
    <col min="2" max="12" width="10.85546875" style="269" customWidth="1"/>
    <col min="13" max="13" width="9.28515625" style="269" customWidth="1"/>
    <col min="14" max="256" width="9.140625" style="269"/>
    <col min="257" max="257" width="14.7109375" style="269" customWidth="1"/>
    <col min="258" max="268" width="10.85546875" style="269" customWidth="1"/>
    <col min="269" max="269" width="9.28515625" style="269" customWidth="1"/>
    <col min="270" max="512" width="9.140625" style="269"/>
    <col min="513" max="513" width="14.7109375" style="269" customWidth="1"/>
    <col min="514" max="524" width="10.85546875" style="269" customWidth="1"/>
    <col min="525" max="525" width="9.28515625" style="269" customWidth="1"/>
    <col min="526" max="768" width="9.140625" style="269"/>
    <col min="769" max="769" width="14.7109375" style="269" customWidth="1"/>
    <col min="770" max="780" width="10.85546875" style="269" customWidth="1"/>
    <col min="781" max="781" width="9.28515625" style="269" customWidth="1"/>
    <col min="782" max="1024" width="9.140625" style="269"/>
    <col min="1025" max="1025" width="14.7109375" style="269" customWidth="1"/>
    <col min="1026" max="1036" width="10.85546875" style="269" customWidth="1"/>
    <col min="1037" max="1037" width="9.28515625" style="269" customWidth="1"/>
    <col min="1038" max="1280" width="9.140625" style="269"/>
    <col min="1281" max="1281" width="14.7109375" style="269" customWidth="1"/>
    <col min="1282" max="1292" width="10.85546875" style="269" customWidth="1"/>
    <col min="1293" max="1293" width="9.28515625" style="269" customWidth="1"/>
    <col min="1294" max="1536" width="9.140625" style="269"/>
    <col min="1537" max="1537" width="14.7109375" style="269" customWidth="1"/>
    <col min="1538" max="1548" width="10.85546875" style="269" customWidth="1"/>
    <col min="1549" max="1549" width="9.28515625" style="269" customWidth="1"/>
    <col min="1550" max="1792" width="9.140625" style="269"/>
    <col min="1793" max="1793" width="14.7109375" style="269" customWidth="1"/>
    <col min="1794" max="1804" width="10.85546875" style="269" customWidth="1"/>
    <col min="1805" max="1805" width="9.28515625" style="269" customWidth="1"/>
    <col min="1806" max="2048" width="9.140625" style="269"/>
    <col min="2049" max="2049" width="14.7109375" style="269" customWidth="1"/>
    <col min="2050" max="2060" width="10.85546875" style="269" customWidth="1"/>
    <col min="2061" max="2061" width="9.28515625" style="269" customWidth="1"/>
    <col min="2062" max="2304" width="9.140625" style="269"/>
    <col min="2305" max="2305" width="14.7109375" style="269" customWidth="1"/>
    <col min="2306" max="2316" width="10.85546875" style="269" customWidth="1"/>
    <col min="2317" max="2317" width="9.28515625" style="269" customWidth="1"/>
    <col min="2318" max="2560" width="9.140625" style="269"/>
    <col min="2561" max="2561" width="14.7109375" style="269" customWidth="1"/>
    <col min="2562" max="2572" width="10.85546875" style="269" customWidth="1"/>
    <col min="2573" max="2573" width="9.28515625" style="269" customWidth="1"/>
    <col min="2574" max="2816" width="9.140625" style="269"/>
    <col min="2817" max="2817" width="14.7109375" style="269" customWidth="1"/>
    <col min="2818" max="2828" width="10.85546875" style="269" customWidth="1"/>
    <col min="2829" max="2829" width="9.28515625" style="269" customWidth="1"/>
    <col min="2830" max="3072" width="9.140625" style="269"/>
    <col min="3073" max="3073" width="14.7109375" style="269" customWidth="1"/>
    <col min="3074" max="3084" width="10.85546875" style="269" customWidth="1"/>
    <col min="3085" max="3085" width="9.28515625" style="269" customWidth="1"/>
    <col min="3086" max="3328" width="9.140625" style="269"/>
    <col min="3329" max="3329" width="14.7109375" style="269" customWidth="1"/>
    <col min="3330" max="3340" width="10.85546875" style="269" customWidth="1"/>
    <col min="3341" max="3341" width="9.28515625" style="269" customWidth="1"/>
    <col min="3342" max="3584" width="9.140625" style="269"/>
    <col min="3585" max="3585" width="14.7109375" style="269" customWidth="1"/>
    <col min="3586" max="3596" width="10.85546875" style="269" customWidth="1"/>
    <col min="3597" max="3597" width="9.28515625" style="269" customWidth="1"/>
    <col min="3598" max="3840" width="9.140625" style="269"/>
    <col min="3841" max="3841" width="14.7109375" style="269" customWidth="1"/>
    <col min="3842" max="3852" width="10.85546875" style="269" customWidth="1"/>
    <col min="3853" max="3853" width="9.28515625" style="269" customWidth="1"/>
    <col min="3854" max="4096" width="9.140625" style="269"/>
    <col min="4097" max="4097" width="14.7109375" style="269" customWidth="1"/>
    <col min="4098" max="4108" width="10.85546875" style="269" customWidth="1"/>
    <col min="4109" max="4109" width="9.28515625" style="269" customWidth="1"/>
    <col min="4110" max="4352" width="9.140625" style="269"/>
    <col min="4353" max="4353" width="14.7109375" style="269" customWidth="1"/>
    <col min="4354" max="4364" width="10.85546875" style="269" customWidth="1"/>
    <col min="4365" max="4365" width="9.28515625" style="269" customWidth="1"/>
    <col min="4366" max="4608" width="9.140625" style="269"/>
    <col min="4609" max="4609" width="14.7109375" style="269" customWidth="1"/>
    <col min="4610" max="4620" width="10.85546875" style="269" customWidth="1"/>
    <col min="4621" max="4621" width="9.28515625" style="269" customWidth="1"/>
    <col min="4622" max="4864" width="9.140625" style="269"/>
    <col min="4865" max="4865" width="14.7109375" style="269" customWidth="1"/>
    <col min="4866" max="4876" width="10.85546875" style="269" customWidth="1"/>
    <col min="4877" max="4877" width="9.28515625" style="269" customWidth="1"/>
    <col min="4878" max="5120" width="9.140625" style="269"/>
    <col min="5121" max="5121" width="14.7109375" style="269" customWidth="1"/>
    <col min="5122" max="5132" width="10.85546875" style="269" customWidth="1"/>
    <col min="5133" max="5133" width="9.28515625" style="269" customWidth="1"/>
    <col min="5134" max="5376" width="9.140625" style="269"/>
    <col min="5377" max="5377" width="14.7109375" style="269" customWidth="1"/>
    <col min="5378" max="5388" width="10.85546875" style="269" customWidth="1"/>
    <col min="5389" max="5389" width="9.28515625" style="269" customWidth="1"/>
    <col min="5390" max="5632" width="9.140625" style="269"/>
    <col min="5633" max="5633" width="14.7109375" style="269" customWidth="1"/>
    <col min="5634" max="5644" width="10.85546875" style="269" customWidth="1"/>
    <col min="5645" max="5645" width="9.28515625" style="269" customWidth="1"/>
    <col min="5646" max="5888" width="9.140625" style="269"/>
    <col min="5889" max="5889" width="14.7109375" style="269" customWidth="1"/>
    <col min="5890" max="5900" width="10.85546875" style="269" customWidth="1"/>
    <col min="5901" max="5901" width="9.28515625" style="269" customWidth="1"/>
    <col min="5902" max="6144" width="9.140625" style="269"/>
    <col min="6145" max="6145" width="14.7109375" style="269" customWidth="1"/>
    <col min="6146" max="6156" width="10.85546875" style="269" customWidth="1"/>
    <col min="6157" max="6157" width="9.28515625" style="269" customWidth="1"/>
    <col min="6158" max="6400" width="9.140625" style="269"/>
    <col min="6401" max="6401" width="14.7109375" style="269" customWidth="1"/>
    <col min="6402" max="6412" width="10.85546875" style="269" customWidth="1"/>
    <col min="6413" max="6413" width="9.28515625" style="269" customWidth="1"/>
    <col min="6414" max="6656" width="9.140625" style="269"/>
    <col min="6657" max="6657" width="14.7109375" style="269" customWidth="1"/>
    <col min="6658" max="6668" width="10.85546875" style="269" customWidth="1"/>
    <col min="6669" max="6669" width="9.28515625" style="269" customWidth="1"/>
    <col min="6670" max="6912" width="9.140625" style="269"/>
    <col min="6913" max="6913" width="14.7109375" style="269" customWidth="1"/>
    <col min="6914" max="6924" width="10.85546875" style="269" customWidth="1"/>
    <col min="6925" max="6925" width="9.28515625" style="269" customWidth="1"/>
    <col min="6926" max="7168" width="9.140625" style="269"/>
    <col min="7169" max="7169" width="14.7109375" style="269" customWidth="1"/>
    <col min="7170" max="7180" width="10.85546875" style="269" customWidth="1"/>
    <col min="7181" max="7181" width="9.28515625" style="269" customWidth="1"/>
    <col min="7182" max="7424" width="9.140625" style="269"/>
    <col min="7425" max="7425" width="14.7109375" style="269" customWidth="1"/>
    <col min="7426" max="7436" width="10.85546875" style="269" customWidth="1"/>
    <col min="7437" max="7437" width="9.28515625" style="269" customWidth="1"/>
    <col min="7438" max="7680" width="9.140625" style="269"/>
    <col min="7681" max="7681" width="14.7109375" style="269" customWidth="1"/>
    <col min="7682" max="7692" width="10.85546875" style="269" customWidth="1"/>
    <col min="7693" max="7693" width="9.28515625" style="269" customWidth="1"/>
    <col min="7694" max="7936" width="9.140625" style="269"/>
    <col min="7937" max="7937" width="14.7109375" style="269" customWidth="1"/>
    <col min="7938" max="7948" width="10.85546875" style="269" customWidth="1"/>
    <col min="7949" max="7949" width="9.28515625" style="269" customWidth="1"/>
    <col min="7950" max="8192" width="9.140625" style="269"/>
    <col min="8193" max="8193" width="14.7109375" style="269" customWidth="1"/>
    <col min="8194" max="8204" width="10.85546875" style="269" customWidth="1"/>
    <col min="8205" max="8205" width="9.28515625" style="269" customWidth="1"/>
    <col min="8206" max="8448" width="9.140625" style="269"/>
    <col min="8449" max="8449" width="14.7109375" style="269" customWidth="1"/>
    <col min="8450" max="8460" width="10.85546875" style="269" customWidth="1"/>
    <col min="8461" max="8461" width="9.28515625" style="269" customWidth="1"/>
    <col min="8462" max="8704" width="9.140625" style="269"/>
    <col min="8705" max="8705" width="14.7109375" style="269" customWidth="1"/>
    <col min="8706" max="8716" width="10.85546875" style="269" customWidth="1"/>
    <col min="8717" max="8717" width="9.28515625" style="269" customWidth="1"/>
    <col min="8718" max="8960" width="9.140625" style="269"/>
    <col min="8961" max="8961" width="14.7109375" style="269" customWidth="1"/>
    <col min="8962" max="8972" width="10.85546875" style="269" customWidth="1"/>
    <col min="8973" max="8973" width="9.28515625" style="269" customWidth="1"/>
    <col min="8974" max="9216" width="9.140625" style="269"/>
    <col min="9217" max="9217" width="14.7109375" style="269" customWidth="1"/>
    <col min="9218" max="9228" width="10.85546875" style="269" customWidth="1"/>
    <col min="9229" max="9229" width="9.28515625" style="269" customWidth="1"/>
    <col min="9230" max="9472" width="9.140625" style="269"/>
    <col min="9473" max="9473" width="14.7109375" style="269" customWidth="1"/>
    <col min="9474" max="9484" width="10.85546875" style="269" customWidth="1"/>
    <col min="9485" max="9485" width="9.28515625" style="269" customWidth="1"/>
    <col min="9486" max="9728" width="9.140625" style="269"/>
    <col min="9729" max="9729" width="14.7109375" style="269" customWidth="1"/>
    <col min="9730" max="9740" width="10.85546875" style="269" customWidth="1"/>
    <col min="9741" max="9741" width="9.28515625" style="269" customWidth="1"/>
    <col min="9742" max="9984" width="9.140625" style="269"/>
    <col min="9985" max="9985" width="14.7109375" style="269" customWidth="1"/>
    <col min="9986" max="9996" width="10.85546875" style="269" customWidth="1"/>
    <col min="9997" max="9997" width="9.28515625" style="269" customWidth="1"/>
    <col min="9998" max="10240" width="9.140625" style="269"/>
    <col min="10241" max="10241" width="14.7109375" style="269" customWidth="1"/>
    <col min="10242" max="10252" width="10.85546875" style="269" customWidth="1"/>
    <col min="10253" max="10253" width="9.28515625" style="269" customWidth="1"/>
    <col min="10254" max="10496" width="9.140625" style="269"/>
    <col min="10497" max="10497" width="14.7109375" style="269" customWidth="1"/>
    <col min="10498" max="10508" width="10.85546875" style="269" customWidth="1"/>
    <col min="10509" max="10509" width="9.28515625" style="269" customWidth="1"/>
    <col min="10510" max="10752" width="9.140625" style="269"/>
    <col min="10753" max="10753" width="14.7109375" style="269" customWidth="1"/>
    <col min="10754" max="10764" width="10.85546875" style="269" customWidth="1"/>
    <col min="10765" max="10765" width="9.28515625" style="269" customWidth="1"/>
    <col min="10766" max="11008" width="9.140625" style="269"/>
    <col min="11009" max="11009" width="14.7109375" style="269" customWidth="1"/>
    <col min="11010" max="11020" width="10.85546875" style="269" customWidth="1"/>
    <col min="11021" max="11021" width="9.28515625" style="269" customWidth="1"/>
    <col min="11022" max="11264" width="9.140625" style="269"/>
    <col min="11265" max="11265" width="14.7109375" style="269" customWidth="1"/>
    <col min="11266" max="11276" width="10.85546875" style="269" customWidth="1"/>
    <col min="11277" max="11277" width="9.28515625" style="269" customWidth="1"/>
    <col min="11278" max="11520" width="9.140625" style="269"/>
    <col min="11521" max="11521" width="14.7109375" style="269" customWidth="1"/>
    <col min="11522" max="11532" width="10.85546875" style="269" customWidth="1"/>
    <col min="11533" max="11533" width="9.28515625" style="269" customWidth="1"/>
    <col min="11534" max="11776" width="9.140625" style="269"/>
    <col min="11777" max="11777" width="14.7109375" style="269" customWidth="1"/>
    <col min="11778" max="11788" width="10.85546875" style="269" customWidth="1"/>
    <col min="11789" max="11789" width="9.28515625" style="269" customWidth="1"/>
    <col min="11790" max="12032" width="9.140625" style="269"/>
    <col min="12033" max="12033" width="14.7109375" style="269" customWidth="1"/>
    <col min="12034" max="12044" width="10.85546875" style="269" customWidth="1"/>
    <col min="12045" max="12045" width="9.28515625" style="269" customWidth="1"/>
    <col min="12046" max="12288" width="9.140625" style="269"/>
    <col min="12289" max="12289" width="14.7109375" style="269" customWidth="1"/>
    <col min="12290" max="12300" width="10.85546875" style="269" customWidth="1"/>
    <col min="12301" max="12301" width="9.28515625" style="269" customWidth="1"/>
    <col min="12302" max="12544" width="9.140625" style="269"/>
    <col min="12545" max="12545" width="14.7109375" style="269" customWidth="1"/>
    <col min="12546" max="12556" width="10.85546875" style="269" customWidth="1"/>
    <col min="12557" max="12557" width="9.28515625" style="269" customWidth="1"/>
    <col min="12558" max="12800" width="9.140625" style="269"/>
    <col min="12801" max="12801" width="14.7109375" style="269" customWidth="1"/>
    <col min="12802" max="12812" width="10.85546875" style="269" customWidth="1"/>
    <col min="12813" max="12813" width="9.28515625" style="269" customWidth="1"/>
    <col min="12814" max="13056" width="9.140625" style="269"/>
    <col min="13057" max="13057" width="14.7109375" style="269" customWidth="1"/>
    <col min="13058" max="13068" width="10.85546875" style="269" customWidth="1"/>
    <col min="13069" max="13069" width="9.28515625" style="269" customWidth="1"/>
    <col min="13070" max="13312" width="9.140625" style="269"/>
    <col min="13313" max="13313" width="14.7109375" style="269" customWidth="1"/>
    <col min="13314" max="13324" width="10.85546875" style="269" customWidth="1"/>
    <col min="13325" max="13325" width="9.28515625" style="269" customWidth="1"/>
    <col min="13326" max="13568" width="9.140625" style="269"/>
    <col min="13569" max="13569" width="14.7109375" style="269" customWidth="1"/>
    <col min="13570" max="13580" width="10.85546875" style="269" customWidth="1"/>
    <col min="13581" max="13581" width="9.28515625" style="269" customWidth="1"/>
    <col min="13582" max="13824" width="9.140625" style="269"/>
    <col min="13825" max="13825" width="14.7109375" style="269" customWidth="1"/>
    <col min="13826" max="13836" width="10.85546875" style="269" customWidth="1"/>
    <col min="13837" max="13837" width="9.28515625" style="269" customWidth="1"/>
    <col min="13838" max="14080" width="9.140625" style="269"/>
    <col min="14081" max="14081" width="14.7109375" style="269" customWidth="1"/>
    <col min="14082" max="14092" width="10.85546875" style="269" customWidth="1"/>
    <col min="14093" max="14093" width="9.28515625" style="269" customWidth="1"/>
    <col min="14094" max="14336" width="9.140625" style="269"/>
    <col min="14337" max="14337" width="14.7109375" style="269" customWidth="1"/>
    <col min="14338" max="14348" width="10.85546875" style="269" customWidth="1"/>
    <col min="14349" max="14349" width="9.28515625" style="269" customWidth="1"/>
    <col min="14350" max="14592" width="9.140625" style="269"/>
    <col min="14593" max="14593" width="14.7109375" style="269" customWidth="1"/>
    <col min="14594" max="14604" width="10.85546875" style="269" customWidth="1"/>
    <col min="14605" max="14605" width="9.28515625" style="269" customWidth="1"/>
    <col min="14606" max="14848" width="9.140625" style="269"/>
    <col min="14849" max="14849" width="14.7109375" style="269" customWidth="1"/>
    <col min="14850" max="14860" width="10.85546875" style="269" customWidth="1"/>
    <col min="14861" max="14861" width="9.28515625" style="269" customWidth="1"/>
    <col min="14862" max="15104" width="9.140625" style="269"/>
    <col min="15105" max="15105" width="14.7109375" style="269" customWidth="1"/>
    <col min="15106" max="15116" width="10.85546875" style="269" customWidth="1"/>
    <col min="15117" max="15117" width="9.28515625" style="269" customWidth="1"/>
    <col min="15118" max="15360" width="9.140625" style="269"/>
    <col min="15361" max="15361" width="14.7109375" style="269" customWidth="1"/>
    <col min="15362" max="15372" width="10.85546875" style="269" customWidth="1"/>
    <col min="15373" max="15373" width="9.28515625" style="269" customWidth="1"/>
    <col min="15374" max="15616" width="9.140625" style="269"/>
    <col min="15617" max="15617" width="14.7109375" style="269" customWidth="1"/>
    <col min="15618" max="15628" width="10.85546875" style="269" customWidth="1"/>
    <col min="15629" max="15629" width="9.28515625" style="269" customWidth="1"/>
    <col min="15630" max="15872" width="9.140625" style="269"/>
    <col min="15873" max="15873" width="14.7109375" style="269" customWidth="1"/>
    <col min="15874" max="15884" width="10.85546875" style="269" customWidth="1"/>
    <col min="15885" max="15885" width="9.28515625" style="269" customWidth="1"/>
    <col min="15886" max="16128" width="9.140625" style="269"/>
    <col min="16129" max="16129" width="14.7109375" style="269" customWidth="1"/>
    <col min="16130" max="16140" width="10.85546875" style="269" customWidth="1"/>
    <col min="16141" max="16141" width="9.28515625" style="269" customWidth="1"/>
    <col min="16142" max="16384" width="9.140625" style="269"/>
  </cols>
  <sheetData>
    <row r="1" spans="1:13">
      <c r="A1" s="270" t="s">
        <v>329</v>
      </c>
      <c r="B1" s="271"/>
      <c r="C1" s="271"/>
      <c r="D1" s="271"/>
      <c r="E1" s="271"/>
      <c r="F1" s="271"/>
      <c r="G1" s="271"/>
      <c r="H1" s="271"/>
      <c r="I1" s="271"/>
      <c r="J1" s="271"/>
      <c r="K1" s="271"/>
      <c r="L1" s="271"/>
      <c r="M1" s="271"/>
    </row>
    <row r="2" spans="1:13">
      <c r="A2" s="270" t="s">
        <v>330</v>
      </c>
      <c r="B2" s="271"/>
      <c r="C2" s="271"/>
      <c r="D2" s="271"/>
      <c r="E2" s="271"/>
      <c r="F2" s="271"/>
      <c r="G2" s="271"/>
      <c r="H2" s="271"/>
      <c r="I2" s="271"/>
      <c r="J2" s="271"/>
      <c r="K2" s="271"/>
      <c r="L2" s="271"/>
      <c r="M2" s="271"/>
    </row>
    <row r="3" spans="1:13">
      <c r="A3" s="268" t="s">
        <v>0</v>
      </c>
      <c r="B3" s="268" t="s">
        <v>1</v>
      </c>
      <c r="C3" s="268" t="s">
        <v>2</v>
      </c>
      <c r="D3" s="268" t="s">
        <v>3</v>
      </c>
      <c r="E3" s="268" t="s">
        <v>4</v>
      </c>
      <c r="F3" s="268" t="s">
        <v>5</v>
      </c>
      <c r="G3" s="268" t="s">
        <v>6</v>
      </c>
      <c r="H3" s="268" t="s">
        <v>7</v>
      </c>
      <c r="I3" s="268" t="s">
        <v>8</v>
      </c>
      <c r="J3" s="268" t="s">
        <v>9</v>
      </c>
      <c r="K3" s="268" t="s">
        <v>10</v>
      </c>
      <c r="L3" s="268" t="s">
        <v>11</v>
      </c>
      <c r="M3" s="268" t="s">
        <v>12</v>
      </c>
    </row>
    <row r="4" spans="1:13">
      <c r="A4" s="268" t="s">
        <v>13</v>
      </c>
      <c r="B4" s="29">
        <v>646066</v>
      </c>
      <c r="C4" s="29">
        <v>2510339</v>
      </c>
      <c r="D4" s="29">
        <v>454290</v>
      </c>
      <c r="E4" s="29">
        <v>1060258</v>
      </c>
      <c r="F4" s="29">
        <v>1396270</v>
      </c>
      <c r="G4" s="29">
        <v>2589438</v>
      </c>
      <c r="H4" s="29">
        <v>3048537</v>
      </c>
      <c r="I4" s="29">
        <v>5837</v>
      </c>
      <c r="J4" s="29">
        <v>380355</v>
      </c>
      <c r="K4" s="29">
        <v>868322</v>
      </c>
      <c r="L4" s="28" t="s">
        <v>14</v>
      </c>
      <c r="M4" s="29">
        <v>12959711</v>
      </c>
    </row>
    <row r="5" spans="1:13">
      <c r="A5" s="268" t="s">
        <v>15</v>
      </c>
      <c r="B5" s="29">
        <v>296979</v>
      </c>
      <c r="C5" s="29">
        <v>1147565</v>
      </c>
      <c r="D5" s="29">
        <v>209098</v>
      </c>
      <c r="E5" s="29">
        <v>489246</v>
      </c>
      <c r="F5" s="29">
        <v>643400</v>
      </c>
      <c r="G5" s="29">
        <v>1496700</v>
      </c>
      <c r="H5" s="29">
        <v>1530226</v>
      </c>
      <c r="I5" s="29">
        <v>2687</v>
      </c>
      <c r="J5" s="29">
        <v>173031</v>
      </c>
      <c r="K5" s="29">
        <v>383536</v>
      </c>
      <c r="L5" s="28" t="s">
        <v>14</v>
      </c>
      <c r="M5" s="29">
        <v>6372468</v>
      </c>
    </row>
    <row r="6" spans="1:13">
      <c r="A6" s="268" t="s">
        <v>16</v>
      </c>
      <c r="B6" s="29">
        <v>16460</v>
      </c>
      <c r="C6" s="29">
        <v>125162</v>
      </c>
      <c r="D6" s="29">
        <v>21398</v>
      </c>
      <c r="E6" s="29">
        <v>48632</v>
      </c>
      <c r="F6" s="29">
        <v>64110</v>
      </c>
      <c r="G6" s="29">
        <v>105880</v>
      </c>
      <c r="H6" s="29">
        <v>107630</v>
      </c>
      <c r="I6" s="29">
        <v>303</v>
      </c>
      <c r="J6" s="29">
        <v>12195</v>
      </c>
      <c r="K6" s="29">
        <v>13217</v>
      </c>
      <c r="L6" s="28" t="s">
        <v>14</v>
      </c>
      <c r="M6" s="29">
        <v>514986</v>
      </c>
    </row>
    <row r="7" spans="1:13">
      <c r="A7" s="268" t="s">
        <v>17</v>
      </c>
      <c r="B7" s="29">
        <v>72839</v>
      </c>
      <c r="C7" s="29">
        <v>192097</v>
      </c>
      <c r="D7" s="29">
        <v>47948</v>
      </c>
      <c r="E7" s="29">
        <v>129086</v>
      </c>
      <c r="F7" s="29">
        <v>117814</v>
      </c>
      <c r="G7" s="29">
        <v>474098</v>
      </c>
      <c r="H7" s="29">
        <v>347606</v>
      </c>
      <c r="I7" s="29">
        <v>332</v>
      </c>
      <c r="J7" s="29">
        <v>32510</v>
      </c>
      <c r="K7" s="29">
        <v>89632</v>
      </c>
      <c r="L7" s="28" t="s">
        <v>14</v>
      </c>
      <c r="M7" s="29">
        <v>1503962</v>
      </c>
    </row>
    <row r="8" spans="1:13">
      <c r="A8" s="268" t="s">
        <v>18</v>
      </c>
      <c r="B8" s="29">
        <v>33269</v>
      </c>
      <c r="C8" s="29">
        <v>209461</v>
      </c>
      <c r="D8" s="29">
        <v>62970</v>
      </c>
      <c r="E8" s="29">
        <v>95936</v>
      </c>
      <c r="F8" s="29">
        <v>112928</v>
      </c>
      <c r="G8" s="29">
        <v>207528</v>
      </c>
      <c r="H8" s="29">
        <v>218013</v>
      </c>
      <c r="I8" s="29">
        <v>439</v>
      </c>
      <c r="J8" s="29">
        <v>31179</v>
      </c>
      <c r="K8" s="29">
        <v>60340</v>
      </c>
      <c r="L8" s="28" t="s">
        <v>14</v>
      </c>
      <c r="M8" s="29">
        <v>1032062</v>
      </c>
    </row>
    <row r="9" spans="1:13">
      <c r="A9" s="268" t="s">
        <v>19</v>
      </c>
      <c r="B9" s="28" t="s">
        <v>14</v>
      </c>
      <c r="C9" s="28" t="s">
        <v>14</v>
      </c>
      <c r="D9" s="28" t="s">
        <v>14</v>
      </c>
      <c r="E9" s="28" t="s">
        <v>14</v>
      </c>
      <c r="F9" s="28" t="s">
        <v>14</v>
      </c>
      <c r="G9" s="28" t="s">
        <v>14</v>
      </c>
      <c r="H9" s="28" t="s">
        <v>14</v>
      </c>
      <c r="I9" s="28" t="s">
        <v>14</v>
      </c>
      <c r="J9" s="28" t="s">
        <v>14</v>
      </c>
      <c r="K9" s="28" t="s">
        <v>14</v>
      </c>
      <c r="L9" s="29">
        <v>1820109</v>
      </c>
      <c r="M9" s="29">
        <v>1820109</v>
      </c>
    </row>
    <row r="10" spans="1:13">
      <c r="A10" s="268"/>
      <c r="B10" s="28"/>
      <c r="C10" s="28"/>
      <c r="D10" s="28"/>
      <c r="E10" s="28"/>
      <c r="F10" s="28"/>
      <c r="G10" s="28"/>
      <c r="H10" s="28"/>
      <c r="I10" s="28"/>
      <c r="J10" s="28"/>
      <c r="K10" s="28"/>
      <c r="L10" s="29"/>
      <c r="M10" s="29"/>
    </row>
    <row r="11" spans="1:13">
      <c r="A11" s="268" t="s">
        <v>20</v>
      </c>
      <c r="B11" s="28" t="s">
        <v>14</v>
      </c>
      <c r="C11" s="28" t="s">
        <v>14</v>
      </c>
      <c r="D11" s="28" t="s">
        <v>14</v>
      </c>
      <c r="E11" s="28" t="s">
        <v>14</v>
      </c>
      <c r="F11" s="29">
        <v>7478</v>
      </c>
      <c r="G11" s="29">
        <v>1255163</v>
      </c>
      <c r="H11" s="29">
        <v>532059</v>
      </c>
      <c r="I11" s="28" t="s">
        <v>14</v>
      </c>
      <c r="J11" s="28" t="s">
        <v>14</v>
      </c>
      <c r="K11" s="28" t="s">
        <v>14</v>
      </c>
      <c r="L11" s="28" t="s">
        <v>14</v>
      </c>
      <c r="M11" s="29">
        <v>1794701</v>
      </c>
    </row>
    <row r="12" spans="1:13">
      <c r="A12" s="268" t="s">
        <v>21</v>
      </c>
      <c r="B12" s="28" t="s">
        <v>14</v>
      </c>
      <c r="C12" s="29">
        <v>62</v>
      </c>
      <c r="D12" s="29">
        <v>0</v>
      </c>
      <c r="E12" s="29">
        <v>380</v>
      </c>
      <c r="F12" s="29">
        <v>556</v>
      </c>
      <c r="G12" s="29">
        <v>27374</v>
      </c>
      <c r="H12" s="29">
        <v>73044</v>
      </c>
      <c r="I12" s="29">
        <v>9</v>
      </c>
      <c r="J12" s="29">
        <v>642</v>
      </c>
      <c r="K12" s="28" t="s">
        <v>14</v>
      </c>
      <c r="L12" s="28" t="s">
        <v>14</v>
      </c>
      <c r="M12" s="29">
        <v>102068</v>
      </c>
    </row>
    <row r="13" spans="1:13">
      <c r="A13" s="268" t="s">
        <v>22</v>
      </c>
      <c r="B13" s="29">
        <v>780</v>
      </c>
      <c r="C13" s="29">
        <v>49833</v>
      </c>
      <c r="D13" s="29">
        <v>0</v>
      </c>
      <c r="E13" s="29">
        <v>39790</v>
      </c>
      <c r="F13" s="29">
        <v>23554</v>
      </c>
      <c r="G13" s="29">
        <v>152129</v>
      </c>
      <c r="H13" s="29">
        <v>161442</v>
      </c>
      <c r="I13" s="29">
        <v>212</v>
      </c>
      <c r="J13" s="29">
        <v>160</v>
      </c>
      <c r="K13" s="29">
        <v>2270</v>
      </c>
      <c r="L13" s="28" t="s">
        <v>14</v>
      </c>
      <c r="M13" s="29">
        <v>430168</v>
      </c>
    </row>
    <row r="14" spans="1:13">
      <c r="A14" s="268" t="s">
        <v>23</v>
      </c>
      <c r="B14" s="29">
        <v>2715</v>
      </c>
      <c r="C14" s="29">
        <v>241696</v>
      </c>
      <c r="D14" s="29">
        <v>8002</v>
      </c>
      <c r="E14" s="29">
        <v>25302</v>
      </c>
      <c r="F14" s="29">
        <v>26284</v>
      </c>
      <c r="G14" s="29">
        <v>178883</v>
      </c>
      <c r="H14" s="29">
        <v>112828</v>
      </c>
      <c r="I14" s="29">
        <v>205</v>
      </c>
      <c r="J14" s="29">
        <v>39532</v>
      </c>
      <c r="K14" s="29">
        <v>78800</v>
      </c>
      <c r="L14" s="28" t="s">
        <v>14</v>
      </c>
      <c r="M14" s="29">
        <v>714247</v>
      </c>
    </row>
    <row r="15" spans="1:13">
      <c r="A15" s="268" t="s">
        <v>24</v>
      </c>
      <c r="B15" s="29">
        <v>455</v>
      </c>
      <c r="C15" s="29">
        <v>88</v>
      </c>
      <c r="D15" s="29">
        <v>18</v>
      </c>
      <c r="E15" s="29">
        <v>63</v>
      </c>
      <c r="F15" s="29">
        <v>14</v>
      </c>
      <c r="G15" s="29">
        <v>228</v>
      </c>
      <c r="H15" s="29">
        <v>744</v>
      </c>
      <c r="I15" s="28" t="s">
        <v>14</v>
      </c>
      <c r="J15" s="29">
        <v>51</v>
      </c>
      <c r="K15" s="29">
        <v>282</v>
      </c>
      <c r="L15" s="28" t="s">
        <v>14</v>
      </c>
      <c r="M15" s="29">
        <v>1943</v>
      </c>
    </row>
    <row r="16" spans="1:13">
      <c r="A16" s="268" t="s">
        <v>25</v>
      </c>
      <c r="B16" s="29">
        <v>4702</v>
      </c>
      <c r="C16" s="29">
        <v>3031</v>
      </c>
      <c r="D16" s="29">
        <v>1465</v>
      </c>
      <c r="E16" s="29">
        <v>2131</v>
      </c>
      <c r="F16" s="29">
        <v>3255</v>
      </c>
      <c r="G16" s="29">
        <v>6366</v>
      </c>
      <c r="H16" s="29">
        <v>14576</v>
      </c>
      <c r="I16" s="28" t="s">
        <v>14</v>
      </c>
      <c r="J16" s="29">
        <v>1142</v>
      </c>
      <c r="K16" s="29">
        <v>7292</v>
      </c>
      <c r="L16" s="28" t="s">
        <v>14</v>
      </c>
      <c r="M16" s="29">
        <v>43962</v>
      </c>
    </row>
    <row r="17" spans="1:13">
      <c r="A17" s="268" t="s">
        <v>26</v>
      </c>
      <c r="B17" s="29">
        <v>26468</v>
      </c>
      <c r="C17" s="29">
        <v>178027</v>
      </c>
      <c r="D17" s="29">
        <v>7564</v>
      </c>
      <c r="E17" s="29">
        <v>33202</v>
      </c>
      <c r="F17" s="29">
        <v>114759</v>
      </c>
      <c r="G17" s="29">
        <v>5579</v>
      </c>
      <c r="H17" s="29">
        <v>151419</v>
      </c>
      <c r="I17" s="29">
        <v>168</v>
      </c>
      <c r="J17" s="29">
        <v>4367</v>
      </c>
      <c r="K17" s="29">
        <v>98160</v>
      </c>
      <c r="L17" s="28" t="s">
        <v>14</v>
      </c>
      <c r="M17" s="29">
        <v>619714</v>
      </c>
    </row>
    <row r="18" spans="1:13">
      <c r="A18" s="268"/>
      <c r="B18" s="29"/>
      <c r="C18" s="29"/>
      <c r="D18" s="29"/>
      <c r="E18" s="29"/>
      <c r="F18" s="29"/>
      <c r="G18" s="29"/>
      <c r="H18" s="29"/>
      <c r="I18" s="29"/>
      <c r="J18" s="29"/>
      <c r="K18" s="29"/>
      <c r="L18" s="28"/>
      <c r="M18" s="29"/>
    </row>
    <row r="19" spans="1:13">
      <c r="A19" s="268" t="s">
        <v>27</v>
      </c>
      <c r="B19" s="29">
        <v>294</v>
      </c>
      <c r="C19" s="29">
        <v>78</v>
      </c>
      <c r="D19" s="28" t="s">
        <v>14</v>
      </c>
      <c r="E19" s="28" t="s">
        <v>14</v>
      </c>
      <c r="F19" s="29">
        <v>381</v>
      </c>
      <c r="G19" s="28" t="s">
        <v>14</v>
      </c>
      <c r="H19" s="28" t="s">
        <v>14</v>
      </c>
      <c r="I19" s="28" t="s">
        <v>14</v>
      </c>
      <c r="J19" s="28" t="s">
        <v>14</v>
      </c>
      <c r="K19" s="29">
        <v>432</v>
      </c>
      <c r="L19" s="28" t="s">
        <v>14</v>
      </c>
      <c r="M19" s="29">
        <v>1185</v>
      </c>
    </row>
    <row r="20" spans="1:13">
      <c r="A20" s="268" t="s">
        <v>28</v>
      </c>
      <c r="B20" s="29">
        <v>4852</v>
      </c>
      <c r="C20" s="28" t="s">
        <v>14</v>
      </c>
      <c r="D20" s="29">
        <v>1218</v>
      </c>
      <c r="E20" s="29">
        <v>119</v>
      </c>
      <c r="F20" s="29">
        <v>12678</v>
      </c>
      <c r="G20" s="28" t="s">
        <v>14</v>
      </c>
      <c r="H20" s="29">
        <v>934</v>
      </c>
      <c r="I20" s="28" t="s">
        <v>14</v>
      </c>
      <c r="J20" s="29">
        <v>55</v>
      </c>
      <c r="K20" s="29">
        <v>319</v>
      </c>
      <c r="L20" s="28" t="s">
        <v>14</v>
      </c>
      <c r="M20" s="29">
        <v>20175</v>
      </c>
    </row>
    <row r="21" spans="1:13">
      <c r="A21" s="268" t="s">
        <v>29</v>
      </c>
      <c r="B21" s="29">
        <v>5110</v>
      </c>
      <c r="C21" s="29">
        <v>3427</v>
      </c>
      <c r="D21" s="29">
        <v>1264</v>
      </c>
      <c r="E21" s="29">
        <v>2763</v>
      </c>
      <c r="F21" s="29">
        <v>3908</v>
      </c>
      <c r="G21" s="29">
        <v>7685</v>
      </c>
      <c r="H21" s="29">
        <v>8232</v>
      </c>
      <c r="I21" s="29">
        <v>65</v>
      </c>
      <c r="J21" s="29">
        <v>670</v>
      </c>
      <c r="K21" s="29">
        <v>3476</v>
      </c>
      <c r="L21" s="28" t="s">
        <v>14</v>
      </c>
      <c r="M21" s="29">
        <v>36600</v>
      </c>
    </row>
    <row r="22" spans="1:13">
      <c r="A22" s="268" t="s">
        <v>30</v>
      </c>
      <c r="B22" s="29">
        <v>822</v>
      </c>
      <c r="C22" s="29">
        <v>15889</v>
      </c>
      <c r="D22" s="28" t="s">
        <v>14</v>
      </c>
      <c r="E22" s="28" t="s">
        <v>14</v>
      </c>
      <c r="F22" s="29">
        <v>7884</v>
      </c>
      <c r="G22" s="29">
        <v>3725</v>
      </c>
      <c r="H22" s="29">
        <v>17657</v>
      </c>
      <c r="I22" s="28" t="s">
        <v>14</v>
      </c>
      <c r="J22" s="29">
        <v>697</v>
      </c>
      <c r="K22" s="28" t="s">
        <v>14</v>
      </c>
      <c r="L22" s="28" t="s">
        <v>14</v>
      </c>
      <c r="M22" s="29">
        <v>46673</v>
      </c>
    </row>
    <row r="23" spans="1:13">
      <c r="A23" s="268"/>
      <c r="B23" s="29"/>
      <c r="C23" s="29"/>
      <c r="D23" s="28"/>
      <c r="E23" s="28"/>
      <c r="F23" s="29"/>
      <c r="G23" s="29"/>
      <c r="H23" s="29"/>
      <c r="I23" s="28"/>
      <c r="J23" s="29"/>
      <c r="K23" s="28"/>
      <c r="L23" s="28"/>
      <c r="M23" s="29"/>
    </row>
    <row r="24" spans="1:13">
      <c r="A24" s="268"/>
      <c r="B24" s="29"/>
      <c r="C24" s="29"/>
      <c r="D24" s="28"/>
      <c r="E24" s="28"/>
      <c r="F24" s="29"/>
      <c r="G24" s="29"/>
      <c r="H24" s="29"/>
      <c r="I24" s="28"/>
      <c r="J24" s="29"/>
      <c r="K24" s="28"/>
      <c r="L24" s="28"/>
      <c r="M24" s="29"/>
    </row>
    <row r="25" spans="1:13">
      <c r="A25" s="268" t="s">
        <v>31</v>
      </c>
      <c r="B25" s="28" t="s">
        <v>14</v>
      </c>
      <c r="C25" s="28" t="s">
        <v>14</v>
      </c>
      <c r="D25" s="28" t="s">
        <v>14</v>
      </c>
      <c r="E25" s="28" t="s">
        <v>14</v>
      </c>
      <c r="F25" s="28" t="s">
        <v>14</v>
      </c>
      <c r="G25" s="28" t="s">
        <v>14</v>
      </c>
      <c r="H25" s="29">
        <v>17295</v>
      </c>
      <c r="I25" s="28" t="s">
        <v>14</v>
      </c>
      <c r="J25" s="28" t="s">
        <v>14</v>
      </c>
      <c r="K25" s="28" t="s">
        <v>14</v>
      </c>
      <c r="L25" s="28" t="s">
        <v>14</v>
      </c>
      <c r="M25" s="29">
        <v>17295</v>
      </c>
    </row>
    <row r="26" spans="1:13">
      <c r="A26" s="268" t="s">
        <v>33</v>
      </c>
      <c r="B26" s="28" t="s">
        <v>14</v>
      </c>
      <c r="C26" s="28" t="s">
        <v>14</v>
      </c>
      <c r="D26" s="28" t="s">
        <v>14</v>
      </c>
      <c r="E26" s="28" t="s">
        <v>14</v>
      </c>
      <c r="F26" s="28" t="s">
        <v>14</v>
      </c>
      <c r="G26" s="28" t="s">
        <v>14</v>
      </c>
      <c r="H26" s="28" t="s">
        <v>14</v>
      </c>
      <c r="I26" s="28" t="s">
        <v>14</v>
      </c>
      <c r="J26" s="29">
        <v>471322</v>
      </c>
      <c r="K26" s="28" t="s">
        <v>14</v>
      </c>
      <c r="L26" s="28" t="s">
        <v>14</v>
      </c>
      <c r="M26" s="29">
        <v>471322</v>
      </c>
    </row>
    <row r="27" spans="1:13">
      <c r="A27" s="268" t="s">
        <v>34</v>
      </c>
      <c r="B27" s="28" t="s">
        <v>14</v>
      </c>
      <c r="C27" s="28" t="s">
        <v>14</v>
      </c>
      <c r="D27" s="28" t="s">
        <v>14</v>
      </c>
      <c r="E27" s="28" t="s">
        <v>14</v>
      </c>
      <c r="F27" s="28" t="s">
        <v>14</v>
      </c>
      <c r="G27" s="28" t="s">
        <v>14</v>
      </c>
      <c r="H27" s="28" t="s">
        <v>14</v>
      </c>
      <c r="I27" s="28" t="s">
        <v>14</v>
      </c>
      <c r="J27" s="29">
        <v>530375</v>
      </c>
      <c r="K27" s="28" t="s">
        <v>14</v>
      </c>
      <c r="L27" s="28" t="s">
        <v>14</v>
      </c>
      <c r="M27" s="29">
        <v>530375</v>
      </c>
    </row>
    <row r="28" spans="1:13">
      <c r="A28" s="268" t="s">
        <v>35</v>
      </c>
      <c r="B28" s="29">
        <v>597</v>
      </c>
      <c r="C28" s="29">
        <v>88597</v>
      </c>
      <c r="D28" s="29">
        <v>411091</v>
      </c>
      <c r="E28" s="29">
        <v>280447</v>
      </c>
      <c r="F28" s="29">
        <v>235644</v>
      </c>
      <c r="G28" s="29">
        <v>81854</v>
      </c>
      <c r="H28" s="29">
        <v>19469</v>
      </c>
      <c r="I28" s="29">
        <v>1541</v>
      </c>
      <c r="J28" s="29">
        <v>463</v>
      </c>
      <c r="K28" s="29">
        <v>5936</v>
      </c>
      <c r="L28" s="28" t="s">
        <v>14</v>
      </c>
      <c r="M28" s="29">
        <v>1125639</v>
      </c>
    </row>
    <row r="29" spans="1:13">
      <c r="A29" s="268" t="s">
        <v>36</v>
      </c>
      <c r="B29" s="29">
        <v>5420</v>
      </c>
      <c r="C29" s="29">
        <v>149103</v>
      </c>
      <c r="D29" s="29">
        <v>73303</v>
      </c>
      <c r="E29" s="29">
        <v>49729</v>
      </c>
      <c r="F29" s="29">
        <v>189617</v>
      </c>
      <c r="G29" s="29">
        <v>36956</v>
      </c>
      <c r="H29" s="29">
        <v>40016</v>
      </c>
      <c r="I29" s="28" t="s">
        <v>14</v>
      </c>
      <c r="J29" s="29">
        <v>98867</v>
      </c>
      <c r="K29" s="29">
        <v>15113</v>
      </c>
      <c r="L29" s="28" t="s">
        <v>14</v>
      </c>
      <c r="M29" s="29">
        <v>658124</v>
      </c>
    </row>
    <row r="30" spans="1:13">
      <c r="A30" s="268"/>
      <c r="B30" s="29"/>
      <c r="C30" s="29"/>
      <c r="D30" s="29"/>
      <c r="E30" s="29"/>
      <c r="F30" s="29"/>
      <c r="G30" s="29"/>
      <c r="H30" s="29"/>
      <c r="I30" s="28"/>
      <c r="J30" s="29"/>
      <c r="K30" s="29"/>
      <c r="L30" s="28"/>
      <c r="M30" s="29"/>
    </row>
    <row r="31" spans="1:13">
      <c r="A31" s="268" t="s">
        <v>37</v>
      </c>
      <c r="B31" s="28" t="s">
        <v>14</v>
      </c>
      <c r="C31" s="28" t="s">
        <v>14</v>
      </c>
      <c r="D31" s="28" t="s">
        <v>14</v>
      </c>
      <c r="E31" s="28" t="s">
        <v>14</v>
      </c>
      <c r="F31" s="28" t="s">
        <v>14</v>
      </c>
      <c r="G31" s="29">
        <v>437488</v>
      </c>
      <c r="H31" s="28" t="s">
        <v>14</v>
      </c>
      <c r="I31" s="29">
        <v>9799116</v>
      </c>
      <c r="J31" s="29">
        <v>114408</v>
      </c>
      <c r="K31" s="28" t="s">
        <v>14</v>
      </c>
      <c r="L31" s="28" t="s">
        <v>14</v>
      </c>
      <c r="M31" s="29">
        <v>10351012</v>
      </c>
    </row>
    <row r="32" spans="1:13">
      <c r="A32" s="268" t="s">
        <v>38</v>
      </c>
      <c r="B32" s="28" t="s">
        <v>14</v>
      </c>
      <c r="C32" s="29">
        <v>150449</v>
      </c>
      <c r="D32" s="28" t="s">
        <v>14</v>
      </c>
      <c r="E32" s="28" t="s">
        <v>14</v>
      </c>
      <c r="F32" s="28" t="s">
        <v>14</v>
      </c>
      <c r="G32" s="29">
        <v>165076</v>
      </c>
      <c r="H32" s="28" t="s">
        <v>14</v>
      </c>
      <c r="I32" s="28" t="s">
        <v>14</v>
      </c>
      <c r="J32" s="28" t="s">
        <v>14</v>
      </c>
      <c r="K32" s="28" t="s">
        <v>14</v>
      </c>
      <c r="L32" s="28" t="s">
        <v>14</v>
      </c>
      <c r="M32" s="29">
        <v>315525</v>
      </c>
    </row>
    <row r="33" spans="1:13">
      <c r="A33" s="268" t="s">
        <v>40</v>
      </c>
      <c r="B33" s="29">
        <v>3339</v>
      </c>
      <c r="C33" s="29">
        <v>546959</v>
      </c>
      <c r="D33" s="29">
        <v>12691</v>
      </c>
      <c r="E33" s="29">
        <v>58270</v>
      </c>
      <c r="F33" s="29">
        <v>354478</v>
      </c>
      <c r="G33" s="29">
        <v>621460</v>
      </c>
      <c r="H33" s="29">
        <v>316552</v>
      </c>
      <c r="I33" s="28" t="s">
        <v>14</v>
      </c>
      <c r="J33" s="29">
        <v>283633</v>
      </c>
      <c r="K33" s="29">
        <v>44213</v>
      </c>
      <c r="L33" s="28" t="s">
        <v>14</v>
      </c>
      <c r="M33" s="29">
        <v>2241595</v>
      </c>
    </row>
    <row r="34" spans="1:13">
      <c r="A34" s="268" t="s">
        <v>41</v>
      </c>
      <c r="B34" s="28" t="s">
        <v>14</v>
      </c>
      <c r="C34" s="28" t="s">
        <v>14</v>
      </c>
      <c r="D34" s="29">
        <v>-32492</v>
      </c>
      <c r="E34" s="29">
        <v>-698195</v>
      </c>
      <c r="F34" s="29">
        <v>24579</v>
      </c>
      <c r="G34" s="29">
        <v>28353</v>
      </c>
      <c r="H34" s="28" t="s">
        <v>14</v>
      </c>
      <c r="I34" s="28" t="s">
        <v>14</v>
      </c>
      <c r="J34" s="29">
        <v>278</v>
      </c>
      <c r="K34" s="28" t="s">
        <v>14</v>
      </c>
      <c r="L34" s="28" t="s">
        <v>14</v>
      </c>
      <c r="M34" s="29">
        <v>-677478</v>
      </c>
    </row>
    <row r="35" spans="1:13">
      <c r="A35" s="268" t="s">
        <v>304</v>
      </c>
      <c r="B35" s="28" t="s">
        <v>14</v>
      </c>
      <c r="C35" s="28" t="s">
        <v>14</v>
      </c>
      <c r="D35" s="28" t="s">
        <v>14</v>
      </c>
      <c r="E35" s="29">
        <v>100878</v>
      </c>
      <c r="F35" s="28" t="s">
        <v>14</v>
      </c>
      <c r="G35" s="28" t="s">
        <v>14</v>
      </c>
      <c r="H35" s="28" t="s">
        <v>14</v>
      </c>
      <c r="I35" s="28" t="s">
        <v>14</v>
      </c>
      <c r="J35" s="28" t="s">
        <v>14</v>
      </c>
      <c r="K35" s="28" t="s">
        <v>14</v>
      </c>
      <c r="L35" s="28" t="s">
        <v>14</v>
      </c>
      <c r="M35" s="29">
        <v>100878</v>
      </c>
    </row>
    <row r="36" spans="1:13">
      <c r="A36" s="268" t="s">
        <v>305</v>
      </c>
      <c r="B36" s="28" t="s">
        <v>14</v>
      </c>
      <c r="C36" s="28" t="s">
        <v>14</v>
      </c>
      <c r="D36" s="28" t="s">
        <v>14</v>
      </c>
      <c r="E36" s="29">
        <v>145640</v>
      </c>
      <c r="F36" s="28" t="s">
        <v>14</v>
      </c>
      <c r="G36" s="28" t="s">
        <v>14</v>
      </c>
      <c r="H36" s="28" t="s">
        <v>14</v>
      </c>
      <c r="I36" s="28" t="s">
        <v>14</v>
      </c>
      <c r="J36" s="28" t="s">
        <v>14</v>
      </c>
      <c r="K36" s="28" t="s">
        <v>14</v>
      </c>
      <c r="L36" s="28" t="s">
        <v>14</v>
      </c>
      <c r="M36" s="29">
        <v>145640</v>
      </c>
    </row>
    <row r="37" spans="1:13">
      <c r="A37" s="268" t="s">
        <v>42</v>
      </c>
      <c r="B37" s="28" t="s">
        <v>14</v>
      </c>
      <c r="C37" s="28" t="s">
        <v>14</v>
      </c>
      <c r="D37" s="28" t="s">
        <v>14</v>
      </c>
      <c r="E37" s="28" t="s">
        <v>14</v>
      </c>
      <c r="F37" s="28" t="s">
        <v>14</v>
      </c>
      <c r="G37" s="28" t="s">
        <v>14</v>
      </c>
      <c r="H37" s="28" t="s">
        <v>14</v>
      </c>
      <c r="I37" s="29">
        <v>13453</v>
      </c>
      <c r="J37" s="28" t="s">
        <v>14</v>
      </c>
      <c r="K37" s="28" t="s">
        <v>14</v>
      </c>
      <c r="L37" s="28" t="s">
        <v>14</v>
      </c>
      <c r="M37" s="29">
        <v>13453</v>
      </c>
    </row>
    <row r="38" spans="1:13">
      <c r="A38" s="268"/>
      <c r="B38" s="28"/>
      <c r="C38" s="28"/>
      <c r="D38" s="28"/>
      <c r="E38" s="28"/>
      <c r="F38" s="28"/>
      <c r="G38" s="28"/>
      <c r="H38" s="28"/>
      <c r="I38" s="29"/>
      <c r="J38" s="28"/>
      <c r="K38" s="28"/>
      <c r="L38" s="28"/>
      <c r="M38" s="29"/>
    </row>
    <row r="39" spans="1:13">
      <c r="A39" s="268" t="s">
        <v>318</v>
      </c>
      <c r="B39" s="29">
        <v>91</v>
      </c>
      <c r="C39" s="28" t="s">
        <v>14</v>
      </c>
      <c r="D39" s="28" t="s">
        <v>14</v>
      </c>
      <c r="E39" s="28" t="s">
        <v>14</v>
      </c>
      <c r="F39" s="28" t="s">
        <v>14</v>
      </c>
      <c r="G39" s="28" t="s">
        <v>14</v>
      </c>
      <c r="H39" s="28" t="s">
        <v>14</v>
      </c>
      <c r="I39" s="28" t="s">
        <v>14</v>
      </c>
      <c r="J39" s="28" t="s">
        <v>14</v>
      </c>
      <c r="K39" s="28" t="s">
        <v>14</v>
      </c>
      <c r="L39" s="28" t="s">
        <v>14</v>
      </c>
      <c r="M39" s="29">
        <v>91</v>
      </c>
    </row>
    <row r="40" spans="1:13">
      <c r="A40" s="268"/>
      <c r="B40" s="29"/>
      <c r="C40" s="28"/>
      <c r="D40" s="28"/>
      <c r="E40" s="28"/>
      <c r="F40" s="28"/>
      <c r="G40" s="28"/>
      <c r="H40" s="28"/>
      <c r="I40" s="28"/>
      <c r="J40" s="28"/>
      <c r="K40" s="28"/>
      <c r="L40" s="28"/>
      <c r="M40" s="29"/>
    </row>
    <row r="41" spans="1:13">
      <c r="A41" s="268" t="s">
        <v>43</v>
      </c>
      <c r="B41" s="28" t="s">
        <v>14</v>
      </c>
      <c r="C41" s="28" t="s">
        <v>14</v>
      </c>
      <c r="D41" s="28" t="s">
        <v>14</v>
      </c>
      <c r="E41" s="28" t="s">
        <v>14</v>
      </c>
      <c r="F41" s="28" t="s">
        <v>14</v>
      </c>
      <c r="G41" s="28" t="s">
        <v>14</v>
      </c>
      <c r="H41" s="28" t="s">
        <v>14</v>
      </c>
      <c r="I41" s="29">
        <v>8656</v>
      </c>
      <c r="J41" s="28" t="s">
        <v>14</v>
      </c>
      <c r="K41" s="28" t="s">
        <v>14</v>
      </c>
      <c r="L41" s="28" t="s">
        <v>14</v>
      </c>
      <c r="M41" s="29">
        <v>8656</v>
      </c>
    </row>
    <row r="42" spans="1:13">
      <c r="A42" s="268" t="s">
        <v>44</v>
      </c>
      <c r="B42" s="29">
        <v>4173</v>
      </c>
      <c r="C42" s="29">
        <v>3787</v>
      </c>
      <c r="D42" s="29">
        <v>607</v>
      </c>
      <c r="E42" s="29">
        <v>2748</v>
      </c>
      <c r="F42" s="29">
        <v>7305</v>
      </c>
      <c r="G42" s="29">
        <v>1591</v>
      </c>
      <c r="H42" s="29">
        <v>12742</v>
      </c>
      <c r="I42" s="29">
        <v>89</v>
      </c>
      <c r="J42" s="29">
        <v>1142</v>
      </c>
      <c r="K42" s="29">
        <v>8855</v>
      </c>
      <c r="L42" s="28" t="s">
        <v>14</v>
      </c>
      <c r="M42" s="29">
        <v>43038</v>
      </c>
    </row>
    <row r="43" spans="1:13">
      <c r="A43" s="268" t="s">
        <v>45</v>
      </c>
      <c r="B43" s="29">
        <v>943</v>
      </c>
      <c r="C43" s="29">
        <v>1187</v>
      </c>
      <c r="D43" s="29">
        <v>178</v>
      </c>
      <c r="E43" s="29">
        <v>763</v>
      </c>
      <c r="F43" s="29">
        <v>1998</v>
      </c>
      <c r="G43" s="29">
        <v>465</v>
      </c>
      <c r="H43" s="29">
        <v>3635</v>
      </c>
      <c r="I43" s="29">
        <v>25</v>
      </c>
      <c r="J43" s="29">
        <v>325</v>
      </c>
      <c r="K43" s="29">
        <v>2270</v>
      </c>
      <c r="L43" s="28" t="s">
        <v>14</v>
      </c>
      <c r="M43" s="29">
        <v>11790</v>
      </c>
    </row>
    <row r="44" spans="1:13">
      <c r="A44" s="268" t="s">
        <v>46</v>
      </c>
      <c r="B44" s="29">
        <v>761</v>
      </c>
      <c r="C44" s="29">
        <v>1704</v>
      </c>
      <c r="D44" s="29">
        <v>133</v>
      </c>
      <c r="E44" s="29">
        <v>744</v>
      </c>
      <c r="F44" s="29">
        <v>1867</v>
      </c>
      <c r="G44" s="29">
        <v>480</v>
      </c>
      <c r="H44" s="29">
        <v>4543</v>
      </c>
      <c r="I44" s="29">
        <v>6</v>
      </c>
      <c r="J44" s="29">
        <v>258</v>
      </c>
      <c r="K44" s="29">
        <v>1911</v>
      </c>
      <c r="L44" s="28" t="s">
        <v>14</v>
      </c>
      <c r="M44" s="29">
        <v>12406</v>
      </c>
    </row>
    <row r="45" spans="1:13">
      <c r="A45" s="268" t="s">
        <v>47</v>
      </c>
      <c r="B45" s="29">
        <v>0</v>
      </c>
      <c r="C45" s="29">
        <v>0</v>
      </c>
      <c r="D45" s="28" t="s">
        <v>14</v>
      </c>
      <c r="E45" s="28" t="s">
        <v>14</v>
      </c>
      <c r="F45" s="29">
        <v>0</v>
      </c>
      <c r="G45" s="28" t="s">
        <v>14</v>
      </c>
      <c r="H45" s="28" t="s">
        <v>14</v>
      </c>
      <c r="I45" s="28" t="s">
        <v>14</v>
      </c>
      <c r="J45" s="28" t="s">
        <v>14</v>
      </c>
      <c r="K45" s="29">
        <v>0</v>
      </c>
      <c r="L45" s="28" t="s">
        <v>14</v>
      </c>
      <c r="M45" s="29">
        <v>0</v>
      </c>
    </row>
    <row r="46" spans="1:13">
      <c r="A46" s="268" t="s">
        <v>48</v>
      </c>
      <c r="B46" s="29">
        <v>1479</v>
      </c>
      <c r="C46" s="29">
        <v>811</v>
      </c>
      <c r="D46" s="28" t="s">
        <v>14</v>
      </c>
      <c r="E46" s="28" t="s">
        <v>14</v>
      </c>
      <c r="F46" s="28" t="s">
        <v>14</v>
      </c>
      <c r="G46" s="28" t="s">
        <v>14</v>
      </c>
      <c r="H46" s="28" t="s">
        <v>14</v>
      </c>
      <c r="I46" s="28" t="s">
        <v>14</v>
      </c>
      <c r="J46" s="28" t="s">
        <v>14</v>
      </c>
      <c r="K46" s="28" t="s">
        <v>14</v>
      </c>
      <c r="L46" s="28" t="s">
        <v>14</v>
      </c>
      <c r="M46" s="29">
        <v>2289</v>
      </c>
    </row>
    <row r="47" spans="1:13">
      <c r="A47" s="268" t="s">
        <v>49</v>
      </c>
      <c r="B47" s="29">
        <v>0</v>
      </c>
      <c r="C47" s="28" t="s">
        <v>14</v>
      </c>
      <c r="D47" s="28" t="s">
        <v>14</v>
      </c>
      <c r="E47" s="28" t="s">
        <v>14</v>
      </c>
      <c r="F47" s="28" t="s">
        <v>14</v>
      </c>
      <c r="G47" s="28" t="s">
        <v>14</v>
      </c>
      <c r="H47" s="28" t="s">
        <v>14</v>
      </c>
      <c r="I47" s="28" t="s">
        <v>14</v>
      </c>
      <c r="J47" s="29">
        <v>0</v>
      </c>
      <c r="K47" s="29">
        <v>0</v>
      </c>
      <c r="L47" s="28" t="s">
        <v>14</v>
      </c>
      <c r="M47" s="29">
        <v>0</v>
      </c>
    </row>
    <row r="48" spans="1:13">
      <c r="A48" s="268"/>
      <c r="B48" s="29"/>
      <c r="C48" s="28"/>
      <c r="D48" s="28"/>
      <c r="E48" s="28"/>
      <c r="F48" s="28"/>
      <c r="G48" s="28"/>
      <c r="H48" s="28"/>
      <c r="I48" s="28"/>
      <c r="J48" s="29"/>
      <c r="K48" s="29"/>
      <c r="L48" s="28"/>
      <c r="M48" s="29"/>
    </row>
    <row r="49" spans="1:13">
      <c r="A49" s="268"/>
      <c r="B49" s="29"/>
      <c r="C49" s="28"/>
      <c r="D49" s="28"/>
      <c r="E49" s="28"/>
      <c r="F49" s="28"/>
      <c r="G49" s="28"/>
      <c r="H49" s="28"/>
      <c r="I49" s="28"/>
      <c r="J49" s="29"/>
      <c r="K49" s="29"/>
      <c r="L49" s="28"/>
      <c r="M49" s="29"/>
    </row>
    <row r="50" spans="1:13">
      <c r="A50" s="268" t="s">
        <v>50</v>
      </c>
      <c r="B50" s="28" t="s">
        <v>14</v>
      </c>
      <c r="C50" s="28" t="s">
        <v>14</v>
      </c>
      <c r="D50" s="28" t="s">
        <v>14</v>
      </c>
      <c r="E50" s="28" t="s">
        <v>14</v>
      </c>
      <c r="F50" s="28" t="s">
        <v>14</v>
      </c>
      <c r="G50" s="28" t="s">
        <v>14</v>
      </c>
      <c r="H50" s="28" t="s">
        <v>14</v>
      </c>
      <c r="I50" s="29">
        <v>404640</v>
      </c>
      <c r="J50" s="28" t="s">
        <v>14</v>
      </c>
      <c r="K50" s="28" t="s">
        <v>14</v>
      </c>
      <c r="L50" s="28" t="s">
        <v>14</v>
      </c>
      <c r="M50" s="29">
        <v>404640</v>
      </c>
    </row>
    <row r="51" spans="1:13">
      <c r="A51" s="268" t="s">
        <v>51</v>
      </c>
      <c r="B51" s="28" t="s">
        <v>14</v>
      </c>
      <c r="C51" s="28" t="s">
        <v>14</v>
      </c>
      <c r="D51" s="29">
        <v>-77175</v>
      </c>
      <c r="E51" s="29">
        <v>287824</v>
      </c>
      <c r="F51" s="28" t="s">
        <v>14</v>
      </c>
      <c r="G51" s="28" t="s">
        <v>14</v>
      </c>
      <c r="H51" s="28" t="s">
        <v>14</v>
      </c>
      <c r="I51" s="28" t="s">
        <v>14</v>
      </c>
      <c r="J51" s="28" t="s">
        <v>14</v>
      </c>
      <c r="K51" s="28" t="s">
        <v>14</v>
      </c>
      <c r="L51" s="28" t="s">
        <v>14</v>
      </c>
      <c r="M51" s="29">
        <v>210650</v>
      </c>
    </row>
    <row r="52" spans="1:13">
      <c r="A52" s="268" t="s">
        <v>52</v>
      </c>
      <c r="B52" s="28" t="s">
        <v>14</v>
      </c>
      <c r="C52" s="28" t="s">
        <v>14</v>
      </c>
      <c r="D52" s="29">
        <v>-150983</v>
      </c>
      <c r="E52" s="29">
        <v>306681</v>
      </c>
      <c r="F52" s="28" t="s">
        <v>14</v>
      </c>
      <c r="G52" s="28" t="s">
        <v>14</v>
      </c>
      <c r="H52" s="28" t="s">
        <v>14</v>
      </c>
      <c r="I52" s="28" t="s">
        <v>14</v>
      </c>
      <c r="J52" s="28" t="s">
        <v>14</v>
      </c>
      <c r="K52" s="28" t="s">
        <v>14</v>
      </c>
      <c r="L52" s="28" t="s">
        <v>14</v>
      </c>
      <c r="M52" s="29">
        <v>155698</v>
      </c>
    </row>
    <row r="53" spans="1:13">
      <c r="A53" s="268" t="s">
        <v>53</v>
      </c>
      <c r="B53" s="29">
        <v>671</v>
      </c>
      <c r="C53" s="29">
        <v>27559</v>
      </c>
      <c r="D53" s="29">
        <v>3512</v>
      </c>
      <c r="E53" s="29">
        <v>1496</v>
      </c>
      <c r="F53" s="29">
        <v>18488</v>
      </c>
      <c r="G53" s="29">
        <v>14057</v>
      </c>
      <c r="H53" s="29">
        <v>11907</v>
      </c>
      <c r="I53" s="28" t="s">
        <v>14</v>
      </c>
      <c r="J53" s="29">
        <v>24159</v>
      </c>
      <c r="K53" s="29">
        <v>708</v>
      </c>
      <c r="L53" s="28" t="s">
        <v>14</v>
      </c>
      <c r="M53" s="29">
        <v>102556</v>
      </c>
    </row>
    <row r="54" spans="1:13">
      <c r="A54" s="268" t="s">
        <v>54</v>
      </c>
      <c r="B54" s="29">
        <v>671</v>
      </c>
      <c r="C54" s="29">
        <v>27559</v>
      </c>
      <c r="D54" s="29">
        <v>3512</v>
      </c>
      <c r="E54" s="29">
        <v>1496</v>
      </c>
      <c r="F54" s="29">
        <v>18488</v>
      </c>
      <c r="G54" s="29">
        <v>14057</v>
      </c>
      <c r="H54" s="29">
        <v>11907</v>
      </c>
      <c r="I54" s="28" t="s">
        <v>14</v>
      </c>
      <c r="J54" s="29">
        <v>24159</v>
      </c>
      <c r="K54" s="29">
        <v>708</v>
      </c>
      <c r="L54" s="28" t="s">
        <v>14</v>
      </c>
      <c r="M54" s="29">
        <v>102556</v>
      </c>
    </row>
    <row r="55" spans="1:13">
      <c r="A55" s="268"/>
      <c r="B55" s="29"/>
      <c r="C55" s="29"/>
      <c r="D55" s="29"/>
      <c r="E55" s="29"/>
      <c r="F55" s="29"/>
      <c r="G55" s="29"/>
      <c r="H55" s="29"/>
      <c r="I55" s="28"/>
      <c r="J55" s="29"/>
      <c r="K55" s="29"/>
      <c r="L55" s="28"/>
      <c r="M55" s="29"/>
    </row>
    <row r="56" spans="1:13">
      <c r="A56" s="268" t="s">
        <v>55</v>
      </c>
      <c r="B56" s="29">
        <v>42</v>
      </c>
      <c r="C56" s="29">
        <v>6284</v>
      </c>
      <c r="D56" s="29">
        <v>4828</v>
      </c>
      <c r="E56" s="29">
        <v>12199</v>
      </c>
      <c r="F56" s="29">
        <v>18575</v>
      </c>
      <c r="G56" s="29">
        <v>22428</v>
      </c>
      <c r="H56" s="29">
        <v>7066</v>
      </c>
      <c r="I56" s="29">
        <v>7679</v>
      </c>
      <c r="J56" s="29">
        <v>4058</v>
      </c>
      <c r="K56" s="29">
        <v>1116</v>
      </c>
      <c r="L56" s="28" t="s">
        <v>14</v>
      </c>
      <c r="M56" s="29">
        <v>84275</v>
      </c>
    </row>
    <row r="57" spans="1:13">
      <c r="A57" s="268" t="s">
        <v>56</v>
      </c>
      <c r="B57" s="29">
        <v>0</v>
      </c>
      <c r="C57" s="29">
        <v>0</v>
      </c>
      <c r="D57" s="29">
        <v>0</v>
      </c>
      <c r="E57" s="29">
        <v>0</v>
      </c>
      <c r="F57" s="29">
        <v>0</v>
      </c>
      <c r="G57" s="29">
        <v>0</v>
      </c>
      <c r="H57" s="29">
        <v>0</v>
      </c>
      <c r="I57" s="29">
        <v>0</v>
      </c>
      <c r="J57" s="29">
        <v>0</v>
      </c>
      <c r="K57" s="29">
        <v>0</v>
      </c>
      <c r="L57" s="29">
        <v>0</v>
      </c>
      <c r="M57" s="29">
        <v>0</v>
      </c>
    </row>
    <row r="58" spans="1:13">
      <c r="A58" s="268" t="s">
        <v>57</v>
      </c>
      <c r="B58" s="29">
        <v>9327</v>
      </c>
      <c r="C58" s="29">
        <v>1131</v>
      </c>
      <c r="D58" s="29">
        <v>259</v>
      </c>
      <c r="E58" s="29">
        <v>10</v>
      </c>
      <c r="F58" s="29">
        <v>496041</v>
      </c>
      <c r="G58" s="28" t="s">
        <v>14</v>
      </c>
      <c r="H58" s="29">
        <v>16679</v>
      </c>
      <c r="I58" s="29">
        <v>807</v>
      </c>
      <c r="J58" s="29">
        <v>-26504</v>
      </c>
      <c r="K58" s="29">
        <v>70374</v>
      </c>
      <c r="L58" s="29">
        <v>2515904</v>
      </c>
      <c r="M58" s="29">
        <v>3084027</v>
      </c>
    </row>
    <row r="59" spans="1:13">
      <c r="A59" s="268" t="s">
        <v>58</v>
      </c>
      <c r="B59" s="29">
        <v>1139322</v>
      </c>
      <c r="C59" s="29">
        <v>5681883</v>
      </c>
      <c r="D59" s="29">
        <v>1064701</v>
      </c>
      <c r="E59" s="29">
        <v>2477637</v>
      </c>
      <c r="F59" s="29">
        <v>3902352</v>
      </c>
      <c r="G59" s="29">
        <v>7935044</v>
      </c>
      <c r="H59" s="29">
        <v>6786756</v>
      </c>
      <c r="I59" s="29">
        <v>10246269</v>
      </c>
      <c r="J59" s="29">
        <v>2203528</v>
      </c>
      <c r="K59" s="29">
        <v>1757284</v>
      </c>
      <c r="L59" s="29">
        <v>4336012</v>
      </c>
      <c r="M59" s="29">
        <v>47530787</v>
      </c>
    </row>
    <row r="60" spans="1:13">
      <c r="A60" s="268" t="s">
        <v>59</v>
      </c>
      <c r="B60" s="29">
        <v>0</v>
      </c>
      <c r="C60" s="29">
        <v>0</v>
      </c>
      <c r="D60" s="29">
        <v>0</v>
      </c>
      <c r="E60" s="29">
        <v>1859</v>
      </c>
      <c r="F60" s="29">
        <v>46767</v>
      </c>
      <c r="G60" s="29">
        <v>0</v>
      </c>
      <c r="H60" s="29">
        <v>456</v>
      </c>
      <c r="I60" s="29">
        <v>250125</v>
      </c>
      <c r="J60" s="29">
        <v>0</v>
      </c>
      <c r="K60" s="29">
        <v>41</v>
      </c>
      <c r="L60" s="29">
        <v>2512161</v>
      </c>
      <c r="M60" s="29">
        <v>2811411</v>
      </c>
    </row>
    <row r="61" spans="1:13">
      <c r="A61" s="268" t="s">
        <v>60</v>
      </c>
      <c r="B61" s="29">
        <v>1139322</v>
      </c>
      <c r="C61" s="29">
        <v>5681883</v>
      </c>
      <c r="D61" s="29">
        <v>1064701</v>
      </c>
      <c r="E61" s="29">
        <v>2475778</v>
      </c>
      <c r="F61" s="29">
        <v>3855584</v>
      </c>
      <c r="G61" s="29">
        <v>7935044</v>
      </c>
      <c r="H61" s="29">
        <v>6786299</v>
      </c>
      <c r="I61" s="29">
        <v>9996144</v>
      </c>
      <c r="J61" s="29">
        <v>2203528</v>
      </c>
      <c r="K61" s="29">
        <v>1757242</v>
      </c>
      <c r="L61" s="29">
        <v>1823851</v>
      </c>
      <c r="M61" s="29">
        <v>44719376</v>
      </c>
    </row>
  </sheetData>
  <mergeCells count="2">
    <mergeCell ref="A1:M1"/>
    <mergeCell ref="A2:M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election activeCell="C23" sqref="C23"/>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sqref="A1:XFD1048576"/>
    </sheetView>
  </sheetViews>
  <sheetFormatPr defaultRowHeight="15"/>
  <cols>
    <col min="1" max="1" width="14.7109375" style="260" customWidth="1"/>
    <col min="2" max="12" width="10.85546875" style="260" customWidth="1"/>
    <col min="13" max="13" width="9.28515625" style="260" customWidth="1"/>
    <col min="14" max="256" width="9.140625" style="260"/>
    <col min="257" max="257" width="14.7109375" style="260" customWidth="1"/>
    <col min="258" max="268" width="10.85546875" style="260" customWidth="1"/>
    <col min="269" max="269" width="9.28515625" style="260" customWidth="1"/>
    <col min="270" max="512" width="9.140625" style="260"/>
    <col min="513" max="513" width="14.7109375" style="260" customWidth="1"/>
    <col min="514" max="524" width="10.85546875" style="260" customWidth="1"/>
    <col min="525" max="525" width="9.28515625" style="260" customWidth="1"/>
    <col min="526" max="768" width="9.140625" style="260"/>
    <col min="769" max="769" width="14.7109375" style="260" customWidth="1"/>
    <col min="770" max="780" width="10.85546875" style="260" customWidth="1"/>
    <col min="781" max="781" width="9.28515625" style="260" customWidth="1"/>
    <col min="782" max="1024" width="9.140625" style="260"/>
    <col min="1025" max="1025" width="14.7109375" style="260" customWidth="1"/>
    <col min="1026" max="1036" width="10.85546875" style="260" customWidth="1"/>
    <col min="1037" max="1037" width="9.28515625" style="260" customWidth="1"/>
    <col min="1038" max="1280" width="9.140625" style="260"/>
    <col min="1281" max="1281" width="14.7109375" style="260" customWidth="1"/>
    <col min="1282" max="1292" width="10.85546875" style="260" customWidth="1"/>
    <col min="1293" max="1293" width="9.28515625" style="260" customWidth="1"/>
    <col min="1294" max="1536" width="9.140625" style="260"/>
    <col min="1537" max="1537" width="14.7109375" style="260" customWidth="1"/>
    <col min="1538" max="1548" width="10.85546875" style="260" customWidth="1"/>
    <col min="1549" max="1549" width="9.28515625" style="260" customWidth="1"/>
    <col min="1550" max="1792" width="9.140625" style="260"/>
    <col min="1793" max="1793" width="14.7109375" style="260" customWidth="1"/>
    <col min="1794" max="1804" width="10.85546875" style="260" customWidth="1"/>
    <col min="1805" max="1805" width="9.28515625" style="260" customWidth="1"/>
    <col min="1806" max="2048" width="9.140625" style="260"/>
    <col min="2049" max="2049" width="14.7109375" style="260" customWidth="1"/>
    <col min="2050" max="2060" width="10.85546875" style="260" customWidth="1"/>
    <col min="2061" max="2061" width="9.28515625" style="260" customWidth="1"/>
    <col min="2062" max="2304" width="9.140625" style="260"/>
    <col min="2305" max="2305" width="14.7109375" style="260" customWidth="1"/>
    <col min="2306" max="2316" width="10.85546875" style="260" customWidth="1"/>
    <col min="2317" max="2317" width="9.28515625" style="260" customWidth="1"/>
    <col min="2318" max="2560" width="9.140625" style="260"/>
    <col min="2561" max="2561" width="14.7109375" style="260" customWidth="1"/>
    <col min="2562" max="2572" width="10.85546875" style="260" customWidth="1"/>
    <col min="2573" max="2573" width="9.28515625" style="260" customWidth="1"/>
    <col min="2574" max="2816" width="9.140625" style="260"/>
    <col min="2817" max="2817" width="14.7109375" style="260" customWidth="1"/>
    <col min="2818" max="2828" width="10.85546875" style="260" customWidth="1"/>
    <col min="2829" max="2829" width="9.28515625" style="260" customWidth="1"/>
    <col min="2830" max="3072" width="9.140625" style="260"/>
    <col min="3073" max="3073" width="14.7109375" style="260" customWidth="1"/>
    <col min="3074" max="3084" width="10.85546875" style="260" customWidth="1"/>
    <col min="3085" max="3085" width="9.28515625" style="260" customWidth="1"/>
    <col min="3086" max="3328" width="9.140625" style="260"/>
    <col min="3329" max="3329" width="14.7109375" style="260" customWidth="1"/>
    <col min="3330" max="3340" width="10.85546875" style="260" customWidth="1"/>
    <col min="3341" max="3341" width="9.28515625" style="260" customWidth="1"/>
    <col min="3342" max="3584" width="9.140625" style="260"/>
    <col min="3585" max="3585" width="14.7109375" style="260" customWidth="1"/>
    <col min="3586" max="3596" width="10.85546875" style="260" customWidth="1"/>
    <col min="3597" max="3597" width="9.28515625" style="260" customWidth="1"/>
    <col min="3598" max="3840" width="9.140625" style="260"/>
    <col min="3841" max="3841" width="14.7109375" style="260" customWidth="1"/>
    <col min="3842" max="3852" width="10.85546875" style="260" customWidth="1"/>
    <col min="3853" max="3853" width="9.28515625" style="260" customWidth="1"/>
    <col min="3854" max="4096" width="9.140625" style="260"/>
    <col min="4097" max="4097" width="14.7109375" style="260" customWidth="1"/>
    <col min="4098" max="4108" width="10.85546875" style="260" customWidth="1"/>
    <col min="4109" max="4109" width="9.28515625" style="260" customWidth="1"/>
    <col min="4110" max="4352" width="9.140625" style="260"/>
    <col min="4353" max="4353" width="14.7109375" style="260" customWidth="1"/>
    <col min="4354" max="4364" width="10.85546875" style="260" customWidth="1"/>
    <col min="4365" max="4365" width="9.28515625" style="260" customWidth="1"/>
    <col min="4366" max="4608" width="9.140625" style="260"/>
    <col min="4609" max="4609" width="14.7109375" style="260" customWidth="1"/>
    <col min="4610" max="4620" width="10.85546875" style="260" customWidth="1"/>
    <col min="4621" max="4621" width="9.28515625" style="260" customWidth="1"/>
    <col min="4622" max="4864" width="9.140625" style="260"/>
    <col min="4865" max="4865" width="14.7109375" style="260" customWidth="1"/>
    <col min="4866" max="4876" width="10.85546875" style="260" customWidth="1"/>
    <col min="4877" max="4877" width="9.28515625" style="260" customWidth="1"/>
    <col min="4878" max="5120" width="9.140625" style="260"/>
    <col min="5121" max="5121" width="14.7109375" style="260" customWidth="1"/>
    <col min="5122" max="5132" width="10.85546875" style="260" customWidth="1"/>
    <col min="5133" max="5133" width="9.28515625" style="260" customWidth="1"/>
    <col min="5134" max="5376" width="9.140625" style="260"/>
    <col min="5377" max="5377" width="14.7109375" style="260" customWidth="1"/>
    <col min="5378" max="5388" width="10.85546875" style="260" customWidth="1"/>
    <col min="5389" max="5389" width="9.28515625" style="260" customWidth="1"/>
    <col min="5390" max="5632" width="9.140625" style="260"/>
    <col min="5633" max="5633" width="14.7109375" style="260" customWidth="1"/>
    <col min="5634" max="5644" width="10.85546875" style="260" customWidth="1"/>
    <col min="5645" max="5645" width="9.28515625" style="260" customWidth="1"/>
    <col min="5646" max="5888" width="9.140625" style="260"/>
    <col min="5889" max="5889" width="14.7109375" style="260" customWidth="1"/>
    <col min="5890" max="5900" width="10.85546875" style="260" customWidth="1"/>
    <col min="5901" max="5901" width="9.28515625" style="260" customWidth="1"/>
    <col min="5902" max="6144" width="9.140625" style="260"/>
    <col min="6145" max="6145" width="14.7109375" style="260" customWidth="1"/>
    <col min="6146" max="6156" width="10.85546875" style="260" customWidth="1"/>
    <col min="6157" max="6157" width="9.28515625" style="260" customWidth="1"/>
    <col min="6158" max="6400" width="9.140625" style="260"/>
    <col min="6401" max="6401" width="14.7109375" style="260" customWidth="1"/>
    <col min="6402" max="6412" width="10.85546875" style="260" customWidth="1"/>
    <col min="6413" max="6413" width="9.28515625" style="260" customWidth="1"/>
    <col min="6414" max="6656" width="9.140625" style="260"/>
    <col min="6657" max="6657" width="14.7109375" style="260" customWidth="1"/>
    <col min="6658" max="6668" width="10.85546875" style="260" customWidth="1"/>
    <col min="6669" max="6669" width="9.28515625" style="260" customWidth="1"/>
    <col min="6670" max="6912" width="9.140625" style="260"/>
    <col min="6913" max="6913" width="14.7109375" style="260" customWidth="1"/>
    <col min="6914" max="6924" width="10.85546875" style="260" customWidth="1"/>
    <col min="6925" max="6925" width="9.28515625" style="260" customWidth="1"/>
    <col min="6926" max="7168" width="9.140625" style="260"/>
    <col min="7169" max="7169" width="14.7109375" style="260" customWidth="1"/>
    <col min="7170" max="7180" width="10.85546875" style="260" customWidth="1"/>
    <col min="7181" max="7181" width="9.28515625" style="260" customWidth="1"/>
    <col min="7182" max="7424" width="9.140625" style="260"/>
    <col min="7425" max="7425" width="14.7109375" style="260" customWidth="1"/>
    <col min="7426" max="7436" width="10.85546875" style="260" customWidth="1"/>
    <col min="7437" max="7437" width="9.28515625" style="260" customWidth="1"/>
    <col min="7438" max="7680" width="9.140625" style="260"/>
    <col min="7681" max="7681" width="14.7109375" style="260" customWidth="1"/>
    <col min="7682" max="7692" width="10.85546875" style="260" customWidth="1"/>
    <col min="7693" max="7693" width="9.28515625" style="260" customWidth="1"/>
    <col min="7694" max="7936" width="9.140625" style="260"/>
    <col min="7937" max="7937" width="14.7109375" style="260" customWidth="1"/>
    <col min="7938" max="7948" width="10.85546875" style="260" customWidth="1"/>
    <col min="7949" max="7949" width="9.28515625" style="260" customWidth="1"/>
    <col min="7950" max="8192" width="9.140625" style="260"/>
    <col min="8193" max="8193" width="14.7109375" style="260" customWidth="1"/>
    <col min="8194" max="8204" width="10.85546875" style="260" customWidth="1"/>
    <col min="8205" max="8205" width="9.28515625" style="260" customWidth="1"/>
    <col min="8206" max="8448" width="9.140625" style="260"/>
    <col min="8449" max="8449" width="14.7109375" style="260" customWidth="1"/>
    <col min="8450" max="8460" width="10.85546875" style="260" customWidth="1"/>
    <col min="8461" max="8461" width="9.28515625" style="260" customWidth="1"/>
    <col min="8462" max="8704" width="9.140625" style="260"/>
    <col min="8705" max="8705" width="14.7109375" style="260" customWidth="1"/>
    <col min="8706" max="8716" width="10.85546875" style="260" customWidth="1"/>
    <col min="8717" max="8717" width="9.28515625" style="260" customWidth="1"/>
    <col min="8718" max="8960" width="9.140625" style="260"/>
    <col min="8961" max="8961" width="14.7109375" style="260" customWidth="1"/>
    <col min="8962" max="8972" width="10.85546875" style="260" customWidth="1"/>
    <col min="8973" max="8973" width="9.28515625" style="260" customWidth="1"/>
    <col min="8974" max="9216" width="9.140625" style="260"/>
    <col min="9217" max="9217" width="14.7109375" style="260" customWidth="1"/>
    <col min="9218" max="9228" width="10.85546875" style="260" customWidth="1"/>
    <col min="9229" max="9229" width="9.28515625" style="260" customWidth="1"/>
    <col min="9230" max="9472" width="9.140625" style="260"/>
    <col min="9473" max="9473" width="14.7109375" style="260" customWidth="1"/>
    <col min="9474" max="9484" width="10.85546875" style="260" customWidth="1"/>
    <col min="9485" max="9485" width="9.28515625" style="260" customWidth="1"/>
    <col min="9486" max="9728" width="9.140625" style="260"/>
    <col min="9729" max="9729" width="14.7109375" style="260" customWidth="1"/>
    <col min="9730" max="9740" width="10.85546875" style="260" customWidth="1"/>
    <col min="9741" max="9741" width="9.28515625" style="260" customWidth="1"/>
    <col min="9742" max="9984" width="9.140625" style="260"/>
    <col min="9985" max="9985" width="14.7109375" style="260" customWidth="1"/>
    <col min="9986" max="9996" width="10.85546875" style="260" customWidth="1"/>
    <col min="9997" max="9997" width="9.28515625" style="260" customWidth="1"/>
    <col min="9998" max="10240" width="9.140625" style="260"/>
    <col min="10241" max="10241" width="14.7109375" style="260" customWidth="1"/>
    <col min="10242" max="10252" width="10.85546875" style="260" customWidth="1"/>
    <col min="10253" max="10253" width="9.28515625" style="260" customWidth="1"/>
    <col min="10254" max="10496" width="9.140625" style="260"/>
    <col min="10497" max="10497" width="14.7109375" style="260" customWidth="1"/>
    <col min="10498" max="10508" width="10.85546875" style="260" customWidth="1"/>
    <col min="10509" max="10509" width="9.28515625" style="260" customWidth="1"/>
    <col min="10510" max="10752" width="9.140625" style="260"/>
    <col min="10753" max="10753" width="14.7109375" style="260" customWidth="1"/>
    <col min="10754" max="10764" width="10.85546875" style="260" customWidth="1"/>
    <col min="10765" max="10765" width="9.28515625" style="260" customWidth="1"/>
    <col min="10766" max="11008" width="9.140625" style="260"/>
    <col min="11009" max="11009" width="14.7109375" style="260" customWidth="1"/>
    <col min="11010" max="11020" width="10.85546875" style="260" customWidth="1"/>
    <col min="11021" max="11021" width="9.28515625" style="260" customWidth="1"/>
    <col min="11022" max="11264" width="9.140625" style="260"/>
    <col min="11265" max="11265" width="14.7109375" style="260" customWidth="1"/>
    <col min="11266" max="11276" width="10.85546875" style="260" customWidth="1"/>
    <col min="11277" max="11277" width="9.28515625" style="260" customWidth="1"/>
    <col min="11278" max="11520" width="9.140625" style="260"/>
    <col min="11521" max="11521" width="14.7109375" style="260" customWidth="1"/>
    <col min="11522" max="11532" width="10.85546875" style="260" customWidth="1"/>
    <col min="11533" max="11533" width="9.28515625" style="260" customWidth="1"/>
    <col min="11534" max="11776" width="9.140625" style="260"/>
    <col min="11777" max="11777" width="14.7109375" style="260" customWidth="1"/>
    <col min="11778" max="11788" width="10.85546875" style="260" customWidth="1"/>
    <col min="11789" max="11789" width="9.28515625" style="260" customWidth="1"/>
    <col min="11790" max="12032" width="9.140625" style="260"/>
    <col min="12033" max="12033" width="14.7109375" style="260" customWidth="1"/>
    <col min="12034" max="12044" width="10.85546875" style="260" customWidth="1"/>
    <col min="12045" max="12045" width="9.28515625" style="260" customWidth="1"/>
    <col min="12046" max="12288" width="9.140625" style="260"/>
    <col min="12289" max="12289" width="14.7109375" style="260" customWidth="1"/>
    <col min="12290" max="12300" width="10.85546875" style="260" customWidth="1"/>
    <col min="12301" max="12301" width="9.28515625" style="260" customWidth="1"/>
    <col min="12302" max="12544" width="9.140625" style="260"/>
    <col min="12545" max="12545" width="14.7109375" style="260" customWidth="1"/>
    <col min="12546" max="12556" width="10.85546875" style="260" customWidth="1"/>
    <col min="12557" max="12557" width="9.28515625" style="260" customWidth="1"/>
    <col min="12558" max="12800" width="9.140625" style="260"/>
    <col min="12801" max="12801" width="14.7109375" style="260" customWidth="1"/>
    <col min="12802" max="12812" width="10.85546875" style="260" customWidth="1"/>
    <col min="12813" max="12813" width="9.28515625" style="260" customWidth="1"/>
    <col min="12814" max="13056" width="9.140625" style="260"/>
    <col min="13057" max="13057" width="14.7109375" style="260" customWidth="1"/>
    <col min="13058" max="13068" width="10.85546875" style="260" customWidth="1"/>
    <col min="13069" max="13069" width="9.28515625" style="260" customWidth="1"/>
    <col min="13070" max="13312" width="9.140625" style="260"/>
    <col min="13313" max="13313" width="14.7109375" style="260" customWidth="1"/>
    <col min="13314" max="13324" width="10.85546875" style="260" customWidth="1"/>
    <col min="13325" max="13325" width="9.28515625" style="260" customWidth="1"/>
    <col min="13326" max="13568" width="9.140625" style="260"/>
    <col min="13569" max="13569" width="14.7109375" style="260" customWidth="1"/>
    <col min="13570" max="13580" width="10.85546875" style="260" customWidth="1"/>
    <col min="13581" max="13581" width="9.28515625" style="260" customWidth="1"/>
    <col min="13582" max="13824" width="9.140625" style="260"/>
    <col min="13825" max="13825" width="14.7109375" style="260" customWidth="1"/>
    <col min="13826" max="13836" width="10.85546875" style="260" customWidth="1"/>
    <col min="13837" max="13837" width="9.28515625" style="260" customWidth="1"/>
    <col min="13838" max="14080" width="9.140625" style="260"/>
    <col min="14081" max="14081" width="14.7109375" style="260" customWidth="1"/>
    <col min="14082" max="14092" width="10.85546875" style="260" customWidth="1"/>
    <col min="14093" max="14093" width="9.28515625" style="260" customWidth="1"/>
    <col min="14094" max="14336" width="9.140625" style="260"/>
    <col min="14337" max="14337" width="14.7109375" style="260" customWidth="1"/>
    <col min="14338" max="14348" width="10.85546875" style="260" customWidth="1"/>
    <col min="14349" max="14349" width="9.28515625" style="260" customWidth="1"/>
    <col min="14350" max="14592" width="9.140625" style="260"/>
    <col min="14593" max="14593" width="14.7109375" style="260" customWidth="1"/>
    <col min="14594" max="14604" width="10.85546875" style="260" customWidth="1"/>
    <col min="14605" max="14605" width="9.28515625" style="260" customWidth="1"/>
    <col min="14606" max="14848" width="9.140625" style="260"/>
    <col min="14849" max="14849" width="14.7109375" style="260" customWidth="1"/>
    <col min="14850" max="14860" width="10.85546875" style="260" customWidth="1"/>
    <col min="14861" max="14861" width="9.28515625" style="260" customWidth="1"/>
    <col min="14862" max="15104" width="9.140625" style="260"/>
    <col min="15105" max="15105" width="14.7109375" style="260" customWidth="1"/>
    <col min="15106" max="15116" width="10.85546875" style="260" customWidth="1"/>
    <col min="15117" max="15117" width="9.28515625" style="260" customWidth="1"/>
    <col min="15118" max="15360" width="9.140625" style="260"/>
    <col min="15361" max="15361" width="14.7109375" style="260" customWidth="1"/>
    <col min="15362" max="15372" width="10.85546875" style="260" customWidth="1"/>
    <col min="15373" max="15373" width="9.28515625" style="260" customWidth="1"/>
    <col min="15374" max="15616" width="9.140625" style="260"/>
    <col min="15617" max="15617" width="14.7109375" style="260" customWidth="1"/>
    <col min="15618" max="15628" width="10.85546875" style="260" customWidth="1"/>
    <col min="15629" max="15629" width="9.28515625" style="260" customWidth="1"/>
    <col min="15630" max="15872" width="9.140625" style="260"/>
    <col min="15873" max="15873" width="14.7109375" style="260" customWidth="1"/>
    <col min="15874" max="15884" width="10.85546875" style="260" customWidth="1"/>
    <col min="15885" max="15885" width="9.28515625" style="260" customWidth="1"/>
    <col min="15886" max="16128" width="9.140625" style="260"/>
    <col min="16129" max="16129" width="14.7109375" style="260" customWidth="1"/>
    <col min="16130" max="16140" width="10.85546875" style="260" customWidth="1"/>
    <col min="16141" max="16141" width="9.28515625" style="260" customWidth="1"/>
    <col min="16142" max="16384" width="9.140625" style="260"/>
  </cols>
  <sheetData>
    <row r="1" spans="1:13">
      <c r="A1" s="270" t="s">
        <v>319</v>
      </c>
      <c r="B1" s="271"/>
      <c r="C1" s="271"/>
      <c r="D1" s="271"/>
      <c r="E1" s="271"/>
      <c r="F1" s="271"/>
      <c r="G1" s="271"/>
      <c r="H1" s="271"/>
      <c r="I1" s="271"/>
      <c r="J1" s="271"/>
      <c r="K1" s="271"/>
      <c r="L1" s="271"/>
      <c r="M1" s="271"/>
    </row>
    <row r="2" spans="1:13">
      <c r="A2" s="270" t="s">
        <v>320</v>
      </c>
      <c r="B2" s="271"/>
      <c r="C2" s="271"/>
      <c r="D2" s="271"/>
      <c r="E2" s="271"/>
      <c r="F2" s="271"/>
      <c r="G2" s="271"/>
      <c r="H2" s="271"/>
      <c r="I2" s="271"/>
      <c r="J2" s="271"/>
      <c r="K2" s="271"/>
      <c r="L2" s="271"/>
      <c r="M2" s="271"/>
    </row>
    <row r="3" spans="1:13">
      <c r="A3" s="261" t="s">
        <v>0</v>
      </c>
      <c r="B3" s="261" t="s">
        <v>1</v>
      </c>
      <c r="C3" s="261" t="s">
        <v>2</v>
      </c>
      <c r="D3" s="261" t="s">
        <v>3</v>
      </c>
      <c r="E3" s="261" t="s">
        <v>4</v>
      </c>
      <c r="F3" s="261" t="s">
        <v>5</v>
      </c>
      <c r="G3" s="261" t="s">
        <v>6</v>
      </c>
      <c r="H3" s="261" t="s">
        <v>7</v>
      </c>
      <c r="I3" s="261" t="s">
        <v>8</v>
      </c>
      <c r="J3" s="261" t="s">
        <v>9</v>
      </c>
      <c r="K3" s="261" t="s">
        <v>10</v>
      </c>
      <c r="L3" s="261" t="s">
        <v>11</v>
      </c>
      <c r="M3" s="261" t="s">
        <v>12</v>
      </c>
    </row>
    <row r="4" spans="1:13">
      <c r="A4" s="261" t="s">
        <v>13</v>
      </c>
      <c r="B4" s="29">
        <v>688500</v>
      </c>
      <c r="C4" s="29">
        <v>2297043</v>
      </c>
      <c r="D4" s="29">
        <v>448242</v>
      </c>
      <c r="E4" s="29">
        <v>1046274</v>
      </c>
      <c r="F4" s="29">
        <v>1341275</v>
      </c>
      <c r="G4" s="29">
        <v>2590571</v>
      </c>
      <c r="H4" s="29">
        <v>2794851</v>
      </c>
      <c r="I4" s="29">
        <v>5776</v>
      </c>
      <c r="J4" s="29">
        <v>410444</v>
      </c>
      <c r="K4" s="29">
        <v>957971</v>
      </c>
      <c r="L4" s="28" t="s">
        <v>14</v>
      </c>
      <c r="M4" s="29">
        <v>12580949</v>
      </c>
    </row>
    <row r="5" spans="1:13">
      <c r="A5" s="261" t="s">
        <v>15</v>
      </c>
      <c r="B5" s="29">
        <v>259073</v>
      </c>
      <c r="C5" s="29">
        <v>857144</v>
      </c>
      <c r="D5" s="29">
        <v>166014</v>
      </c>
      <c r="E5" s="29">
        <v>394567</v>
      </c>
      <c r="F5" s="29">
        <v>504493</v>
      </c>
      <c r="G5" s="29">
        <v>1225778</v>
      </c>
      <c r="H5" s="29">
        <v>1138499</v>
      </c>
      <c r="I5" s="29">
        <v>2181</v>
      </c>
      <c r="J5" s="29">
        <v>155368</v>
      </c>
      <c r="K5" s="29">
        <v>299935</v>
      </c>
      <c r="L5" s="28" t="s">
        <v>14</v>
      </c>
      <c r="M5" s="29">
        <v>5003053</v>
      </c>
    </row>
    <row r="6" spans="1:13">
      <c r="A6" s="261" t="s">
        <v>16</v>
      </c>
      <c r="B6" s="29">
        <v>19315</v>
      </c>
      <c r="C6" s="29">
        <v>125650</v>
      </c>
      <c r="D6" s="29">
        <v>21470</v>
      </c>
      <c r="E6" s="29">
        <v>47784</v>
      </c>
      <c r="F6" s="29">
        <v>62133</v>
      </c>
      <c r="G6" s="29">
        <v>97679</v>
      </c>
      <c r="H6" s="29">
        <v>107057</v>
      </c>
      <c r="I6" s="29">
        <v>310</v>
      </c>
      <c r="J6" s="29">
        <v>13519</v>
      </c>
      <c r="K6" s="29">
        <v>13197</v>
      </c>
      <c r="L6" s="28" t="s">
        <v>14</v>
      </c>
      <c r="M6" s="29">
        <v>508114</v>
      </c>
    </row>
    <row r="7" spans="1:13">
      <c r="A7" s="261" t="s">
        <v>17</v>
      </c>
      <c r="B7" s="29">
        <v>78734</v>
      </c>
      <c r="C7" s="29">
        <v>170455</v>
      </c>
      <c r="D7" s="29">
        <v>47316</v>
      </c>
      <c r="E7" s="29">
        <v>125360</v>
      </c>
      <c r="F7" s="29">
        <v>109389</v>
      </c>
      <c r="G7" s="29">
        <v>465060</v>
      </c>
      <c r="H7" s="29">
        <v>317906</v>
      </c>
      <c r="I7" s="29">
        <v>274</v>
      </c>
      <c r="J7" s="29">
        <v>33515</v>
      </c>
      <c r="K7" s="29">
        <v>88113</v>
      </c>
      <c r="L7" s="28" t="s">
        <v>14</v>
      </c>
      <c r="M7" s="29">
        <v>1436123</v>
      </c>
    </row>
    <row r="8" spans="1:13">
      <c r="A8" s="261" t="s">
        <v>18</v>
      </c>
      <c r="B8" s="29">
        <v>32303</v>
      </c>
      <c r="C8" s="29">
        <v>182747</v>
      </c>
      <c r="D8" s="29">
        <v>54596</v>
      </c>
      <c r="E8" s="29">
        <v>89003</v>
      </c>
      <c r="F8" s="29">
        <v>100085</v>
      </c>
      <c r="G8" s="29">
        <v>186434</v>
      </c>
      <c r="H8" s="29">
        <v>198883</v>
      </c>
      <c r="I8" s="29">
        <v>426</v>
      </c>
      <c r="J8" s="29">
        <v>32682</v>
      </c>
      <c r="K8" s="29">
        <v>58805</v>
      </c>
      <c r="L8" s="28" t="s">
        <v>14</v>
      </c>
      <c r="M8" s="29">
        <v>935964</v>
      </c>
    </row>
    <row r="9" spans="1:13">
      <c r="A9" s="261" t="s">
        <v>19</v>
      </c>
      <c r="B9" s="28" t="s">
        <v>14</v>
      </c>
      <c r="C9" s="28" t="s">
        <v>14</v>
      </c>
      <c r="D9" s="28" t="s">
        <v>14</v>
      </c>
      <c r="E9" s="28" t="s">
        <v>14</v>
      </c>
      <c r="F9" s="28" t="s">
        <v>14</v>
      </c>
      <c r="G9" s="28" t="s">
        <v>14</v>
      </c>
      <c r="H9" s="28" t="s">
        <v>14</v>
      </c>
      <c r="I9" s="28" t="s">
        <v>14</v>
      </c>
      <c r="J9" s="28" t="s">
        <v>14</v>
      </c>
      <c r="K9" s="28" t="s">
        <v>14</v>
      </c>
      <c r="L9" s="29">
        <v>1563992</v>
      </c>
      <c r="M9" s="29">
        <v>1563992</v>
      </c>
    </row>
    <row r="10" spans="1:13">
      <c r="A10" s="261"/>
      <c r="B10" s="28"/>
      <c r="C10" s="28"/>
      <c r="D10" s="28"/>
      <c r="E10" s="28"/>
      <c r="F10" s="28"/>
      <c r="G10" s="28"/>
      <c r="H10" s="28"/>
      <c r="I10" s="28"/>
      <c r="J10" s="28"/>
      <c r="K10" s="28"/>
      <c r="L10" s="29"/>
      <c r="M10" s="29"/>
    </row>
    <row r="11" spans="1:13">
      <c r="A11" s="261" t="s">
        <v>20</v>
      </c>
      <c r="B11" s="28" t="s">
        <v>14</v>
      </c>
      <c r="C11" s="28" t="s">
        <v>14</v>
      </c>
      <c r="D11" s="28" t="s">
        <v>14</v>
      </c>
      <c r="E11" s="28" t="s">
        <v>14</v>
      </c>
      <c r="F11" s="29">
        <v>5375</v>
      </c>
      <c r="G11" s="29">
        <v>1037286</v>
      </c>
      <c r="H11" s="29">
        <v>394337</v>
      </c>
      <c r="I11" s="28" t="s">
        <v>14</v>
      </c>
      <c r="J11" s="28" t="s">
        <v>14</v>
      </c>
      <c r="K11" s="28" t="s">
        <v>14</v>
      </c>
      <c r="L11" s="28" t="s">
        <v>14</v>
      </c>
      <c r="M11" s="29">
        <v>1436998</v>
      </c>
    </row>
    <row r="12" spans="1:13">
      <c r="A12" s="261" t="s">
        <v>21</v>
      </c>
      <c r="B12" s="29">
        <v>0</v>
      </c>
      <c r="C12" s="29">
        <v>74</v>
      </c>
      <c r="D12" s="29">
        <v>2623</v>
      </c>
      <c r="E12" s="29">
        <v>2502</v>
      </c>
      <c r="F12" s="29">
        <v>1202</v>
      </c>
      <c r="G12" s="29">
        <v>11663</v>
      </c>
      <c r="H12" s="29">
        <v>71264</v>
      </c>
      <c r="I12" s="29">
        <v>11</v>
      </c>
      <c r="J12" s="29">
        <v>418</v>
      </c>
      <c r="K12" s="28" t="s">
        <v>14</v>
      </c>
      <c r="L12" s="28" t="s">
        <v>14</v>
      </c>
      <c r="M12" s="29">
        <v>89756</v>
      </c>
    </row>
    <row r="13" spans="1:13">
      <c r="A13" s="261" t="s">
        <v>22</v>
      </c>
      <c r="B13" s="29">
        <v>883</v>
      </c>
      <c r="C13" s="29">
        <v>27963</v>
      </c>
      <c r="D13" s="29">
        <v>3827</v>
      </c>
      <c r="E13" s="29">
        <v>28375</v>
      </c>
      <c r="F13" s="29">
        <v>15839</v>
      </c>
      <c r="G13" s="29">
        <v>90672</v>
      </c>
      <c r="H13" s="29">
        <v>99463</v>
      </c>
      <c r="I13" s="29">
        <v>151</v>
      </c>
      <c r="J13" s="29">
        <v>35</v>
      </c>
      <c r="K13" s="29">
        <v>727</v>
      </c>
      <c r="L13" s="28" t="s">
        <v>14</v>
      </c>
      <c r="M13" s="29">
        <v>267934</v>
      </c>
    </row>
    <row r="14" spans="1:13">
      <c r="A14" s="261" t="s">
        <v>23</v>
      </c>
      <c r="B14" s="29">
        <v>3231</v>
      </c>
      <c r="C14" s="29">
        <v>210830</v>
      </c>
      <c r="D14" s="29">
        <v>8396</v>
      </c>
      <c r="E14" s="29">
        <v>23038</v>
      </c>
      <c r="F14" s="29">
        <v>22973</v>
      </c>
      <c r="G14" s="29">
        <v>167570</v>
      </c>
      <c r="H14" s="29">
        <v>99484</v>
      </c>
      <c r="I14" s="29">
        <v>164</v>
      </c>
      <c r="J14" s="29">
        <v>41543</v>
      </c>
      <c r="K14" s="29">
        <v>87843</v>
      </c>
      <c r="L14" s="28" t="s">
        <v>14</v>
      </c>
      <c r="M14" s="29">
        <v>665072</v>
      </c>
    </row>
    <row r="15" spans="1:13">
      <c r="A15" s="261" t="s">
        <v>24</v>
      </c>
      <c r="B15" s="29">
        <v>121</v>
      </c>
      <c r="C15" s="29">
        <v>97</v>
      </c>
      <c r="D15" s="29">
        <v>10</v>
      </c>
      <c r="E15" s="28" t="s">
        <v>14</v>
      </c>
      <c r="F15" s="29">
        <v>13</v>
      </c>
      <c r="G15" s="29">
        <v>158</v>
      </c>
      <c r="H15" s="29">
        <v>785</v>
      </c>
      <c r="I15" s="28" t="s">
        <v>14</v>
      </c>
      <c r="J15" s="29">
        <v>10</v>
      </c>
      <c r="K15" s="29">
        <v>127</v>
      </c>
      <c r="L15" s="28" t="s">
        <v>14</v>
      </c>
      <c r="M15" s="29">
        <v>1319</v>
      </c>
    </row>
    <row r="16" spans="1:13">
      <c r="A16" s="261" t="s">
        <v>25</v>
      </c>
      <c r="B16" s="29">
        <v>3509</v>
      </c>
      <c r="C16" s="29">
        <v>2780</v>
      </c>
      <c r="D16" s="29">
        <v>996</v>
      </c>
      <c r="E16" s="29">
        <v>1784</v>
      </c>
      <c r="F16" s="29">
        <v>2187</v>
      </c>
      <c r="G16" s="29">
        <v>2243</v>
      </c>
      <c r="H16" s="29">
        <v>7947</v>
      </c>
      <c r="I16" s="28" t="s">
        <v>14</v>
      </c>
      <c r="J16" s="29">
        <v>841</v>
      </c>
      <c r="K16" s="29">
        <v>8092</v>
      </c>
      <c r="L16" s="28" t="s">
        <v>14</v>
      </c>
      <c r="M16" s="29">
        <v>30379</v>
      </c>
    </row>
    <row r="17" spans="1:13">
      <c r="A17" s="261" t="s">
        <v>26</v>
      </c>
      <c r="B17" s="29">
        <v>30573</v>
      </c>
      <c r="C17" s="29">
        <v>142254</v>
      </c>
      <c r="D17" s="29">
        <v>5849</v>
      </c>
      <c r="E17" s="29">
        <v>25350</v>
      </c>
      <c r="F17" s="29">
        <v>93024</v>
      </c>
      <c r="G17" s="29">
        <v>3646</v>
      </c>
      <c r="H17" s="29">
        <v>108936</v>
      </c>
      <c r="I17" s="29">
        <v>123</v>
      </c>
      <c r="J17" s="29">
        <v>4496</v>
      </c>
      <c r="K17" s="29">
        <v>83902</v>
      </c>
      <c r="L17" s="28" t="s">
        <v>14</v>
      </c>
      <c r="M17" s="29">
        <v>498153</v>
      </c>
    </row>
    <row r="18" spans="1:13">
      <c r="A18" s="261"/>
      <c r="B18" s="29"/>
      <c r="C18" s="29"/>
      <c r="D18" s="29"/>
      <c r="E18" s="29"/>
      <c r="F18" s="29"/>
      <c r="G18" s="29"/>
      <c r="H18" s="29"/>
      <c r="I18" s="29"/>
      <c r="J18" s="29"/>
      <c r="K18" s="29"/>
      <c r="L18" s="28"/>
      <c r="M18" s="29"/>
    </row>
    <row r="19" spans="1:13">
      <c r="A19" s="261" t="s">
        <v>27</v>
      </c>
      <c r="B19" s="29">
        <v>68</v>
      </c>
      <c r="C19" s="29">
        <v>82</v>
      </c>
      <c r="D19" s="28" t="s">
        <v>14</v>
      </c>
      <c r="E19" s="28" t="s">
        <v>14</v>
      </c>
      <c r="F19" s="29">
        <v>336</v>
      </c>
      <c r="G19" s="29">
        <v>7</v>
      </c>
      <c r="H19" s="29">
        <v>87</v>
      </c>
      <c r="I19" s="28" t="s">
        <v>14</v>
      </c>
      <c r="J19" s="28" t="s">
        <v>14</v>
      </c>
      <c r="K19" s="29">
        <v>177</v>
      </c>
      <c r="L19" s="28" t="s">
        <v>14</v>
      </c>
      <c r="M19" s="29">
        <v>757</v>
      </c>
    </row>
    <row r="20" spans="1:13">
      <c r="A20" s="261" t="s">
        <v>28</v>
      </c>
      <c r="B20" s="29">
        <v>4170</v>
      </c>
      <c r="C20" s="28" t="s">
        <v>14</v>
      </c>
      <c r="D20" s="29">
        <v>719</v>
      </c>
      <c r="E20" s="29">
        <v>821</v>
      </c>
      <c r="F20" s="29">
        <v>8505</v>
      </c>
      <c r="G20" s="29">
        <v>0</v>
      </c>
      <c r="H20" s="29">
        <v>586</v>
      </c>
      <c r="I20" s="28" t="s">
        <v>14</v>
      </c>
      <c r="J20" s="29">
        <v>62</v>
      </c>
      <c r="K20" s="29">
        <v>292</v>
      </c>
      <c r="L20" s="28" t="s">
        <v>14</v>
      </c>
      <c r="M20" s="29">
        <v>15155</v>
      </c>
    </row>
    <row r="21" spans="1:13">
      <c r="A21" s="261" t="s">
        <v>29</v>
      </c>
      <c r="B21" s="29">
        <v>3700</v>
      </c>
      <c r="C21" s="29">
        <v>3537</v>
      </c>
      <c r="D21" s="29">
        <v>979</v>
      </c>
      <c r="E21" s="29">
        <v>1890</v>
      </c>
      <c r="F21" s="29">
        <v>2803</v>
      </c>
      <c r="G21" s="29">
        <v>11946</v>
      </c>
      <c r="H21" s="29">
        <v>5889</v>
      </c>
      <c r="I21" s="28" t="s">
        <v>14</v>
      </c>
      <c r="J21" s="29">
        <v>1154</v>
      </c>
      <c r="K21" s="29">
        <v>2195</v>
      </c>
      <c r="L21" s="28" t="s">
        <v>14</v>
      </c>
      <c r="M21" s="29">
        <v>34093</v>
      </c>
    </row>
    <row r="22" spans="1:13">
      <c r="A22" s="261" t="s">
        <v>30</v>
      </c>
      <c r="B22" s="29">
        <v>1090</v>
      </c>
      <c r="C22" s="29">
        <v>18635</v>
      </c>
      <c r="D22" s="28" t="s">
        <v>14</v>
      </c>
      <c r="E22" s="29">
        <v>2</v>
      </c>
      <c r="F22" s="29">
        <v>183</v>
      </c>
      <c r="G22" s="29">
        <v>1412</v>
      </c>
      <c r="H22" s="29">
        <v>20570</v>
      </c>
      <c r="I22" s="28" t="s">
        <v>14</v>
      </c>
      <c r="J22" s="29">
        <v>183</v>
      </c>
      <c r="K22" s="28" t="s">
        <v>14</v>
      </c>
      <c r="L22" s="28" t="s">
        <v>14</v>
      </c>
      <c r="M22" s="29">
        <v>42075</v>
      </c>
    </row>
    <row r="23" spans="1:13">
      <c r="A23" s="261" t="s">
        <v>315</v>
      </c>
      <c r="B23" s="28" t="s">
        <v>14</v>
      </c>
      <c r="C23" s="28" t="s">
        <v>14</v>
      </c>
      <c r="D23" s="28" t="s">
        <v>14</v>
      </c>
      <c r="E23" s="28" t="s">
        <v>14</v>
      </c>
      <c r="F23" s="29">
        <v>0</v>
      </c>
      <c r="G23" s="28" t="s">
        <v>14</v>
      </c>
      <c r="H23" s="28" t="s">
        <v>14</v>
      </c>
      <c r="I23" s="28" t="s">
        <v>14</v>
      </c>
      <c r="J23" s="28" t="s">
        <v>14</v>
      </c>
      <c r="K23" s="28" t="s">
        <v>14</v>
      </c>
      <c r="L23" s="28" t="s">
        <v>14</v>
      </c>
      <c r="M23" s="29">
        <v>0</v>
      </c>
    </row>
    <row r="24" spans="1:13">
      <c r="A24" s="261"/>
      <c r="B24" s="28"/>
      <c r="C24" s="28"/>
      <c r="D24" s="28"/>
      <c r="E24" s="28"/>
      <c r="F24" s="29"/>
      <c r="G24" s="28"/>
      <c r="H24" s="28"/>
      <c r="I24" s="28"/>
      <c r="J24" s="28"/>
      <c r="K24" s="28"/>
      <c r="L24" s="28"/>
      <c r="M24" s="29"/>
    </row>
    <row r="25" spans="1:13">
      <c r="A25" s="261" t="s">
        <v>31</v>
      </c>
      <c r="B25" s="28" t="s">
        <v>14</v>
      </c>
      <c r="C25" s="29">
        <v>29</v>
      </c>
      <c r="D25" s="28" t="s">
        <v>14</v>
      </c>
      <c r="E25" s="28" t="s">
        <v>14</v>
      </c>
      <c r="F25" s="29">
        <v>90</v>
      </c>
      <c r="G25" s="29">
        <v>3</v>
      </c>
      <c r="H25" s="29">
        <v>22182</v>
      </c>
      <c r="I25" s="28" t="s">
        <v>14</v>
      </c>
      <c r="J25" s="28" t="s">
        <v>14</v>
      </c>
      <c r="K25" s="28" t="s">
        <v>14</v>
      </c>
      <c r="L25" s="28" t="s">
        <v>14</v>
      </c>
      <c r="M25" s="29">
        <v>22304</v>
      </c>
    </row>
    <row r="26" spans="1:13">
      <c r="A26" s="261" t="s">
        <v>33</v>
      </c>
      <c r="B26" s="28" t="s">
        <v>14</v>
      </c>
      <c r="C26" s="28" t="s">
        <v>14</v>
      </c>
      <c r="D26" s="28" t="s">
        <v>14</v>
      </c>
      <c r="E26" s="28" t="s">
        <v>14</v>
      </c>
      <c r="F26" s="28" t="s">
        <v>14</v>
      </c>
      <c r="G26" s="28" t="s">
        <v>14</v>
      </c>
      <c r="H26" s="28" t="s">
        <v>14</v>
      </c>
      <c r="I26" s="28" t="s">
        <v>14</v>
      </c>
      <c r="J26" s="29">
        <v>424698</v>
      </c>
      <c r="K26" s="28" t="s">
        <v>14</v>
      </c>
      <c r="L26" s="28" t="s">
        <v>14</v>
      </c>
      <c r="M26" s="29">
        <v>424698</v>
      </c>
    </row>
    <row r="27" spans="1:13">
      <c r="A27" s="261" t="s">
        <v>34</v>
      </c>
      <c r="B27" s="28" t="s">
        <v>14</v>
      </c>
      <c r="C27" s="28" t="s">
        <v>14</v>
      </c>
      <c r="D27" s="28" t="s">
        <v>14</v>
      </c>
      <c r="E27" s="28" t="s">
        <v>14</v>
      </c>
      <c r="F27" s="28" t="s">
        <v>14</v>
      </c>
      <c r="G27" s="28" t="s">
        <v>14</v>
      </c>
      <c r="H27" s="28" t="s">
        <v>14</v>
      </c>
      <c r="I27" s="28" t="s">
        <v>14</v>
      </c>
      <c r="J27" s="29">
        <v>378075</v>
      </c>
      <c r="K27" s="28" t="s">
        <v>14</v>
      </c>
      <c r="L27" s="28" t="s">
        <v>14</v>
      </c>
      <c r="M27" s="29">
        <v>378075</v>
      </c>
    </row>
    <row r="28" spans="1:13">
      <c r="A28" s="261" t="s">
        <v>35</v>
      </c>
      <c r="B28" s="29">
        <v>-15948</v>
      </c>
      <c r="C28" s="29">
        <v>83821</v>
      </c>
      <c r="D28" s="29">
        <v>477406</v>
      </c>
      <c r="E28" s="29">
        <v>237020</v>
      </c>
      <c r="F28" s="29">
        <v>275336</v>
      </c>
      <c r="G28" s="29">
        <v>106268</v>
      </c>
      <c r="H28" s="29">
        <v>27228</v>
      </c>
      <c r="I28" s="29">
        <v>3363</v>
      </c>
      <c r="J28" s="29">
        <v>944</v>
      </c>
      <c r="K28" s="29">
        <v>5846</v>
      </c>
      <c r="L28" s="28" t="s">
        <v>14</v>
      </c>
      <c r="M28" s="29">
        <v>1201284</v>
      </c>
    </row>
    <row r="29" spans="1:13">
      <c r="A29" s="261" t="s">
        <v>36</v>
      </c>
      <c r="B29" s="29">
        <v>4467</v>
      </c>
      <c r="C29" s="29">
        <v>106748</v>
      </c>
      <c r="D29" s="29">
        <v>44333</v>
      </c>
      <c r="E29" s="29">
        <v>20666</v>
      </c>
      <c r="F29" s="29">
        <v>175269</v>
      </c>
      <c r="G29" s="29">
        <v>25213</v>
      </c>
      <c r="H29" s="29">
        <v>17543</v>
      </c>
      <c r="I29" s="28" t="s">
        <v>14</v>
      </c>
      <c r="J29" s="29">
        <v>58706</v>
      </c>
      <c r="K29" s="29">
        <v>9965</v>
      </c>
      <c r="L29" s="28" t="s">
        <v>14</v>
      </c>
      <c r="M29" s="29">
        <v>462909</v>
      </c>
    </row>
    <row r="30" spans="1:13">
      <c r="A30" s="261"/>
      <c r="B30" s="29"/>
      <c r="C30" s="29"/>
      <c r="D30" s="29"/>
      <c r="E30" s="29"/>
      <c r="F30" s="29"/>
      <c r="G30" s="29"/>
      <c r="H30" s="29"/>
      <c r="I30" s="28"/>
      <c r="J30" s="29"/>
      <c r="K30" s="29"/>
      <c r="L30" s="28"/>
      <c r="M30" s="29"/>
    </row>
    <row r="31" spans="1:13">
      <c r="A31" s="261" t="s">
        <v>37</v>
      </c>
      <c r="B31" s="28" t="s">
        <v>14</v>
      </c>
      <c r="C31" s="29">
        <v>0</v>
      </c>
      <c r="D31" s="28" t="s">
        <v>14</v>
      </c>
      <c r="E31" s="28" t="s">
        <v>14</v>
      </c>
      <c r="F31" s="29">
        <v>0</v>
      </c>
      <c r="G31" s="29">
        <v>573296</v>
      </c>
      <c r="H31" s="28" t="s">
        <v>14</v>
      </c>
      <c r="I31" s="29">
        <v>9049149</v>
      </c>
      <c r="J31" s="29">
        <v>51265</v>
      </c>
      <c r="K31" s="28" t="s">
        <v>14</v>
      </c>
      <c r="L31" s="28" t="s">
        <v>14</v>
      </c>
      <c r="M31" s="29">
        <v>9673710</v>
      </c>
    </row>
    <row r="32" spans="1:13">
      <c r="A32" s="261" t="s">
        <v>38</v>
      </c>
      <c r="B32" s="29">
        <v>0</v>
      </c>
      <c r="C32" s="29">
        <v>132359</v>
      </c>
      <c r="D32" s="28" t="s">
        <v>14</v>
      </c>
      <c r="E32" s="28" t="s">
        <v>14</v>
      </c>
      <c r="F32" s="28" t="s">
        <v>14</v>
      </c>
      <c r="G32" s="29">
        <v>84907</v>
      </c>
      <c r="H32" s="28" t="s">
        <v>14</v>
      </c>
      <c r="I32" s="28" t="s">
        <v>14</v>
      </c>
      <c r="J32" s="28" t="s">
        <v>14</v>
      </c>
      <c r="K32" s="28" t="s">
        <v>14</v>
      </c>
      <c r="L32" s="28" t="s">
        <v>14</v>
      </c>
      <c r="M32" s="29">
        <v>217266</v>
      </c>
    </row>
    <row r="33" spans="1:13">
      <c r="A33" s="261" t="s">
        <v>40</v>
      </c>
      <c r="B33" s="29">
        <v>4762</v>
      </c>
      <c r="C33" s="29">
        <v>398937</v>
      </c>
      <c r="D33" s="29">
        <v>36195</v>
      </c>
      <c r="E33" s="29">
        <v>45667</v>
      </c>
      <c r="F33" s="29">
        <v>396984</v>
      </c>
      <c r="G33" s="29">
        <v>584851</v>
      </c>
      <c r="H33" s="29">
        <v>271722</v>
      </c>
      <c r="I33" s="28" t="s">
        <v>14</v>
      </c>
      <c r="J33" s="29">
        <v>206424</v>
      </c>
      <c r="K33" s="29">
        <v>71876</v>
      </c>
      <c r="L33" s="28" t="s">
        <v>14</v>
      </c>
      <c r="M33" s="29">
        <v>2017419</v>
      </c>
    </row>
    <row r="34" spans="1:13">
      <c r="A34" s="261" t="s">
        <v>41</v>
      </c>
      <c r="B34" s="28" t="s">
        <v>14</v>
      </c>
      <c r="C34" s="29">
        <v>0</v>
      </c>
      <c r="D34" s="29">
        <v>-88410</v>
      </c>
      <c r="E34" s="29">
        <v>-685377</v>
      </c>
      <c r="F34" s="29">
        <v>49999</v>
      </c>
      <c r="G34" s="28" t="s">
        <v>14</v>
      </c>
      <c r="H34" s="28" t="s">
        <v>14</v>
      </c>
      <c r="I34" s="28" t="s">
        <v>14</v>
      </c>
      <c r="J34" s="28" t="s">
        <v>14</v>
      </c>
      <c r="K34" s="28" t="s">
        <v>14</v>
      </c>
      <c r="L34" s="28" t="s">
        <v>14</v>
      </c>
      <c r="M34" s="29">
        <v>-723788</v>
      </c>
    </row>
    <row r="35" spans="1:13">
      <c r="A35" s="261" t="s">
        <v>304</v>
      </c>
      <c r="B35" s="28" t="s">
        <v>14</v>
      </c>
      <c r="C35" s="28" t="s">
        <v>14</v>
      </c>
      <c r="D35" s="28" t="s">
        <v>14</v>
      </c>
      <c r="E35" s="29">
        <v>111842</v>
      </c>
      <c r="F35" s="28" t="s">
        <v>14</v>
      </c>
      <c r="G35" s="28" t="s">
        <v>14</v>
      </c>
      <c r="H35" s="28" t="s">
        <v>14</v>
      </c>
      <c r="I35" s="28" t="s">
        <v>14</v>
      </c>
      <c r="J35" s="28" t="s">
        <v>14</v>
      </c>
      <c r="K35" s="28" t="s">
        <v>14</v>
      </c>
      <c r="L35" s="28" t="s">
        <v>14</v>
      </c>
      <c r="M35" s="29">
        <v>111842</v>
      </c>
    </row>
    <row r="36" spans="1:13">
      <c r="A36" s="261" t="s">
        <v>305</v>
      </c>
      <c r="B36" s="28" t="s">
        <v>14</v>
      </c>
      <c r="C36" s="28" t="s">
        <v>14</v>
      </c>
      <c r="D36" s="28" t="s">
        <v>14</v>
      </c>
      <c r="E36" s="29">
        <v>223623</v>
      </c>
      <c r="F36" s="28" t="s">
        <v>14</v>
      </c>
      <c r="G36" s="28" t="s">
        <v>14</v>
      </c>
      <c r="H36" s="28" t="s">
        <v>14</v>
      </c>
      <c r="I36" s="28" t="s">
        <v>14</v>
      </c>
      <c r="J36" s="28" t="s">
        <v>14</v>
      </c>
      <c r="K36" s="28" t="s">
        <v>14</v>
      </c>
      <c r="L36" s="28" t="s">
        <v>14</v>
      </c>
      <c r="M36" s="29">
        <v>223623</v>
      </c>
    </row>
    <row r="37" spans="1:13">
      <c r="A37" s="261" t="s">
        <v>42</v>
      </c>
      <c r="B37" s="28" t="s">
        <v>14</v>
      </c>
      <c r="C37" s="28" t="s">
        <v>14</v>
      </c>
      <c r="D37" s="28" t="s">
        <v>14</v>
      </c>
      <c r="E37" s="28" t="s">
        <v>14</v>
      </c>
      <c r="F37" s="28" t="s">
        <v>14</v>
      </c>
      <c r="G37" s="28" t="s">
        <v>14</v>
      </c>
      <c r="H37" s="28" t="s">
        <v>14</v>
      </c>
      <c r="I37" s="29">
        <v>-11401</v>
      </c>
      <c r="J37" s="28" t="s">
        <v>14</v>
      </c>
      <c r="K37" s="28" t="s">
        <v>14</v>
      </c>
      <c r="L37" s="28" t="s">
        <v>14</v>
      </c>
      <c r="M37" s="29">
        <v>-11401</v>
      </c>
    </row>
    <row r="38" spans="1:13">
      <c r="A38" s="261"/>
      <c r="B38" s="28"/>
      <c r="C38" s="28"/>
      <c r="D38" s="28"/>
      <c r="E38" s="28"/>
      <c r="F38" s="28"/>
      <c r="G38" s="28"/>
      <c r="H38" s="28"/>
      <c r="I38" s="29"/>
      <c r="J38" s="28"/>
      <c r="K38" s="28"/>
      <c r="L38" s="28"/>
      <c r="M38" s="29"/>
    </row>
    <row r="39" spans="1:13">
      <c r="A39" s="261"/>
      <c r="B39" s="28"/>
      <c r="C39" s="28"/>
      <c r="D39" s="28"/>
      <c r="E39" s="28"/>
      <c r="F39" s="28"/>
      <c r="G39" s="28"/>
      <c r="H39" s="28"/>
      <c r="I39" s="29"/>
      <c r="J39" s="28"/>
      <c r="K39" s="28"/>
      <c r="L39" s="28"/>
      <c r="M39" s="29"/>
    </row>
    <row r="40" spans="1:13">
      <c r="A40" s="261"/>
      <c r="B40" s="28"/>
      <c r="C40" s="28"/>
      <c r="D40" s="28"/>
      <c r="E40" s="28"/>
      <c r="F40" s="28"/>
      <c r="G40" s="28"/>
      <c r="H40" s="28"/>
      <c r="I40" s="29"/>
      <c r="J40" s="28"/>
      <c r="K40" s="28"/>
      <c r="L40" s="28"/>
      <c r="M40" s="29"/>
    </row>
    <row r="41" spans="1:13">
      <c r="A41" s="261" t="s">
        <v>43</v>
      </c>
      <c r="B41" s="28" t="s">
        <v>14</v>
      </c>
      <c r="C41" s="28" t="s">
        <v>14</v>
      </c>
      <c r="D41" s="28" t="s">
        <v>14</v>
      </c>
      <c r="E41" s="28" t="s">
        <v>14</v>
      </c>
      <c r="F41" s="28" t="s">
        <v>14</v>
      </c>
      <c r="G41" s="28" t="s">
        <v>14</v>
      </c>
      <c r="H41" s="28" t="s">
        <v>14</v>
      </c>
      <c r="I41" s="29">
        <v>-30475</v>
      </c>
      <c r="J41" s="28" t="s">
        <v>14</v>
      </c>
      <c r="K41" s="28" t="s">
        <v>14</v>
      </c>
      <c r="L41" s="28" t="s">
        <v>14</v>
      </c>
      <c r="M41" s="29">
        <v>-30475</v>
      </c>
    </row>
    <row r="42" spans="1:13">
      <c r="A42" s="261" t="s">
        <v>44</v>
      </c>
      <c r="B42" s="29">
        <v>3077</v>
      </c>
      <c r="C42" s="29">
        <v>9735</v>
      </c>
      <c r="D42" s="29">
        <v>992</v>
      </c>
      <c r="E42" s="29">
        <v>4399</v>
      </c>
      <c r="F42" s="29">
        <v>8164</v>
      </c>
      <c r="G42" s="29">
        <v>2516</v>
      </c>
      <c r="H42" s="29">
        <v>19114</v>
      </c>
      <c r="I42" s="29">
        <v>6</v>
      </c>
      <c r="J42" s="29">
        <v>669</v>
      </c>
      <c r="K42" s="29">
        <v>3151</v>
      </c>
      <c r="L42" s="28" t="s">
        <v>14</v>
      </c>
      <c r="M42" s="29">
        <v>51823</v>
      </c>
    </row>
    <row r="43" spans="1:13">
      <c r="A43" s="261" t="s">
        <v>45</v>
      </c>
      <c r="B43" s="29">
        <v>997</v>
      </c>
      <c r="C43" s="29">
        <v>7691</v>
      </c>
      <c r="D43" s="29">
        <v>3078</v>
      </c>
      <c r="E43" s="29">
        <v>1676</v>
      </c>
      <c r="F43" s="29">
        <v>3830</v>
      </c>
      <c r="G43" s="29">
        <v>1179</v>
      </c>
      <c r="H43" s="29">
        <v>4519</v>
      </c>
      <c r="I43" s="29">
        <v>1</v>
      </c>
      <c r="J43" s="29">
        <v>486</v>
      </c>
      <c r="K43" s="29">
        <v>832</v>
      </c>
      <c r="L43" s="28" t="s">
        <v>14</v>
      </c>
      <c r="M43" s="29">
        <v>24288</v>
      </c>
    </row>
    <row r="44" spans="1:13">
      <c r="A44" s="261" t="s">
        <v>46</v>
      </c>
      <c r="B44" s="29">
        <v>504</v>
      </c>
      <c r="C44" s="29">
        <v>1859</v>
      </c>
      <c r="D44" s="29">
        <v>437</v>
      </c>
      <c r="E44" s="29">
        <v>1139</v>
      </c>
      <c r="F44" s="29">
        <v>1644</v>
      </c>
      <c r="G44" s="29">
        <v>1086</v>
      </c>
      <c r="H44" s="29">
        <v>4984</v>
      </c>
      <c r="I44" s="29">
        <v>14</v>
      </c>
      <c r="J44" s="29">
        <v>357</v>
      </c>
      <c r="K44" s="29">
        <v>667</v>
      </c>
      <c r="L44" s="28" t="s">
        <v>14</v>
      </c>
      <c r="M44" s="29">
        <v>12689</v>
      </c>
    </row>
    <row r="45" spans="1:13">
      <c r="A45" s="261" t="s">
        <v>47</v>
      </c>
      <c r="B45" s="29">
        <v>2975</v>
      </c>
      <c r="C45" s="29">
        <v>505</v>
      </c>
      <c r="D45" s="28" t="s">
        <v>14</v>
      </c>
      <c r="E45" s="28" t="s">
        <v>14</v>
      </c>
      <c r="F45" s="29">
        <v>8</v>
      </c>
      <c r="G45" s="29">
        <v>15</v>
      </c>
      <c r="H45" s="29">
        <v>613</v>
      </c>
      <c r="I45" s="28" t="s">
        <v>14</v>
      </c>
      <c r="J45" s="28" t="s">
        <v>14</v>
      </c>
      <c r="K45" s="28" t="s">
        <v>14</v>
      </c>
      <c r="L45" s="28" t="s">
        <v>14</v>
      </c>
      <c r="M45" s="29">
        <v>4116</v>
      </c>
    </row>
    <row r="46" spans="1:13">
      <c r="A46" s="261" t="s">
        <v>48</v>
      </c>
      <c r="B46" s="29">
        <v>956</v>
      </c>
      <c r="C46" s="29">
        <v>502</v>
      </c>
      <c r="D46" s="28" t="s">
        <v>14</v>
      </c>
      <c r="E46" s="28" t="s">
        <v>14</v>
      </c>
      <c r="F46" s="28" t="s">
        <v>14</v>
      </c>
      <c r="G46" s="28" t="s">
        <v>14</v>
      </c>
      <c r="H46" s="28" t="s">
        <v>14</v>
      </c>
      <c r="I46" s="28" t="s">
        <v>14</v>
      </c>
      <c r="J46" s="28" t="s">
        <v>14</v>
      </c>
      <c r="K46" s="28" t="s">
        <v>14</v>
      </c>
      <c r="L46" s="28" t="s">
        <v>14</v>
      </c>
      <c r="M46" s="29">
        <v>1458</v>
      </c>
    </row>
    <row r="47" spans="1:13">
      <c r="A47" s="261" t="s">
        <v>49</v>
      </c>
      <c r="B47" s="29">
        <v>1568</v>
      </c>
      <c r="C47" s="28" t="s">
        <v>14</v>
      </c>
      <c r="D47" s="28" t="s">
        <v>14</v>
      </c>
      <c r="E47" s="28" t="s">
        <v>14</v>
      </c>
      <c r="F47" s="28" t="s">
        <v>14</v>
      </c>
      <c r="G47" s="28" t="s">
        <v>14</v>
      </c>
      <c r="H47" s="28" t="s">
        <v>14</v>
      </c>
      <c r="I47" s="28" t="s">
        <v>14</v>
      </c>
      <c r="J47" s="29">
        <v>408</v>
      </c>
      <c r="K47" s="28" t="s">
        <v>14</v>
      </c>
      <c r="L47" s="28" t="s">
        <v>14</v>
      </c>
      <c r="M47" s="29">
        <v>1977</v>
      </c>
    </row>
    <row r="48" spans="1:13">
      <c r="A48" s="261" t="s">
        <v>314</v>
      </c>
      <c r="B48" s="29">
        <v>63</v>
      </c>
      <c r="C48" s="28" t="s">
        <v>14</v>
      </c>
      <c r="D48" s="28" t="s">
        <v>14</v>
      </c>
      <c r="E48" s="28" t="s">
        <v>14</v>
      </c>
      <c r="F48" s="28" t="s">
        <v>14</v>
      </c>
      <c r="G48" s="29">
        <v>24</v>
      </c>
      <c r="H48" s="28" t="s">
        <v>14</v>
      </c>
      <c r="I48" s="28" t="s">
        <v>14</v>
      </c>
      <c r="J48" s="28" t="s">
        <v>14</v>
      </c>
      <c r="K48" s="29">
        <v>9</v>
      </c>
      <c r="L48" s="28" t="s">
        <v>14</v>
      </c>
      <c r="M48" s="29">
        <v>96</v>
      </c>
    </row>
    <row r="49" spans="1:13">
      <c r="A49" s="261"/>
      <c r="B49" s="29"/>
      <c r="C49" s="28"/>
      <c r="D49" s="28"/>
      <c r="E49" s="28"/>
      <c r="F49" s="28"/>
      <c r="G49" s="29"/>
      <c r="H49" s="28"/>
      <c r="I49" s="28"/>
      <c r="J49" s="28"/>
      <c r="K49" s="29"/>
      <c r="L49" s="28"/>
      <c r="M49" s="29"/>
    </row>
    <row r="50" spans="1:13">
      <c r="A50" s="261" t="s">
        <v>50</v>
      </c>
      <c r="B50" s="28" t="s">
        <v>14</v>
      </c>
      <c r="C50" s="28" t="s">
        <v>14</v>
      </c>
      <c r="D50" s="28" t="s">
        <v>14</v>
      </c>
      <c r="E50" s="28" t="s">
        <v>14</v>
      </c>
      <c r="F50" s="28" t="s">
        <v>14</v>
      </c>
      <c r="G50" s="28" t="s">
        <v>14</v>
      </c>
      <c r="H50" s="28" t="s">
        <v>14</v>
      </c>
      <c r="I50" s="29">
        <v>858702</v>
      </c>
      <c r="J50" s="28" t="s">
        <v>14</v>
      </c>
      <c r="K50" s="28" t="s">
        <v>14</v>
      </c>
      <c r="L50" s="28" t="s">
        <v>14</v>
      </c>
      <c r="M50" s="29">
        <v>858702</v>
      </c>
    </row>
    <row r="51" spans="1:13">
      <c r="A51" s="261" t="s">
        <v>51</v>
      </c>
      <c r="B51" s="28" t="s">
        <v>14</v>
      </c>
      <c r="C51" s="28" t="s">
        <v>14</v>
      </c>
      <c r="D51" s="29">
        <v>-64243</v>
      </c>
      <c r="E51" s="29">
        <v>348149</v>
      </c>
      <c r="F51" s="28" t="s">
        <v>14</v>
      </c>
      <c r="G51" s="28" t="s">
        <v>14</v>
      </c>
      <c r="H51" s="28" t="s">
        <v>14</v>
      </c>
      <c r="I51" s="28" t="s">
        <v>14</v>
      </c>
      <c r="J51" s="28" t="s">
        <v>14</v>
      </c>
      <c r="K51" s="28" t="s">
        <v>14</v>
      </c>
      <c r="L51" s="28" t="s">
        <v>14</v>
      </c>
      <c r="M51" s="29">
        <v>283906</v>
      </c>
    </row>
    <row r="52" spans="1:13">
      <c r="A52" s="261" t="s">
        <v>52</v>
      </c>
      <c r="B52" s="28" t="s">
        <v>14</v>
      </c>
      <c r="C52" s="28" t="s">
        <v>14</v>
      </c>
      <c r="D52" s="29">
        <v>-119362</v>
      </c>
      <c r="E52" s="29">
        <v>324989</v>
      </c>
      <c r="F52" s="28" t="s">
        <v>14</v>
      </c>
      <c r="G52" s="28" t="s">
        <v>14</v>
      </c>
      <c r="H52" s="28" t="s">
        <v>14</v>
      </c>
      <c r="I52" s="28" t="s">
        <v>14</v>
      </c>
      <c r="J52" s="28" t="s">
        <v>14</v>
      </c>
      <c r="K52" s="28" t="s">
        <v>14</v>
      </c>
      <c r="L52" s="28" t="s">
        <v>14</v>
      </c>
      <c r="M52" s="29">
        <v>205627</v>
      </c>
    </row>
    <row r="53" spans="1:13">
      <c r="A53" s="261" t="s">
        <v>53</v>
      </c>
      <c r="B53" s="29">
        <v>866</v>
      </c>
      <c r="C53" s="29">
        <v>26435</v>
      </c>
      <c r="D53" s="29">
        <v>3905</v>
      </c>
      <c r="E53" s="29">
        <v>1062</v>
      </c>
      <c r="F53" s="29">
        <v>15359</v>
      </c>
      <c r="G53" s="29">
        <v>21688</v>
      </c>
      <c r="H53" s="29">
        <v>18980</v>
      </c>
      <c r="I53" s="28" t="s">
        <v>14</v>
      </c>
      <c r="J53" s="29">
        <v>16156</v>
      </c>
      <c r="K53" s="29">
        <v>1071</v>
      </c>
      <c r="L53" s="28" t="s">
        <v>14</v>
      </c>
      <c r="M53" s="29">
        <v>105522</v>
      </c>
    </row>
    <row r="54" spans="1:13">
      <c r="A54" s="261" t="s">
        <v>54</v>
      </c>
      <c r="B54" s="29">
        <v>866</v>
      </c>
      <c r="C54" s="29">
        <v>26012</v>
      </c>
      <c r="D54" s="29">
        <v>3905</v>
      </c>
      <c r="E54" s="29">
        <v>1062</v>
      </c>
      <c r="F54" s="29">
        <v>15185</v>
      </c>
      <c r="G54" s="29">
        <v>21688</v>
      </c>
      <c r="H54" s="29">
        <v>18980</v>
      </c>
      <c r="I54" s="28" t="s">
        <v>14</v>
      </c>
      <c r="J54" s="29">
        <v>16133</v>
      </c>
      <c r="K54" s="29">
        <v>1071</v>
      </c>
      <c r="L54" s="28" t="s">
        <v>14</v>
      </c>
      <c r="M54" s="29">
        <v>104901</v>
      </c>
    </row>
    <row r="55" spans="1:13">
      <c r="A55" s="261"/>
      <c r="B55" s="29"/>
      <c r="C55" s="29"/>
      <c r="D55" s="29"/>
      <c r="E55" s="29"/>
      <c r="F55" s="29"/>
      <c r="G55" s="29"/>
      <c r="H55" s="29"/>
      <c r="I55" s="28"/>
      <c r="J55" s="29"/>
      <c r="K55" s="29"/>
      <c r="L55" s="28"/>
      <c r="M55" s="29"/>
    </row>
    <row r="56" spans="1:13">
      <c r="A56" s="261" t="s">
        <v>55</v>
      </c>
      <c r="B56" s="29">
        <v>225</v>
      </c>
      <c r="C56" s="29">
        <v>4911</v>
      </c>
      <c r="D56" s="29">
        <v>6237</v>
      </c>
      <c r="E56" s="29">
        <v>8967</v>
      </c>
      <c r="F56" s="29">
        <v>40670</v>
      </c>
      <c r="G56" s="29">
        <v>61049</v>
      </c>
      <c r="H56" s="29">
        <v>7990</v>
      </c>
      <c r="I56" s="29">
        <v>11967</v>
      </c>
      <c r="J56" s="29">
        <v>2367</v>
      </c>
      <c r="K56" s="29">
        <v>3469</v>
      </c>
      <c r="L56" s="28" t="s">
        <v>14</v>
      </c>
      <c r="M56" s="29">
        <v>147853</v>
      </c>
    </row>
    <row r="57" spans="1:13">
      <c r="A57" s="261" t="s">
        <v>56</v>
      </c>
      <c r="B57" s="29">
        <v>0</v>
      </c>
      <c r="C57" s="29">
        <v>0</v>
      </c>
      <c r="D57" s="29">
        <v>0</v>
      </c>
      <c r="E57" s="29">
        <v>0</v>
      </c>
      <c r="F57" s="29">
        <v>0</v>
      </c>
      <c r="G57" s="29">
        <v>0</v>
      </c>
      <c r="H57" s="29">
        <v>0</v>
      </c>
      <c r="I57" s="29">
        <v>0</v>
      </c>
      <c r="J57" s="29">
        <v>0</v>
      </c>
      <c r="K57" s="29">
        <v>0</v>
      </c>
      <c r="L57" s="29">
        <v>0</v>
      </c>
      <c r="M57" s="29">
        <v>0</v>
      </c>
    </row>
    <row r="58" spans="1:13">
      <c r="A58" s="261" t="s">
        <v>57</v>
      </c>
      <c r="B58" s="29">
        <v>7101</v>
      </c>
      <c r="C58" s="29">
        <v>554</v>
      </c>
      <c r="D58" s="29">
        <v>282</v>
      </c>
      <c r="E58" s="28" t="s">
        <v>14</v>
      </c>
      <c r="F58" s="29">
        <v>787739</v>
      </c>
      <c r="G58" s="29">
        <v>8736</v>
      </c>
      <c r="H58" s="29">
        <v>9423</v>
      </c>
      <c r="I58" s="29">
        <v>-3422</v>
      </c>
      <c r="J58" s="29">
        <v>-35256</v>
      </c>
      <c r="K58" s="29">
        <v>63757</v>
      </c>
      <c r="L58" s="29">
        <v>2263743</v>
      </c>
      <c r="M58" s="29">
        <v>3102657</v>
      </c>
    </row>
    <row r="59" spans="1:13">
      <c r="A59" s="261" t="s">
        <v>58</v>
      </c>
      <c r="B59" s="29">
        <v>1137750</v>
      </c>
      <c r="C59" s="29">
        <v>4839389</v>
      </c>
      <c r="D59" s="29">
        <v>1065794</v>
      </c>
      <c r="E59" s="29">
        <v>2431633</v>
      </c>
      <c r="F59" s="29">
        <v>4040090</v>
      </c>
      <c r="G59" s="29">
        <v>7384644</v>
      </c>
      <c r="H59" s="29">
        <v>5789823</v>
      </c>
      <c r="I59" s="29">
        <v>9887320</v>
      </c>
      <c r="J59" s="29">
        <v>1815702</v>
      </c>
      <c r="K59" s="29">
        <v>1763089</v>
      </c>
      <c r="L59" s="29">
        <v>3827734</v>
      </c>
      <c r="M59" s="29">
        <v>43982969</v>
      </c>
    </row>
    <row r="60" spans="1:13">
      <c r="A60" s="261" t="s">
        <v>59</v>
      </c>
      <c r="B60" s="29">
        <v>0</v>
      </c>
      <c r="C60" s="29">
        <v>0</v>
      </c>
      <c r="D60" s="29">
        <v>0</v>
      </c>
      <c r="E60" s="29">
        <v>3035</v>
      </c>
      <c r="F60" s="29">
        <v>22522</v>
      </c>
      <c r="G60" s="29">
        <v>0</v>
      </c>
      <c r="H60" s="29">
        <v>0</v>
      </c>
      <c r="I60" s="29">
        <v>474149</v>
      </c>
      <c r="J60" s="29">
        <v>0</v>
      </c>
      <c r="K60" s="29">
        <v>0</v>
      </c>
      <c r="L60" s="29">
        <v>2260090</v>
      </c>
      <c r="M60" s="29">
        <v>2759795</v>
      </c>
    </row>
    <row r="61" spans="1:13">
      <c r="A61" s="261" t="s">
        <v>60</v>
      </c>
      <c r="B61" s="29">
        <v>1137750</v>
      </c>
      <c r="C61" s="29">
        <v>4839389</v>
      </c>
      <c r="D61" s="29">
        <v>1065794</v>
      </c>
      <c r="E61" s="29">
        <v>2428598</v>
      </c>
      <c r="F61" s="29">
        <v>4017568</v>
      </c>
      <c r="G61" s="29">
        <v>7384644</v>
      </c>
      <c r="H61" s="29">
        <v>5789823</v>
      </c>
      <c r="I61" s="29">
        <v>9413172</v>
      </c>
      <c r="J61" s="29">
        <v>1815702</v>
      </c>
      <c r="K61" s="29">
        <v>1763089</v>
      </c>
      <c r="L61" s="29">
        <v>1567644</v>
      </c>
      <c r="M61" s="29">
        <v>41223174</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workbookViewId="0">
      <selection activeCell="A39" sqref="A1:XFD1048576"/>
    </sheetView>
  </sheetViews>
  <sheetFormatPr defaultRowHeight="15"/>
  <cols>
    <col min="1" max="1" width="14.7109375" style="269" customWidth="1"/>
    <col min="2" max="12" width="10.85546875" style="269" customWidth="1"/>
    <col min="13" max="13" width="9.28515625" style="269" customWidth="1"/>
    <col min="14" max="256" width="9.140625" style="269"/>
    <col min="257" max="257" width="14.7109375" style="269" customWidth="1"/>
    <col min="258" max="268" width="10.85546875" style="269" customWidth="1"/>
    <col min="269" max="269" width="9.28515625" style="269" customWidth="1"/>
    <col min="270" max="512" width="9.140625" style="269"/>
    <col min="513" max="513" width="14.7109375" style="269" customWidth="1"/>
    <col min="514" max="524" width="10.85546875" style="269" customWidth="1"/>
    <col min="525" max="525" width="9.28515625" style="269" customWidth="1"/>
    <col min="526" max="768" width="9.140625" style="269"/>
    <col min="769" max="769" width="14.7109375" style="269" customWidth="1"/>
    <col min="770" max="780" width="10.85546875" style="269" customWidth="1"/>
    <col min="781" max="781" width="9.28515625" style="269" customWidth="1"/>
    <col min="782" max="1024" width="9.140625" style="269"/>
    <col min="1025" max="1025" width="14.7109375" style="269" customWidth="1"/>
    <col min="1026" max="1036" width="10.85546875" style="269" customWidth="1"/>
    <col min="1037" max="1037" width="9.28515625" style="269" customWidth="1"/>
    <col min="1038" max="1280" width="9.140625" style="269"/>
    <col min="1281" max="1281" width="14.7109375" style="269" customWidth="1"/>
    <col min="1282" max="1292" width="10.85546875" style="269" customWidth="1"/>
    <col min="1293" max="1293" width="9.28515625" style="269" customWidth="1"/>
    <col min="1294" max="1536" width="9.140625" style="269"/>
    <col min="1537" max="1537" width="14.7109375" style="269" customWidth="1"/>
    <col min="1538" max="1548" width="10.85546875" style="269" customWidth="1"/>
    <col min="1549" max="1549" width="9.28515625" style="269" customWidth="1"/>
    <col min="1550" max="1792" width="9.140625" style="269"/>
    <col min="1793" max="1793" width="14.7109375" style="269" customWidth="1"/>
    <col min="1794" max="1804" width="10.85546875" style="269" customWidth="1"/>
    <col min="1805" max="1805" width="9.28515625" style="269" customWidth="1"/>
    <col min="1806" max="2048" width="9.140625" style="269"/>
    <col min="2049" max="2049" width="14.7109375" style="269" customWidth="1"/>
    <col min="2050" max="2060" width="10.85546875" style="269" customWidth="1"/>
    <col min="2061" max="2061" width="9.28515625" style="269" customWidth="1"/>
    <col min="2062" max="2304" width="9.140625" style="269"/>
    <col min="2305" max="2305" width="14.7109375" style="269" customWidth="1"/>
    <col min="2306" max="2316" width="10.85546875" style="269" customWidth="1"/>
    <col min="2317" max="2317" width="9.28515625" style="269" customWidth="1"/>
    <col min="2318" max="2560" width="9.140625" style="269"/>
    <col min="2561" max="2561" width="14.7109375" style="269" customWidth="1"/>
    <col min="2562" max="2572" width="10.85546875" style="269" customWidth="1"/>
    <col min="2573" max="2573" width="9.28515625" style="269" customWidth="1"/>
    <col min="2574" max="2816" width="9.140625" style="269"/>
    <col min="2817" max="2817" width="14.7109375" style="269" customWidth="1"/>
    <col min="2818" max="2828" width="10.85546875" style="269" customWidth="1"/>
    <col min="2829" max="2829" width="9.28515625" style="269" customWidth="1"/>
    <col min="2830" max="3072" width="9.140625" style="269"/>
    <col min="3073" max="3073" width="14.7109375" style="269" customWidth="1"/>
    <col min="3074" max="3084" width="10.85546875" style="269" customWidth="1"/>
    <col min="3085" max="3085" width="9.28515625" style="269" customWidth="1"/>
    <col min="3086" max="3328" width="9.140625" style="269"/>
    <col min="3329" max="3329" width="14.7109375" style="269" customWidth="1"/>
    <col min="3330" max="3340" width="10.85546875" style="269" customWidth="1"/>
    <col min="3341" max="3341" width="9.28515625" style="269" customWidth="1"/>
    <col min="3342" max="3584" width="9.140625" style="269"/>
    <col min="3585" max="3585" width="14.7109375" style="269" customWidth="1"/>
    <col min="3586" max="3596" width="10.85546875" style="269" customWidth="1"/>
    <col min="3597" max="3597" width="9.28515625" style="269" customWidth="1"/>
    <col min="3598" max="3840" width="9.140625" style="269"/>
    <col min="3841" max="3841" width="14.7109375" style="269" customWidth="1"/>
    <col min="3842" max="3852" width="10.85546875" style="269" customWidth="1"/>
    <col min="3853" max="3853" width="9.28515625" style="269" customWidth="1"/>
    <col min="3854" max="4096" width="9.140625" style="269"/>
    <col min="4097" max="4097" width="14.7109375" style="269" customWidth="1"/>
    <col min="4098" max="4108" width="10.85546875" style="269" customWidth="1"/>
    <col min="4109" max="4109" width="9.28515625" style="269" customWidth="1"/>
    <col min="4110" max="4352" width="9.140625" style="269"/>
    <col min="4353" max="4353" width="14.7109375" style="269" customWidth="1"/>
    <col min="4354" max="4364" width="10.85546875" style="269" customWidth="1"/>
    <col min="4365" max="4365" width="9.28515625" style="269" customWidth="1"/>
    <col min="4366" max="4608" width="9.140625" style="269"/>
    <col min="4609" max="4609" width="14.7109375" style="269" customWidth="1"/>
    <col min="4610" max="4620" width="10.85546875" style="269" customWidth="1"/>
    <col min="4621" max="4621" width="9.28515625" style="269" customWidth="1"/>
    <col min="4622" max="4864" width="9.140625" style="269"/>
    <col min="4865" max="4865" width="14.7109375" style="269" customWidth="1"/>
    <col min="4866" max="4876" width="10.85546875" style="269" customWidth="1"/>
    <col min="4877" max="4877" width="9.28515625" style="269" customWidth="1"/>
    <col min="4878" max="5120" width="9.140625" style="269"/>
    <col min="5121" max="5121" width="14.7109375" style="269" customWidth="1"/>
    <col min="5122" max="5132" width="10.85546875" style="269" customWidth="1"/>
    <col min="5133" max="5133" width="9.28515625" style="269" customWidth="1"/>
    <col min="5134" max="5376" width="9.140625" style="269"/>
    <col min="5377" max="5377" width="14.7109375" style="269" customWidth="1"/>
    <col min="5378" max="5388" width="10.85546875" style="269" customWidth="1"/>
    <col min="5389" max="5389" width="9.28515625" style="269" customWidth="1"/>
    <col min="5390" max="5632" width="9.140625" style="269"/>
    <col min="5633" max="5633" width="14.7109375" style="269" customWidth="1"/>
    <col min="5634" max="5644" width="10.85546875" style="269" customWidth="1"/>
    <col min="5645" max="5645" width="9.28515625" style="269" customWidth="1"/>
    <col min="5646" max="5888" width="9.140625" style="269"/>
    <col min="5889" max="5889" width="14.7109375" style="269" customWidth="1"/>
    <col min="5890" max="5900" width="10.85546875" style="269" customWidth="1"/>
    <col min="5901" max="5901" width="9.28515625" style="269" customWidth="1"/>
    <col min="5902" max="6144" width="9.140625" style="269"/>
    <col min="6145" max="6145" width="14.7109375" style="269" customWidth="1"/>
    <col min="6146" max="6156" width="10.85546875" style="269" customWidth="1"/>
    <col min="6157" max="6157" width="9.28515625" style="269" customWidth="1"/>
    <col min="6158" max="6400" width="9.140625" style="269"/>
    <col min="6401" max="6401" width="14.7109375" style="269" customWidth="1"/>
    <col min="6402" max="6412" width="10.85546875" style="269" customWidth="1"/>
    <col min="6413" max="6413" width="9.28515625" style="269" customWidth="1"/>
    <col min="6414" max="6656" width="9.140625" style="269"/>
    <col min="6657" max="6657" width="14.7109375" style="269" customWidth="1"/>
    <col min="6658" max="6668" width="10.85546875" style="269" customWidth="1"/>
    <col min="6669" max="6669" width="9.28515625" style="269" customWidth="1"/>
    <col min="6670" max="6912" width="9.140625" style="269"/>
    <col min="6913" max="6913" width="14.7109375" style="269" customWidth="1"/>
    <col min="6914" max="6924" width="10.85546875" style="269" customWidth="1"/>
    <col min="6925" max="6925" width="9.28515625" style="269" customWidth="1"/>
    <col min="6926" max="7168" width="9.140625" style="269"/>
    <col min="7169" max="7169" width="14.7109375" style="269" customWidth="1"/>
    <col min="7170" max="7180" width="10.85546875" style="269" customWidth="1"/>
    <col min="7181" max="7181" width="9.28515625" style="269" customWidth="1"/>
    <col min="7182" max="7424" width="9.140625" style="269"/>
    <col min="7425" max="7425" width="14.7109375" style="269" customWidth="1"/>
    <col min="7426" max="7436" width="10.85546875" style="269" customWidth="1"/>
    <col min="7437" max="7437" width="9.28515625" style="269" customWidth="1"/>
    <col min="7438" max="7680" width="9.140625" style="269"/>
    <col min="7681" max="7681" width="14.7109375" style="269" customWidth="1"/>
    <col min="7682" max="7692" width="10.85546875" style="269" customWidth="1"/>
    <col min="7693" max="7693" width="9.28515625" style="269" customWidth="1"/>
    <col min="7694" max="7936" width="9.140625" style="269"/>
    <col min="7937" max="7937" width="14.7109375" style="269" customWidth="1"/>
    <col min="7938" max="7948" width="10.85546875" style="269" customWidth="1"/>
    <col min="7949" max="7949" width="9.28515625" style="269" customWidth="1"/>
    <col min="7950" max="8192" width="9.140625" style="269"/>
    <col min="8193" max="8193" width="14.7109375" style="269" customWidth="1"/>
    <col min="8194" max="8204" width="10.85546875" style="269" customWidth="1"/>
    <col min="8205" max="8205" width="9.28515625" style="269" customWidth="1"/>
    <col min="8206" max="8448" width="9.140625" style="269"/>
    <col min="8449" max="8449" width="14.7109375" style="269" customWidth="1"/>
    <col min="8450" max="8460" width="10.85546875" style="269" customWidth="1"/>
    <col min="8461" max="8461" width="9.28515625" style="269" customWidth="1"/>
    <col min="8462" max="8704" width="9.140625" style="269"/>
    <col min="8705" max="8705" width="14.7109375" style="269" customWidth="1"/>
    <col min="8706" max="8716" width="10.85546875" style="269" customWidth="1"/>
    <col min="8717" max="8717" width="9.28515625" style="269" customWidth="1"/>
    <col min="8718" max="8960" width="9.140625" style="269"/>
    <col min="8961" max="8961" width="14.7109375" style="269" customWidth="1"/>
    <col min="8962" max="8972" width="10.85546875" style="269" customWidth="1"/>
    <col min="8973" max="8973" width="9.28515625" style="269" customWidth="1"/>
    <col min="8974" max="9216" width="9.140625" style="269"/>
    <col min="9217" max="9217" width="14.7109375" style="269" customWidth="1"/>
    <col min="9218" max="9228" width="10.85546875" style="269" customWidth="1"/>
    <col min="9229" max="9229" width="9.28515625" style="269" customWidth="1"/>
    <col min="9230" max="9472" width="9.140625" style="269"/>
    <col min="9473" max="9473" width="14.7109375" style="269" customWidth="1"/>
    <col min="9474" max="9484" width="10.85546875" style="269" customWidth="1"/>
    <col min="9485" max="9485" width="9.28515625" style="269" customWidth="1"/>
    <col min="9486" max="9728" width="9.140625" style="269"/>
    <col min="9729" max="9729" width="14.7109375" style="269" customWidth="1"/>
    <col min="9730" max="9740" width="10.85546875" style="269" customWidth="1"/>
    <col min="9741" max="9741" width="9.28515625" style="269" customWidth="1"/>
    <col min="9742" max="9984" width="9.140625" style="269"/>
    <col min="9985" max="9985" width="14.7109375" style="269" customWidth="1"/>
    <col min="9986" max="9996" width="10.85546875" style="269" customWidth="1"/>
    <col min="9997" max="9997" width="9.28515625" style="269" customWidth="1"/>
    <col min="9998" max="10240" width="9.140625" style="269"/>
    <col min="10241" max="10241" width="14.7109375" style="269" customWidth="1"/>
    <col min="10242" max="10252" width="10.85546875" style="269" customWidth="1"/>
    <col min="10253" max="10253" width="9.28515625" style="269" customWidth="1"/>
    <col min="10254" max="10496" width="9.140625" style="269"/>
    <col min="10497" max="10497" width="14.7109375" style="269" customWidth="1"/>
    <col min="10498" max="10508" width="10.85546875" style="269" customWidth="1"/>
    <col min="10509" max="10509" width="9.28515625" style="269" customWidth="1"/>
    <col min="10510" max="10752" width="9.140625" style="269"/>
    <col min="10753" max="10753" width="14.7109375" style="269" customWidth="1"/>
    <col min="10754" max="10764" width="10.85546875" style="269" customWidth="1"/>
    <col min="10765" max="10765" width="9.28515625" style="269" customWidth="1"/>
    <col min="10766" max="11008" width="9.140625" style="269"/>
    <col min="11009" max="11009" width="14.7109375" style="269" customWidth="1"/>
    <col min="11010" max="11020" width="10.85546875" style="269" customWidth="1"/>
    <col min="11021" max="11021" width="9.28515625" style="269" customWidth="1"/>
    <col min="11022" max="11264" width="9.140625" style="269"/>
    <col min="11265" max="11265" width="14.7109375" style="269" customWidth="1"/>
    <col min="11266" max="11276" width="10.85546875" style="269" customWidth="1"/>
    <col min="11277" max="11277" width="9.28515625" style="269" customWidth="1"/>
    <col min="11278" max="11520" width="9.140625" style="269"/>
    <col min="11521" max="11521" width="14.7109375" style="269" customWidth="1"/>
    <col min="11522" max="11532" width="10.85546875" style="269" customWidth="1"/>
    <col min="11533" max="11533" width="9.28515625" style="269" customWidth="1"/>
    <col min="11534" max="11776" width="9.140625" style="269"/>
    <col min="11777" max="11777" width="14.7109375" style="269" customWidth="1"/>
    <col min="11778" max="11788" width="10.85546875" style="269" customWidth="1"/>
    <col min="11789" max="11789" width="9.28515625" style="269" customWidth="1"/>
    <col min="11790" max="12032" width="9.140625" style="269"/>
    <col min="12033" max="12033" width="14.7109375" style="269" customWidth="1"/>
    <col min="12034" max="12044" width="10.85546875" style="269" customWidth="1"/>
    <col min="12045" max="12045" width="9.28515625" style="269" customWidth="1"/>
    <col min="12046" max="12288" width="9.140625" style="269"/>
    <col min="12289" max="12289" width="14.7109375" style="269" customWidth="1"/>
    <col min="12290" max="12300" width="10.85546875" style="269" customWidth="1"/>
    <col min="12301" max="12301" width="9.28515625" style="269" customWidth="1"/>
    <col min="12302" max="12544" width="9.140625" style="269"/>
    <col min="12545" max="12545" width="14.7109375" style="269" customWidth="1"/>
    <col min="12546" max="12556" width="10.85546875" style="269" customWidth="1"/>
    <col min="12557" max="12557" width="9.28515625" style="269" customWidth="1"/>
    <col min="12558" max="12800" width="9.140625" style="269"/>
    <col min="12801" max="12801" width="14.7109375" style="269" customWidth="1"/>
    <col min="12802" max="12812" width="10.85546875" style="269" customWidth="1"/>
    <col min="12813" max="12813" width="9.28515625" style="269" customWidth="1"/>
    <col min="12814" max="13056" width="9.140625" style="269"/>
    <col min="13057" max="13057" width="14.7109375" style="269" customWidth="1"/>
    <col min="13058" max="13068" width="10.85546875" style="269" customWidth="1"/>
    <col min="13069" max="13069" width="9.28515625" style="269" customWidth="1"/>
    <col min="13070" max="13312" width="9.140625" style="269"/>
    <col min="13313" max="13313" width="14.7109375" style="269" customWidth="1"/>
    <col min="13314" max="13324" width="10.85546875" style="269" customWidth="1"/>
    <col min="13325" max="13325" width="9.28515625" style="269" customWidth="1"/>
    <col min="13326" max="13568" width="9.140625" style="269"/>
    <col min="13569" max="13569" width="14.7109375" style="269" customWidth="1"/>
    <col min="13570" max="13580" width="10.85546875" style="269" customWidth="1"/>
    <col min="13581" max="13581" width="9.28515625" style="269" customWidth="1"/>
    <col min="13582" max="13824" width="9.140625" style="269"/>
    <col min="13825" max="13825" width="14.7109375" style="269" customWidth="1"/>
    <col min="13826" max="13836" width="10.85546875" style="269" customWidth="1"/>
    <col min="13837" max="13837" width="9.28515625" style="269" customWidth="1"/>
    <col min="13838" max="14080" width="9.140625" style="269"/>
    <col min="14081" max="14081" width="14.7109375" style="269" customWidth="1"/>
    <col min="14082" max="14092" width="10.85546875" style="269" customWidth="1"/>
    <col min="14093" max="14093" width="9.28515625" style="269" customWidth="1"/>
    <col min="14094" max="14336" width="9.140625" style="269"/>
    <col min="14337" max="14337" width="14.7109375" style="269" customWidth="1"/>
    <col min="14338" max="14348" width="10.85546875" style="269" customWidth="1"/>
    <col min="14349" max="14349" width="9.28515625" style="269" customWidth="1"/>
    <col min="14350" max="14592" width="9.140625" style="269"/>
    <col min="14593" max="14593" width="14.7109375" style="269" customWidth="1"/>
    <col min="14594" max="14604" width="10.85546875" style="269" customWidth="1"/>
    <col min="14605" max="14605" width="9.28515625" style="269" customWidth="1"/>
    <col min="14606" max="14848" width="9.140625" style="269"/>
    <col min="14849" max="14849" width="14.7109375" style="269" customWidth="1"/>
    <col min="14850" max="14860" width="10.85546875" style="269" customWidth="1"/>
    <col min="14861" max="14861" width="9.28515625" style="269" customWidth="1"/>
    <col min="14862" max="15104" width="9.140625" style="269"/>
    <col min="15105" max="15105" width="14.7109375" style="269" customWidth="1"/>
    <col min="15106" max="15116" width="10.85546875" style="269" customWidth="1"/>
    <col min="15117" max="15117" width="9.28515625" style="269" customWidth="1"/>
    <col min="15118" max="15360" width="9.140625" style="269"/>
    <col min="15361" max="15361" width="14.7109375" style="269" customWidth="1"/>
    <col min="15362" max="15372" width="10.85546875" style="269" customWidth="1"/>
    <col min="15373" max="15373" width="9.28515625" style="269" customWidth="1"/>
    <col min="15374" max="15616" width="9.140625" style="269"/>
    <col min="15617" max="15617" width="14.7109375" style="269" customWidth="1"/>
    <col min="15618" max="15628" width="10.85546875" style="269" customWidth="1"/>
    <col min="15629" max="15629" width="9.28515625" style="269" customWidth="1"/>
    <col min="15630" max="15872" width="9.140625" style="269"/>
    <col min="15873" max="15873" width="14.7109375" style="269" customWidth="1"/>
    <col min="15874" max="15884" width="10.85546875" style="269" customWidth="1"/>
    <col min="15885" max="15885" width="9.28515625" style="269" customWidth="1"/>
    <col min="15886" max="16128" width="9.140625" style="269"/>
    <col min="16129" max="16129" width="14.7109375" style="269" customWidth="1"/>
    <col min="16130" max="16140" width="10.85546875" style="269" customWidth="1"/>
    <col min="16141" max="16141" width="9.28515625" style="269" customWidth="1"/>
    <col min="16142" max="16384" width="9.140625" style="269"/>
  </cols>
  <sheetData>
    <row r="1" spans="1:13">
      <c r="A1" s="270" t="s">
        <v>329</v>
      </c>
      <c r="B1" s="271"/>
      <c r="C1" s="271"/>
      <c r="D1" s="271"/>
      <c r="E1" s="271"/>
      <c r="F1" s="271"/>
      <c r="G1" s="271"/>
      <c r="H1" s="271"/>
      <c r="I1" s="271"/>
      <c r="J1" s="271"/>
      <c r="K1" s="271"/>
      <c r="L1" s="271"/>
      <c r="M1" s="271"/>
    </row>
    <row r="2" spans="1:13">
      <c r="A2" s="270" t="s">
        <v>330</v>
      </c>
      <c r="B2" s="271"/>
      <c r="C2" s="271"/>
      <c r="D2" s="271"/>
      <c r="E2" s="271"/>
      <c r="F2" s="271"/>
      <c r="G2" s="271"/>
      <c r="H2" s="271"/>
      <c r="I2" s="271"/>
      <c r="J2" s="271"/>
      <c r="K2" s="271"/>
      <c r="L2" s="271"/>
      <c r="M2" s="271"/>
    </row>
    <row r="3" spans="1:13">
      <c r="A3" s="268" t="s">
        <v>0</v>
      </c>
      <c r="B3" s="268" t="s">
        <v>1</v>
      </c>
      <c r="C3" s="268" t="s">
        <v>2</v>
      </c>
      <c r="D3" s="268" t="s">
        <v>3</v>
      </c>
      <c r="E3" s="268" t="s">
        <v>4</v>
      </c>
      <c r="F3" s="268" t="s">
        <v>5</v>
      </c>
      <c r="G3" s="268" t="s">
        <v>6</v>
      </c>
      <c r="H3" s="268" t="s">
        <v>7</v>
      </c>
      <c r="I3" s="268" t="s">
        <v>8</v>
      </c>
      <c r="J3" s="268" t="s">
        <v>9</v>
      </c>
      <c r="K3" s="268" t="s">
        <v>10</v>
      </c>
      <c r="L3" s="268" t="s">
        <v>11</v>
      </c>
      <c r="M3" s="268" t="s">
        <v>12</v>
      </c>
    </row>
    <row r="4" spans="1:13">
      <c r="A4" s="268" t="s">
        <v>13</v>
      </c>
      <c r="B4" s="29">
        <v>646066</v>
      </c>
      <c r="C4" s="29">
        <v>2510339</v>
      </c>
      <c r="D4" s="29">
        <v>454290</v>
      </c>
      <c r="E4" s="29">
        <v>1060258</v>
      </c>
      <c r="F4" s="29">
        <v>1396270</v>
      </c>
      <c r="G4" s="29">
        <v>2589438</v>
      </c>
      <c r="H4" s="29">
        <v>3048537</v>
      </c>
      <c r="I4" s="29">
        <v>5837</v>
      </c>
      <c r="J4" s="29">
        <v>380355</v>
      </c>
      <c r="K4" s="29">
        <v>868322</v>
      </c>
      <c r="L4" s="28" t="s">
        <v>14</v>
      </c>
      <c r="M4" s="29">
        <v>12959711</v>
      </c>
    </row>
    <row r="5" spans="1:13">
      <c r="A5" s="268" t="s">
        <v>15</v>
      </c>
      <c r="B5" s="29">
        <v>296979</v>
      </c>
      <c r="C5" s="29">
        <v>1147565</v>
      </c>
      <c r="D5" s="29">
        <v>209098</v>
      </c>
      <c r="E5" s="29">
        <v>489246</v>
      </c>
      <c r="F5" s="29">
        <v>643400</v>
      </c>
      <c r="G5" s="29">
        <v>1496700</v>
      </c>
      <c r="H5" s="29">
        <v>1530226</v>
      </c>
      <c r="I5" s="29">
        <v>2687</v>
      </c>
      <c r="J5" s="29">
        <v>173031</v>
      </c>
      <c r="K5" s="29">
        <v>383536</v>
      </c>
      <c r="L5" s="28" t="s">
        <v>14</v>
      </c>
      <c r="M5" s="29">
        <v>6372468</v>
      </c>
    </row>
    <row r="6" spans="1:13">
      <c r="A6" s="268" t="s">
        <v>16</v>
      </c>
      <c r="B6" s="29">
        <v>16460</v>
      </c>
      <c r="C6" s="29">
        <v>125162</v>
      </c>
      <c r="D6" s="29">
        <v>21398</v>
      </c>
      <c r="E6" s="29">
        <v>48632</v>
      </c>
      <c r="F6" s="29">
        <v>64110</v>
      </c>
      <c r="G6" s="29">
        <v>105880</v>
      </c>
      <c r="H6" s="29">
        <v>107630</v>
      </c>
      <c r="I6" s="29">
        <v>303</v>
      </c>
      <c r="J6" s="29">
        <v>12195</v>
      </c>
      <c r="K6" s="29">
        <v>13217</v>
      </c>
      <c r="L6" s="28" t="s">
        <v>14</v>
      </c>
      <c r="M6" s="29">
        <v>514986</v>
      </c>
    </row>
    <row r="7" spans="1:13">
      <c r="A7" s="268" t="s">
        <v>17</v>
      </c>
      <c r="B7" s="29">
        <v>72839</v>
      </c>
      <c r="C7" s="29">
        <v>192097</v>
      </c>
      <c r="D7" s="29">
        <v>47948</v>
      </c>
      <c r="E7" s="29">
        <v>129086</v>
      </c>
      <c r="F7" s="29">
        <v>117814</v>
      </c>
      <c r="G7" s="29">
        <v>474098</v>
      </c>
      <c r="H7" s="29">
        <v>347606</v>
      </c>
      <c r="I7" s="29">
        <v>332</v>
      </c>
      <c r="J7" s="29">
        <v>32510</v>
      </c>
      <c r="K7" s="29">
        <v>89632</v>
      </c>
      <c r="L7" s="28" t="s">
        <v>14</v>
      </c>
      <c r="M7" s="29">
        <v>1503962</v>
      </c>
    </row>
    <row r="8" spans="1:13">
      <c r="A8" s="268" t="s">
        <v>18</v>
      </c>
      <c r="B8" s="29">
        <v>33269</v>
      </c>
      <c r="C8" s="29">
        <v>209461</v>
      </c>
      <c r="D8" s="29">
        <v>62970</v>
      </c>
      <c r="E8" s="29">
        <v>95936</v>
      </c>
      <c r="F8" s="29">
        <v>112928</v>
      </c>
      <c r="G8" s="29">
        <v>207528</v>
      </c>
      <c r="H8" s="29">
        <v>218013</v>
      </c>
      <c r="I8" s="29">
        <v>439</v>
      </c>
      <c r="J8" s="29">
        <v>31179</v>
      </c>
      <c r="K8" s="29">
        <v>60340</v>
      </c>
      <c r="L8" s="28" t="s">
        <v>14</v>
      </c>
      <c r="M8" s="29">
        <v>1032062</v>
      </c>
    </row>
    <row r="9" spans="1:13">
      <c r="A9" s="268" t="s">
        <v>19</v>
      </c>
      <c r="B9" s="28" t="s">
        <v>14</v>
      </c>
      <c r="C9" s="28" t="s">
        <v>14</v>
      </c>
      <c r="D9" s="28" t="s">
        <v>14</v>
      </c>
      <c r="E9" s="28" t="s">
        <v>14</v>
      </c>
      <c r="F9" s="28" t="s">
        <v>14</v>
      </c>
      <c r="G9" s="28" t="s">
        <v>14</v>
      </c>
      <c r="H9" s="28" t="s">
        <v>14</v>
      </c>
      <c r="I9" s="28" t="s">
        <v>14</v>
      </c>
      <c r="J9" s="28" t="s">
        <v>14</v>
      </c>
      <c r="K9" s="28" t="s">
        <v>14</v>
      </c>
      <c r="L9" s="29">
        <v>1820109</v>
      </c>
      <c r="M9" s="29">
        <v>1820109</v>
      </c>
    </row>
    <row r="10" spans="1:13">
      <c r="A10" s="268"/>
      <c r="B10" s="28"/>
      <c r="C10" s="28"/>
      <c r="D10" s="28"/>
      <c r="E10" s="28"/>
      <c r="F10" s="28"/>
      <c r="G10" s="28"/>
      <c r="H10" s="28"/>
      <c r="I10" s="28"/>
      <c r="J10" s="28"/>
      <c r="K10" s="28"/>
      <c r="L10" s="29"/>
      <c r="M10" s="29"/>
    </row>
    <row r="11" spans="1:13">
      <c r="A11" s="268" t="s">
        <v>20</v>
      </c>
      <c r="B11" s="28" t="s">
        <v>14</v>
      </c>
      <c r="C11" s="28" t="s">
        <v>14</v>
      </c>
      <c r="D11" s="28" t="s">
        <v>14</v>
      </c>
      <c r="E11" s="28" t="s">
        <v>14</v>
      </c>
      <c r="F11" s="29">
        <v>7478</v>
      </c>
      <c r="G11" s="29">
        <v>1255163</v>
      </c>
      <c r="H11" s="29">
        <v>532059</v>
      </c>
      <c r="I11" s="28" t="s">
        <v>14</v>
      </c>
      <c r="J11" s="28" t="s">
        <v>14</v>
      </c>
      <c r="K11" s="28" t="s">
        <v>14</v>
      </c>
      <c r="L11" s="28" t="s">
        <v>14</v>
      </c>
      <c r="M11" s="29">
        <v>1794701</v>
      </c>
    </row>
    <row r="12" spans="1:13">
      <c r="A12" s="268" t="s">
        <v>21</v>
      </c>
      <c r="B12" s="28" t="s">
        <v>14</v>
      </c>
      <c r="C12" s="29">
        <v>62</v>
      </c>
      <c r="D12" s="29">
        <v>0</v>
      </c>
      <c r="E12" s="29">
        <v>380</v>
      </c>
      <c r="F12" s="29">
        <v>556</v>
      </c>
      <c r="G12" s="29">
        <v>27374</v>
      </c>
      <c r="H12" s="29">
        <v>73044</v>
      </c>
      <c r="I12" s="29">
        <v>9</v>
      </c>
      <c r="J12" s="29">
        <v>642</v>
      </c>
      <c r="K12" s="28" t="s">
        <v>14</v>
      </c>
      <c r="L12" s="28" t="s">
        <v>14</v>
      </c>
      <c r="M12" s="29">
        <v>102068</v>
      </c>
    </row>
    <row r="13" spans="1:13">
      <c r="A13" s="268" t="s">
        <v>22</v>
      </c>
      <c r="B13" s="29">
        <v>780</v>
      </c>
      <c r="C13" s="29">
        <v>49833</v>
      </c>
      <c r="D13" s="29">
        <v>0</v>
      </c>
      <c r="E13" s="29">
        <v>39790</v>
      </c>
      <c r="F13" s="29">
        <v>23554</v>
      </c>
      <c r="G13" s="29">
        <v>152129</v>
      </c>
      <c r="H13" s="29">
        <v>161442</v>
      </c>
      <c r="I13" s="29">
        <v>212</v>
      </c>
      <c r="J13" s="29">
        <v>160</v>
      </c>
      <c r="K13" s="29">
        <v>2270</v>
      </c>
      <c r="L13" s="28" t="s">
        <v>14</v>
      </c>
      <c r="M13" s="29">
        <v>430168</v>
      </c>
    </row>
    <row r="14" spans="1:13">
      <c r="A14" s="268" t="s">
        <v>23</v>
      </c>
      <c r="B14" s="29">
        <v>2715</v>
      </c>
      <c r="C14" s="29">
        <v>241696</v>
      </c>
      <c r="D14" s="29">
        <v>8002</v>
      </c>
      <c r="E14" s="29">
        <v>25302</v>
      </c>
      <c r="F14" s="29">
        <v>26284</v>
      </c>
      <c r="G14" s="29">
        <v>178883</v>
      </c>
      <c r="H14" s="29">
        <v>112828</v>
      </c>
      <c r="I14" s="29">
        <v>205</v>
      </c>
      <c r="J14" s="29">
        <v>39532</v>
      </c>
      <c r="K14" s="29">
        <v>78800</v>
      </c>
      <c r="L14" s="28" t="s">
        <v>14</v>
      </c>
      <c r="M14" s="29">
        <v>714247</v>
      </c>
    </row>
    <row r="15" spans="1:13">
      <c r="A15" s="268" t="s">
        <v>24</v>
      </c>
      <c r="B15" s="29">
        <v>455</v>
      </c>
      <c r="C15" s="29">
        <v>88</v>
      </c>
      <c r="D15" s="29">
        <v>18</v>
      </c>
      <c r="E15" s="29">
        <v>63</v>
      </c>
      <c r="F15" s="29">
        <v>14</v>
      </c>
      <c r="G15" s="29">
        <v>228</v>
      </c>
      <c r="H15" s="29">
        <v>744</v>
      </c>
      <c r="I15" s="28" t="s">
        <v>14</v>
      </c>
      <c r="J15" s="29">
        <v>51</v>
      </c>
      <c r="K15" s="29">
        <v>282</v>
      </c>
      <c r="L15" s="28" t="s">
        <v>14</v>
      </c>
      <c r="M15" s="29">
        <v>1943</v>
      </c>
    </row>
    <row r="16" spans="1:13">
      <c r="A16" s="268" t="s">
        <v>25</v>
      </c>
      <c r="B16" s="29">
        <v>4702</v>
      </c>
      <c r="C16" s="29">
        <v>3031</v>
      </c>
      <c r="D16" s="29">
        <v>1465</v>
      </c>
      <c r="E16" s="29">
        <v>2131</v>
      </c>
      <c r="F16" s="29">
        <v>3255</v>
      </c>
      <c r="G16" s="29">
        <v>6366</v>
      </c>
      <c r="H16" s="29">
        <v>14576</v>
      </c>
      <c r="I16" s="28" t="s">
        <v>14</v>
      </c>
      <c r="J16" s="29">
        <v>1142</v>
      </c>
      <c r="K16" s="29">
        <v>7292</v>
      </c>
      <c r="L16" s="28" t="s">
        <v>14</v>
      </c>
      <c r="M16" s="29">
        <v>43962</v>
      </c>
    </row>
    <row r="17" spans="1:13">
      <c r="A17" s="268" t="s">
        <v>26</v>
      </c>
      <c r="B17" s="29">
        <v>26468</v>
      </c>
      <c r="C17" s="29">
        <v>178027</v>
      </c>
      <c r="D17" s="29">
        <v>7564</v>
      </c>
      <c r="E17" s="29">
        <v>33202</v>
      </c>
      <c r="F17" s="29">
        <v>114759</v>
      </c>
      <c r="G17" s="29">
        <v>5579</v>
      </c>
      <c r="H17" s="29">
        <v>151419</v>
      </c>
      <c r="I17" s="29">
        <v>168</v>
      </c>
      <c r="J17" s="29">
        <v>4367</v>
      </c>
      <c r="K17" s="29">
        <v>98160</v>
      </c>
      <c r="L17" s="28" t="s">
        <v>14</v>
      </c>
      <c r="M17" s="29">
        <v>619714</v>
      </c>
    </row>
    <row r="18" spans="1:13">
      <c r="A18" s="268"/>
      <c r="B18" s="29"/>
      <c r="C18" s="29"/>
      <c r="D18" s="29"/>
      <c r="E18" s="29"/>
      <c r="F18" s="29"/>
      <c r="G18" s="29"/>
      <c r="H18" s="29"/>
      <c r="I18" s="29"/>
      <c r="J18" s="29"/>
      <c r="K18" s="29"/>
      <c r="L18" s="28"/>
      <c r="M18" s="29"/>
    </row>
    <row r="19" spans="1:13">
      <c r="A19" s="268" t="s">
        <v>27</v>
      </c>
      <c r="B19" s="29">
        <v>294</v>
      </c>
      <c r="C19" s="29">
        <v>78</v>
      </c>
      <c r="D19" s="28" t="s">
        <v>14</v>
      </c>
      <c r="E19" s="28" t="s">
        <v>14</v>
      </c>
      <c r="F19" s="29">
        <v>381</v>
      </c>
      <c r="G19" s="28" t="s">
        <v>14</v>
      </c>
      <c r="H19" s="28" t="s">
        <v>14</v>
      </c>
      <c r="I19" s="28" t="s">
        <v>14</v>
      </c>
      <c r="J19" s="28" t="s">
        <v>14</v>
      </c>
      <c r="K19" s="29">
        <v>432</v>
      </c>
      <c r="L19" s="28" t="s">
        <v>14</v>
      </c>
      <c r="M19" s="29">
        <v>1185</v>
      </c>
    </row>
    <row r="20" spans="1:13">
      <c r="A20" s="268" t="s">
        <v>28</v>
      </c>
      <c r="B20" s="29">
        <v>4852</v>
      </c>
      <c r="C20" s="28" t="s">
        <v>14</v>
      </c>
      <c r="D20" s="29">
        <v>1218</v>
      </c>
      <c r="E20" s="29">
        <v>119</v>
      </c>
      <c r="F20" s="29">
        <v>12678</v>
      </c>
      <c r="G20" s="28" t="s">
        <v>14</v>
      </c>
      <c r="H20" s="29">
        <v>934</v>
      </c>
      <c r="I20" s="28" t="s">
        <v>14</v>
      </c>
      <c r="J20" s="29">
        <v>55</v>
      </c>
      <c r="K20" s="29">
        <v>319</v>
      </c>
      <c r="L20" s="28" t="s">
        <v>14</v>
      </c>
      <c r="M20" s="29">
        <v>20175</v>
      </c>
    </row>
    <row r="21" spans="1:13">
      <c r="A21" s="268" t="s">
        <v>29</v>
      </c>
      <c r="B21" s="29">
        <v>5110</v>
      </c>
      <c r="C21" s="29">
        <v>3427</v>
      </c>
      <c r="D21" s="29">
        <v>1264</v>
      </c>
      <c r="E21" s="29">
        <v>2763</v>
      </c>
      <c r="F21" s="29">
        <v>3908</v>
      </c>
      <c r="G21" s="29">
        <v>7685</v>
      </c>
      <c r="H21" s="29">
        <v>8232</v>
      </c>
      <c r="I21" s="29">
        <v>65</v>
      </c>
      <c r="J21" s="29">
        <v>670</v>
      </c>
      <c r="K21" s="29">
        <v>3476</v>
      </c>
      <c r="L21" s="28" t="s">
        <v>14</v>
      </c>
      <c r="M21" s="29">
        <v>36600</v>
      </c>
    </row>
    <row r="22" spans="1:13">
      <c r="A22" s="268" t="s">
        <v>30</v>
      </c>
      <c r="B22" s="29">
        <v>822</v>
      </c>
      <c r="C22" s="29">
        <v>15889</v>
      </c>
      <c r="D22" s="28" t="s">
        <v>14</v>
      </c>
      <c r="E22" s="28" t="s">
        <v>14</v>
      </c>
      <c r="F22" s="29">
        <v>7884</v>
      </c>
      <c r="G22" s="29">
        <v>3725</v>
      </c>
      <c r="H22" s="29">
        <v>17657</v>
      </c>
      <c r="I22" s="28" t="s">
        <v>14</v>
      </c>
      <c r="J22" s="29">
        <v>697</v>
      </c>
      <c r="K22" s="28" t="s">
        <v>14</v>
      </c>
      <c r="L22" s="28" t="s">
        <v>14</v>
      </c>
      <c r="M22" s="29">
        <v>46673</v>
      </c>
    </row>
    <row r="23" spans="1:13">
      <c r="A23" s="268"/>
      <c r="B23" s="29"/>
      <c r="C23" s="29"/>
      <c r="D23" s="28"/>
      <c r="E23" s="28"/>
      <c r="F23" s="29"/>
      <c r="G23" s="29"/>
      <c r="H23" s="29"/>
      <c r="I23" s="28"/>
      <c r="J23" s="29"/>
      <c r="K23" s="28"/>
      <c r="L23" s="28"/>
      <c r="M23" s="29"/>
    </row>
    <row r="24" spans="1:13">
      <c r="A24" s="268"/>
      <c r="B24" s="29"/>
      <c r="C24" s="29"/>
      <c r="D24" s="28"/>
      <c r="E24" s="28"/>
      <c r="F24" s="29"/>
      <c r="G24" s="29"/>
      <c r="H24" s="29"/>
      <c r="I24" s="28"/>
      <c r="J24" s="29"/>
      <c r="K24" s="28"/>
      <c r="L24" s="28"/>
      <c r="M24" s="29"/>
    </row>
    <row r="25" spans="1:13">
      <c r="A25" s="268" t="s">
        <v>31</v>
      </c>
      <c r="B25" s="28" t="s">
        <v>14</v>
      </c>
      <c r="C25" s="28" t="s">
        <v>14</v>
      </c>
      <c r="D25" s="28" t="s">
        <v>14</v>
      </c>
      <c r="E25" s="28" t="s">
        <v>14</v>
      </c>
      <c r="F25" s="28" t="s">
        <v>14</v>
      </c>
      <c r="G25" s="28" t="s">
        <v>14</v>
      </c>
      <c r="H25" s="29">
        <v>17295</v>
      </c>
      <c r="I25" s="28" t="s">
        <v>14</v>
      </c>
      <c r="J25" s="28" t="s">
        <v>14</v>
      </c>
      <c r="K25" s="28" t="s">
        <v>14</v>
      </c>
      <c r="L25" s="28" t="s">
        <v>14</v>
      </c>
      <c r="M25" s="29">
        <v>17295</v>
      </c>
    </row>
    <row r="26" spans="1:13">
      <c r="A26" s="268" t="s">
        <v>33</v>
      </c>
      <c r="B26" s="28" t="s">
        <v>14</v>
      </c>
      <c r="C26" s="28" t="s">
        <v>14</v>
      </c>
      <c r="D26" s="28" t="s">
        <v>14</v>
      </c>
      <c r="E26" s="28" t="s">
        <v>14</v>
      </c>
      <c r="F26" s="28" t="s">
        <v>14</v>
      </c>
      <c r="G26" s="28" t="s">
        <v>14</v>
      </c>
      <c r="H26" s="28" t="s">
        <v>14</v>
      </c>
      <c r="I26" s="28" t="s">
        <v>14</v>
      </c>
      <c r="J26" s="29">
        <v>471322</v>
      </c>
      <c r="K26" s="28" t="s">
        <v>14</v>
      </c>
      <c r="L26" s="28" t="s">
        <v>14</v>
      </c>
      <c r="M26" s="29">
        <v>471322</v>
      </c>
    </row>
    <row r="27" spans="1:13">
      <c r="A27" s="268" t="s">
        <v>34</v>
      </c>
      <c r="B27" s="28" t="s">
        <v>14</v>
      </c>
      <c r="C27" s="28" t="s">
        <v>14</v>
      </c>
      <c r="D27" s="28" t="s">
        <v>14</v>
      </c>
      <c r="E27" s="28" t="s">
        <v>14</v>
      </c>
      <c r="F27" s="28" t="s">
        <v>14</v>
      </c>
      <c r="G27" s="28" t="s">
        <v>14</v>
      </c>
      <c r="H27" s="28" t="s">
        <v>14</v>
      </c>
      <c r="I27" s="28" t="s">
        <v>14</v>
      </c>
      <c r="J27" s="29">
        <v>530375</v>
      </c>
      <c r="K27" s="28" t="s">
        <v>14</v>
      </c>
      <c r="L27" s="28" t="s">
        <v>14</v>
      </c>
      <c r="M27" s="29">
        <v>530375</v>
      </c>
    </row>
    <row r="28" spans="1:13">
      <c r="A28" s="268" t="s">
        <v>35</v>
      </c>
      <c r="B28" s="29">
        <v>597</v>
      </c>
      <c r="C28" s="29">
        <v>88597</v>
      </c>
      <c r="D28" s="29">
        <v>411091</v>
      </c>
      <c r="E28" s="29">
        <v>280447</v>
      </c>
      <c r="F28" s="29">
        <v>235644</v>
      </c>
      <c r="G28" s="29">
        <v>81854</v>
      </c>
      <c r="H28" s="29">
        <v>19469</v>
      </c>
      <c r="I28" s="29">
        <v>1541</v>
      </c>
      <c r="J28" s="29">
        <v>463</v>
      </c>
      <c r="K28" s="29">
        <v>5936</v>
      </c>
      <c r="L28" s="28" t="s">
        <v>14</v>
      </c>
      <c r="M28" s="29">
        <v>1125639</v>
      </c>
    </row>
    <row r="29" spans="1:13">
      <c r="A29" s="268" t="s">
        <v>36</v>
      </c>
      <c r="B29" s="29">
        <v>5420</v>
      </c>
      <c r="C29" s="29">
        <v>149103</v>
      </c>
      <c r="D29" s="29">
        <v>73303</v>
      </c>
      <c r="E29" s="29">
        <v>49729</v>
      </c>
      <c r="F29" s="29">
        <v>189617</v>
      </c>
      <c r="G29" s="29">
        <v>36956</v>
      </c>
      <c r="H29" s="29">
        <v>40016</v>
      </c>
      <c r="I29" s="28" t="s">
        <v>14</v>
      </c>
      <c r="J29" s="29">
        <v>98867</v>
      </c>
      <c r="K29" s="29">
        <v>15113</v>
      </c>
      <c r="L29" s="28" t="s">
        <v>14</v>
      </c>
      <c r="M29" s="29">
        <v>658124</v>
      </c>
    </row>
    <row r="30" spans="1:13">
      <c r="A30" s="268"/>
      <c r="B30" s="29"/>
      <c r="C30" s="29"/>
      <c r="D30" s="29"/>
      <c r="E30" s="29"/>
      <c r="F30" s="29"/>
      <c r="G30" s="29"/>
      <c r="H30" s="29"/>
      <c r="I30" s="28"/>
      <c r="J30" s="29"/>
      <c r="K30" s="29"/>
      <c r="L30" s="28"/>
      <c r="M30" s="29"/>
    </row>
    <row r="31" spans="1:13">
      <c r="A31" s="268" t="s">
        <v>37</v>
      </c>
      <c r="B31" s="28" t="s">
        <v>14</v>
      </c>
      <c r="C31" s="28" t="s">
        <v>14</v>
      </c>
      <c r="D31" s="28" t="s">
        <v>14</v>
      </c>
      <c r="E31" s="28" t="s">
        <v>14</v>
      </c>
      <c r="F31" s="28" t="s">
        <v>14</v>
      </c>
      <c r="G31" s="29">
        <v>437488</v>
      </c>
      <c r="H31" s="28" t="s">
        <v>14</v>
      </c>
      <c r="I31" s="29">
        <v>9799116</v>
      </c>
      <c r="J31" s="29">
        <v>114408</v>
      </c>
      <c r="K31" s="28" t="s">
        <v>14</v>
      </c>
      <c r="L31" s="28" t="s">
        <v>14</v>
      </c>
      <c r="M31" s="29">
        <v>10351012</v>
      </c>
    </row>
    <row r="32" spans="1:13">
      <c r="A32" s="268" t="s">
        <v>38</v>
      </c>
      <c r="B32" s="28" t="s">
        <v>14</v>
      </c>
      <c r="C32" s="29">
        <v>150449</v>
      </c>
      <c r="D32" s="28" t="s">
        <v>14</v>
      </c>
      <c r="E32" s="28" t="s">
        <v>14</v>
      </c>
      <c r="F32" s="28" t="s">
        <v>14</v>
      </c>
      <c r="G32" s="29">
        <v>165076</v>
      </c>
      <c r="H32" s="28" t="s">
        <v>14</v>
      </c>
      <c r="I32" s="28" t="s">
        <v>14</v>
      </c>
      <c r="J32" s="28" t="s">
        <v>14</v>
      </c>
      <c r="K32" s="28" t="s">
        <v>14</v>
      </c>
      <c r="L32" s="28" t="s">
        <v>14</v>
      </c>
      <c r="M32" s="29">
        <v>315525</v>
      </c>
    </row>
    <row r="33" spans="1:13">
      <c r="A33" s="268" t="s">
        <v>40</v>
      </c>
      <c r="B33" s="29">
        <v>3339</v>
      </c>
      <c r="C33" s="29">
        <v>546959</v>
      </c>
      <c r="D33" s="29">
        <v>12691</v>
      </c>
      <c r="E33" s="29">
        <v>58270</v>
      </c>
      <c r="F33" s="29">
        <v>354478</v>
      </c>
      <c r="G33" s="29">
        <v>621460</v>
      </c>
      <c r="H33" s="29">
        <v>316552</v>
      </c>
      <c r="I33" s="28" t="s">
        <v>14</v>
      </c>
      <c r="J33" s="29">
        <v>283633</v>
      </c>
      <c r="K33" s="29">
        <v>44213</v>
      </c>
      <c r="L33" s="28" t="s">
        <v>14</v>
      </c>
      <c r="M33" s="29">
        <v>2241595</v>
      </c>
    </row>
    <row r="34" spans="1:13">
      <c r="A34" s="268" t="s">
        <v>41</v>
      </c>
      <c r="B34" s="28" t="s">
        <v>14</v>
      </c>
      <c r="C34" s="28" t="s">
        <v>14</v>
      </c>
      <c r="D34" s="29">
        <v>-32492</v>
      </c>
      <c r="E34" s="29">
        <v>-698195</v>
      </c>
      <c r="F34" s="29">
        <v>24579</v>
      </c>
      <c r="G34" s="29">
        <v>28353</v>
      </c>
      <c r="H34" s="28" t="s">
        <v>14</v>
      </c>
      <c r="I34" s="28" t="s">
        <v>14</v>
      </c>
      <c r="J34" s="29">
        <v>278</v>
      </c>
      <c r="K34" s="28" t="s">
        <v>14</v>
      </c>
      <c r="L34" s="28" t="s">
        <v>14</v>
      </c>
      <c r="M34" s="29">
        <v>-677478</v>
      </c>
    </row>
    <row r="35" spans="1:13">
      <c r="A35" s="268" t="s">
        <v>304</v>
      </c>
      <c r="B35" s="28" t="s">
        <v>14</v>
      </c>
      <c r="C35" s="28" t="s">
        <v>14</v>
      </c>
      <c r="D35" s="28" t="s">
        <v>14</v>
      </c>
      <c r="E35" s="29">
        <v>100878</v>
      </c>
      <c r="F35" s="28" t="s">
        <v>14</v>
      </c>
      <c r="G35" s="28" t="s">
        <v>14</v>
      </c>
      <c r="H35" s="28" t="s">
        <v>14</v>
      </c>
      <c r="I35" s="28" t="s">
        <v>14</v>
      </c>
      <c r="J35" s="28" t="s">
        <v>14</v>
      </c>
      <c r="K35" s="28" t="s">
        <v>14</v>
      </c>
      <c r="L35" s="28" t="s">
        <v>14</v>
      </c>
      <c r="M35" s="29">
        <v>100878</v>
      </c>
    </row>
    <row r="36" spans="1:13">
      <c r="A36" s="268" t="s">
        <v>305</v>
      </c>
      <c r="B36" s="28" t="s">
        <v>14</v>
      </c>
      <c r="C36" s="28" t="s">
        <v>14</v>
      </c>
      <c r="D36" s="28" t="s">
        <v>14</v>
      </c>
      <c r="E36" s="29">
        <v>145640</v>
      </c>
      <c r="F36" s="28" t="s">
        <v>14</v>
      </c>
      <c r="G36" s="28" t="s">
        <v>14</v>
      </c>
      <c r="H36" s="28" t="s">
        <v>14</v>
      </c>
      <c r="I36" s="28" t="s">
        <v>14</v>
      </c>
      <c r="J36" s="28" t="s">
        <v>14</v>
      </c>
      <c r="K36" s="28" t="s">
        <v>14</v>
      </c>
      <c r="L36" s="28" t="s">
        <v>14</v>
      </c>
      <c r="M36" s="29">
        <v>145640</v>
      </c>
    </row>
    <row r="37" spans="1:13">
      <c r="A37" s="268" t="s">
        <v>42</v>
      </c>
      <c r="B37" s="28" t="s">
        <v>14</v>
      </c>
      <c r="C37" s="28" t="s">
        <v>14</v>
      </c>
      <c r="D37" s="28" t="s">
        <v>14</v>
      </c>
      <c r="E37" s="28" t="s">
        <v>14</v>
      </c>
      <c r="F37" s="28" t="s">
        <v>14</v>
      </c>
      <c r="G37" s="28" t="s">
        <v>14</v>
      </c>
      <c r="H37" s="28" t="s">
        <v>14</v>
      </c>
      <c r="I37" s="29">
        <v>13453</v>
      </c>
      <c r="J37" s="28" t="s">
        <v>14</v>
      </c>
      <c r="K37" s="28" t="s">
        <v>14</v>
      </c>
      <c r="L37" s="28" t="s">
        <v>14</v>
      </c>
      <c r="M37" s="29">
        <v>13453</v>
      </c>
    </row>
    <row r="38" spans="1:13">
      <c r="A38" s="268"/>
      <c r="B38" s="28"/>
      <c r="C38" s="28"/>
      <c r="D38" s="28"/>
      <c r="E38" s="28"/>
      <c r="F38" s="28"/>
      <c r="G38" s="28"/>
      <c r="H38" s="28"/>
      <c r="I38" s="29"/>
      <c r="J38" s="28"/>
      <c r="K38" s="28"/>
      <c r="L38" s="28"/>
      <c r="M38" s="29"/>
    </row>
    <row r="39" spans="1:13">
      <c r="A39" s="268" t="s">
        <v>318</v>
      </c>
      <c r="B39" s="29">
        <v>91</v>
      </c>
      <c r="C39" s="28" t="s">
        <v>14</v>
      </c>
      <c r="D39" s="28" t="s">
        <v>14</v>
      </c>
      <c r="E39" s="28" t="s">
        <v>14</v>
      </c>
      <c r="F39" s="28" t="s">
        <v>14</v>
      </c>
      <c r="G39" s="28" t="s">
        <v>14</v>
      </c>
      <c r="H39" s="28" t="s">
        <v>14</v>
      </c>
      <c r="I39" s="28" t="s">
        <v>14</v>
      </c>
      <c r="J39" s="28" t="s">
        <v>14</v>
      </c>
      <c r="K39" s="28" t="s">
        <v>14</v>
      </c>
      <c r="L39" s="28" t="s">
        <v>14</v>
      </c>
      <c r="M39" s="29">
        <v>91</v>
      </c>
    </row>
    <row r="40" spans="1:13">
      <c r="A40" s="268"/>
      <c r="B40" s="29"/>
      <c r="C40" s="28"/>
      <c r="D40" s="28"/>
      <c r="E40" s="28"/>
      <c r="F40" s="28"/>
      <c r="G40" s="28"/>
      <c r="H40" s="28"/>
      <c r="I40" s="28"/>
      <c r="J40" s="28"/>
      <c r="K40" s="28"/>
      <c r="L40" s="28"/>
      <c r="M40" s="29"/>
    </row>
    <row r="41" spans="1:13">
      <c r="A41" s="268" t="s">
        <v>43</v>
      </c>
      <c r="B41" s="28" t="s">
        <v>14</v>
      </c>
      <c r="C41" s="28" t="s">
        <v>14</v>
      </c>
      <c r="D41" s="28" t="s">
        <v>14</v>
      </c>
      <c r="E41" s="28" t="s">
        <v>14</v>
      </c>
      <c r="F41" s="28" t="s">
        <v>14</v>
      </c>
      <c r="G41" s="28" t="s">
        <v>14</v>
      </c>
      <c r="H41" s="28" t="s">
        <v>14</v>
      </c>
      <c r="I41" s="29">
        <v>8656</v>
      </c>
      <c r="J41" s="28" t="s">
        <v>14</v>
      </c>
      <c r="K41" s="28" t="s">
        <v>14</v>
      </c>
      <c r="L41" s="28" t="s">
        <v>14</v>
      </c>
      <c r="M41" s="29">
        <v>8656</v>
      </c>
    </row>
    <row r="42" spans="1:13">
      <c r="A42" s="268" t="s">
        <v>44</v>
      </c>
      <c r="B42" s="29">
        <v>4173</v>
      </c>
      <c r="C42" s="29">
        <v>3787</v>
      </c>
      <c r="D42" s="29">
        <v>607</v>
      </c>
      <c r="E42" s="29">
        <v>2748</v>
      </c>
      <c r="F42" s="29">
        <v>7305</v>
      </c>
      <c r="G42" s="29">
        <v>1591</v>
      </c>
      <c r="H42" s="29">
        <v>12742</v>
      </c>
      <c r="I42" s="29">
        <v>89</v>
      </c>
      <c r="J42" s="29">
        <v>1142</v>
      </c>
      <c r="K42" s="29">
        <v>8855</v>
      </c>
      <c r="L42" s="28" t="s">
        <v>14</v>
      </c>
      <c r="M42" s="29">
        <v>43038</v>
      </c>
    </row>
    <row r="43" spans="1:13">
      <c r="A43" s="268" t="s">
        <v>45</v>
      </c>
      <c r="B43" s="29">
        <v>943</v>
      </c>
      <c r="C43" s="29">
        <v>1187</v>
      </c>
      <c r="D43" s="29">
        <v>178</v>
      </c>
      <c r="E43" s="29">
        <v>763</v>
      </c>
      <c r="F43" s="29">
        <v>1998</v>
      </c>
      <c r="G43" s="29">
        <v>465</v>
      </c>
      <c r="H43" s="29">
        <v>3635</v>
      </c>
      <c r="I43" s="29">
        <v>25</v>
      </c>
      <c r="J43" s="29">
        <v>325</v>
      </c>
      <c r="K43" s="29">
        <v>2270</v>
      </c>
      <c r="L43" s="28" t="s">
        <v>14</v>
      </c>
      <c r="M43" s="29">
        <v>11790</v>
      </c>
    </row>
    <row r="44" spans="1:13">
      <c r="A44" s="268" t="s">
        <v>46</v>
      </c>
      <c r="B44" s="29">
        <v>761</v>
      </c>
      <c r="C44" s="29">
        <v>1704</v>
      </c>
      <c r="D44" s="29">
        <v>133</v>
      </c>
      <c r="E44" s="29">
        <v>744</v>
      </c>
      <c r="F44" s="29">
        <v>1867</v>
      </c>
      <c r="G44" s="29">
        <v>480</v>
      </c>
      <c r="H44" s="29">
        <v>4543</v>
      </c>
      <c r="I44" s="29">
        <v>6</v>
      </c>
      <c r="J44" s="29">
        <v>258</v>
      </c>
      <c r="K44" s="29">
        <v>1911</v>
      </c>
      <c r="L44" s="28" t="s">
        <v>14</v>
      </c>
      <c r="M44" s="29">
        <v>12406</v>
      </c>
    </row>
    <row r="45" spans="1:13">
      <c r="A45" s="268" t="s">
        <v>47</v>
      </c>
      <c r="B45" s="29">
        <v>0</v>
      </c>
      <c r="C45" s="29">
        <v>0</v>
      </c>
      <c r="D45" s="28" t="s">
        <v>14</v>
      </c>
      <c r="E45" s="28" t="s">
        <v>14</v>
      </c>
      <c r="F45" s="29">
        <v>0</v>
      </c>
      <c r="G45" s="28" t="s">
        <v>14</v>
      </c>
      <c r="H45" s="28" t="s">
        <v>14</v>
      </c>
      <c r="I45" s="28" t="s">
        <v>14</v>
      </c>
      <c r="J45" s="28" t="s">
        <v>14</v>
      </c>
      <c r="K45" s="29">
        <v>0</v>
      </c>
      <c r="L45" s="28" t="s">
        <v>14</v>
      </c>
      <c r="M45" s="29">
        <v>0</v>
      </c>
    </row>
    <row r="46" spans="1:13">
      <c r="A46" s="268" t="s">
        <v>48</v>
      </c>
      <c r="B46" s="29">
        <v>1479</v>
      </c>
      <c r="C46" s="29">
        <v>811</v>
      </c>
      <c r="D46" s="28" t="s">
        <v>14</v>
      </c>
      <c r="E46" s="28" t="s">
        <v>14</v>
      </c>
      <c r="F46" s="28" t="s">
        <v>14</v>
      </c>
      <c r="G46" s="28" t="s">
        <v>14</v>
      </c>
      <c r="H46" s="28" t="s">
        <v>14</v>
      </c>
      <c r="I46" s="28" t="s">
        <v>14</v>
      </c>
      <c r="J46" s="28" t="s">
        <v>14</v>
      </c>
      <c r="K46" s="28" t="s">
        <v>14</v>
      </c>
      <c r="L46" s="28" t="s">
        <v>14</v>
      </c>
      <c r="M46" s="29">
        <v>2289</v>
      </c>
    </row>
    <row r="47" spans="1:13">
      <c r="A47" s="268" t="s">
        <v>49</v>
      </c>
      <c r="B47" s="29">
        <v>0</v>
      </c>
      <c r="C47" s="28" t="s">
        <v>14</v>
      </c>
      <c r="D47" s="28" t="s">
        <v>14</v>
      </c>
      <c r="E47" s="28" t="s">
        <v>14</v>
      </c>
      <c r="F47" s="28" t="s">
        <v>14</v>
      </c>
      <c r="G47" s="28" t="s">
        <v>14</v>
      </c>
      <c r="H47" s="28" t="s">
        <v>14</v>
      </c>
      <c r="I47" s="28" t="s">
        <v>14</v>
      </c>
      <c r="J47" s="29">
        <v>0</v>
      </c>
      <c r="K47" s="29">
        <v>0</v>
      </c>
      <c r="L47" s="28" t="s">
        <v>14</v>
      </c>
      <c r="M47" s="29">
        <v>0</v>
      </c>
    </row>
    <row r="48" spans="1:13">
      <c r="A48" s="268"/>
      <c r="B48" s="29"/>
      <c r="C48" s="28"/>
      <c r="D48" s="28"/>
      <c r="E48" s="28"/>
      <c r="F48" s="28"/>
      <c r="G48" s="28"/>
      <c r="H48" s="28"/>
      <c r="I48" s="28"/>
      <c r="J48" s="29"/>
      <c r="K48" s="29"/>
      <c r="L48" s="28"/>
      <c r="M48" s="29"/>
    </row>
    <row r="49" spans="1:13">
      <c r="A49" s="268"/>
      <c r="B49" s="29"/>
      <c r="C49" s="28"/>
      <c r="D49" s="28"/>
      <c r="E49" s="28"/>
      <c r="F49" s="28"/>
      <c r="G49" s="28"/>
      <c r="H49" s="28"/>
      <c r="I49" s="28"/>
      <c r="J49" s="29"/>
      <c r="K49" s="29"/>
      <c r="L49" s="28"/>
      <c r="M49" s="29"/>
    </row>
    <row r="50" spans="1:13">
      <c r="A50" s="268" t="s">
        <v>50</v>
      </c>
      <c r="B50" s="28" t="s">
        <v>14</v>
      </c>
      <c r="C50" s="28" t="s">
        <v>14</v>
      </c>
      <c r="D50" s="28" t="s">
        <v>14</v>
      </c>
      <c r="E50" s="28" t="s">
        <v>14</v>
      </c>
      <c r="F50" s="28" t="s">
        <v>14</v>
      </c>
      <c r="G50" s="28" t="s">
        <v>14</v>
      </c>
      <c r="H50" s="28" t="s">
        <v>14</v>
      </c>
      <c r="I50" s="29">
        <v>404640</v>
      </c>
      <c r="J50" s="28" t="s">
        <v>14</v>
      </c>
      <c r="K50" s="28" t="s">
        <v>14</v>
      </c>
      <c r="L50" s="28" t="s">
        <v>14</v>
      </c>
      <c r="M50" s="29">
        <v>404640</v>
      </c>
    </row>
    <row r="51" spans="1:13">
      <c r="A51" s="268" t="s">
        <v>51</v>
      </c>
      <c r="B51" s="28" t="s">
        <v>14</v>
      </c>
      <c r="C51" s="28" t="s">
        <v>14</v>
      </c>
      <c r="D51" s="29">
        <v>-77175</v>
      </c>
      <c r="E51" s="29">
        <v>287824</v>
      </c>
      <c r="F51" s="28" t="s">
        <v>14</v>
      </c>
      <c r="G51" s="28" t="s">
        <v>14</v>
      </c>
      <c r="H51" s="28" t="s">
        <v>14</v>
      </c>
      <c r="I51" s="28" t="s">
        <v>14</v>
      </c>
      <c r="J51" s="28" t="s">
        <v>14</v>
      </c>
      <c r="K51" s="28" t="s">
        <v>14</v>
      </c>
      <c r="L51" s="28" t="s">
        <v>14</v>
      </c>
      <c r="M51" s="29">
        <v>210650</v>
      </c>
    </row>
    <row r="52" spans="1:13">
      <c r="A52" s="268" t="s">
        <v>52</v>
      </c>
      <c r="B52" s="28" t="s">
        <v>14</v>
      </c>
      <c r="C52" s="28" t="s">
        <v>14</v>
      </c>
      <c r="D52" s="29">
        <v>-150983</v>
      </c>
      <c r="E52" s="29">
        <v>306681</v>
      </c>
      <c r="F52" s="28" t="s">
        <v>14</v>
      </c>
      <c r="G52" s="28" t="s">
        <v>14</v>
      </c>
      <c r="H52" s="28" t="s">
        <v>14</v>
      </c>
      <c r="I52" s="28" t="s">
        <v>14</v>
      </c>
      <c r="J52" s="28" t="s">
        <v>14</v>
      </c>
      <c r="K52" s="28" t="s">
        <v>14</v>
      </c>
      <c r="L52" s="28" t="s">
        <v>14</v>
      </c>
      <c r="M52" s="29">
        <v>155698</v>
      </c>
    </row>
    <row r="53" spans="1:13">
      <c r="A53" s="268" t="s">
        <v>53</v>
      </c>
      <c r="B53" s="29">
        <v>671</v>
      </c>
      <c r="C53" s="29">
        <v>27559</v>
      </c>
      <c r="D53" s="29">
        <v>3512</v>
      </c>
      <c r="E53" s="29">
        <v>1496</v>
      </c>
      <c r="F53" s="29">
        <v>18488</v>
      </c>
      <c r="G53" s="29">
        <v>14057</v>
      </c>
      <c r="H53" s="29">
        <v>11907</v>
      </c>
      <c r="I53" s="28" t="s">
        <v>14</v>
      </c>
      <c r="J53" s="29">
        <v>24159</v>
      </c>
      <c r="K53" s="29">
        <v>708</v>
      </c>
      <c r="L53" s="28" t="s">
        <v>14</v>
      </c>
      <c r="M53" s="29">
        <v>102556</v>
      </c>
    </row>
    <row r="54" spans="1:13">
      <c r="A54" s="268" t="s">
        <v>54</v>
      </c>
      <c r="B54" s="29">
        <v>671</v>
      </c>
      <c r="C54" s="29">
        <v>27559</v>
      </c>
      <c r="D54" s="29">
        <v>3512</v>
      </c>
      <c r="E54" s="29">
        <v>1496</v>
      </c>
      <c r="F54" s="29">
        <v>18488</v>
      </c>
      <c r="G54" s="29">
        <v>14057</v>
      </c>
      <c r="H54" s="29">
        <v>11907</v>
      </c>
      <c r="I54" s="28" t="s">
        <v>14</v>
      </c>
      <c r="J54" s="29">
        <v>24159</v>
      </c>
      <c r="K54" s="29">
        <v>708</v>
      </c>
      <c r="L54" s="28" t="s">
        <v>14</v>
      </c>
      <c r="M54" s="29">
        <v>102556</v>
      </c>
    </row>
    <row r="55" spans="1:13">
      <c r="A55" s="268"/>
      <c r="B55" s="29"/>
      <c r="C55" s="29"/>
      <c r="D55" s="29"/>
      <c r="E55" s="29"/>
      <c r="F55" s="29"/>
      <c r="G55" s="29"/>
      <c r="H55" s="29"/>
      <c r="I55" s="28"/>
      <c r="J55" s="29"/>
      <c r="K55" s="29"/>
      <c r="L55" s="28"/>
      <c r="M55" s="29"/>
    </row>
    <row r="56" spans="1:13">
      <c r="A56" s="268" t="s">
        <v>55</v>
      </c>
      <c r="B56" s="29">
        <v>42</v>
      </c>
      <c r="C56" s="29">
        <v>6284</v>
      </c>
      <c r="D56" s="29">
        <v>4828</v>
      </c>
      <c r="E56" s="29">
        <v>12199</v>
      </c>
      <c r="F56" s="29">
        <v>18575</v>
      </c>
      <c r="G56" s="29">
        <v>22428</v>
      </c>
      <c r="H56" s="29">
        <v>7066</v>
      </c>
      <c r="I56" s="29">
        <v>7679</v>
      </c>
      <c r="J56" s="29">
        <v>4058</v>
      </c>
      <c r="K56" s="29">
        <v>1116</v>
      </c>
      <c r="L56" s="28" t="s">
        <v>14</v>
      </c>
      <c r="M56" s="29">
        <v>84275</v>
      </c>
    </row>
    <row r="57" spans="1:13">
      <c r="A57" s="268" t="s">
        <v>56</v>
      </c>
      <c r="B57" s="29">
        <v>0</v>
      </c>
      <c r="C57" s="29">
        <v>0</v>
      </c>
      <c r="D57" s="29">
        <v>0</v>
      </c>
      <c r="E57" s="29">
        <v>0</v>
      </c>
      <c r="F57" s="29">
        <v>0</v>
      </c>
      <c r="G57" s="29">
        <v>0</v>
      </c>
      <c r="H57" s="29">
        <v>0</v>
      </c>
      <c r="I57" s="29">
        <v>0</v>
      </c>
      <c r="J57" s="29">
        <v>0</v>
      </c>
      <c r="K57" s="29">
        <v>0</v>
      </c>
      <c r="L57" s="29">
        <v>0</v>
      </c>
      <c r="M57" s="29">
        <v>0</v>
      </c>
    </row>
    <row r="58" spans="1:13">
      <c r="A58" s="268" t="s">
        <v>57</v>
      </c>
      <c r="B58" s="29">
        <v>9327</v>
      </c>
      <c r="C58" s="29">
        <v>1131</v>
      </c>
      <c r="D58" s="29">
        <v>259</v>
      </c>
      <c r="E58" s="29">
        <v>10</v>
      </c>
      <c r="F58" s="29">
        <v>496041</v>
      </c>
      <c r="G58" s="28" t="s">
        <v>14</v>
      </c>
      <c r="H58" s="29">
        <v>16679</v>
      </c>
      <c r="I58" s="29">
        <v>807</v>
      </c>
      <c r="J58" s="29">
        <v>-26504</v>
      </c>
      <c r="K58" s="29">
        <v>70374</v>
      </c>
      <c r="L58" s="29">
        <v>2515904</v>
      </c>
      <c r="M58" s="29">
        <v>3084027</v>
      </c>
    </row>
    <row r="59" spans="1:13">
      <c r="A59" s="268" t="s">
        <v>58</v>
      </c>
      <c r="B59" s="29">
        <v>1139322</v>
      </c>
      <c r="C59" s="29">
        <v>5681883</v>
      </c>
      <c r="D59" s="29">
        <v>1064701</v>
      </c>
      <c r="E59" s="29">
        <v>2477637</v>
      </c>
      <c r="F59" s="29">
        <v>3902352</v>
      </c>
      <c r="G59" s="29">
        <v>7935044</v>
      </c>
      <c r="H59" s="29">
        <v>6786756</v>
      </c>
      <c r="I59" s="29">
        <v>10246269</v>
      </c>
      <c r="J59" s="29">
        <v>2203528</v>
      </c>
      <c r="K59" s="29">
        <v>1757284</v>
      </c>
      <c r="L59" s="29">
        <v>4336012</v>
      </c>
      <c r="M59" s="29">
        <v>47530787</v>
      </c>
    </row>
    <row r="60" spans="1:13">
      <c r="A60" s="268" t="s">
        <v>59</v>
      </c>
      <c r="B60" s="29">
        <v>0</v>
      </c>
      <c r="C60" s="29">
        <v>0</v>
      </c>
      <c r="D60" s="29">
        <v>0</v>
      </c>
      <c r="E60" s="29">
        <v>1859</v>
      </c>
      <c r="F60" s="29">
        <v>46767</v>
      </c>
      <c r="G60" s="29">
        <v>0</v>
      </c>
      <c r="H60" s="29">
        <v>456</v>
      </c>
      <c r="I60" s="29">
        <v>250125</v>
      </c>
      <c r="J60" s="29">
        <v>0</v>
      </c>
      <c r="K60" s="29">
        <v>41</v>
      </c>
      <c r="L60" s="29">
        <v>2512161</v>
      </c>
      <c r="M60" s="29">
        <v>2811411</v>
      </c>
    </row>
    <row r="61" spans="1:13">
      <c r="A61" s="268" t="s">
        <v>60</v>
      </c>
      <c r="B61" s="29">
        <v>1139322</v>
      </c>
      <c r="C61" s="29">
        <v>5681883</v>
      </c>
      <c r="D61" s="29">
        <v>1064701</v>
      </c>
      <c r="E61" s="29">
        <v>2475778</v>
      </c>
      <c r="F61" s="29">
        <v>3855584</v>
      </c>
      <c r="G61" s="29">
        <v>7935044</v>
      </c>
      <c r="H61" s="29">
        <v>6786299</v>
      </c>
      <c r="I61" s="29">
        <v>9996144</v>
      </c>
      <c r="J61" s="29">
        <v>2203528</v>
      </c>
      <c r="K61" s="29">
        <v>1757242</v>
      </c>
      <c r="L61" s="29">
        <v>1823851</v>
      </c>
      <c r="M61" s="29">
        <v>44719376</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O137"/>
  <sheetViews>
    <sheetView tabSelected="1" view="pageBreakPreview" zoomScale="120" zoomScaleNormal="100" zoomScaleSheetLayoutView="120" workbookViewId="0">
      <pane xSplit="2" ySplit="4" topLeftCell="C5" activePane="bottomRight" state="frozen"/>
      <selection pane="topRight" activeCell="C1" sqref="C1"/>
      <selection pane="bottomLeft" activeCell="A6" sqref="A6"/>
      <selection pane="bottomRight" activeCell="C116" sqref="C116:BK116"/>
    </sheetView>
  </sheetViews>
  <sheetFormatPr defaultRowHeight="15"/>
  <cols>
    <col min="1" max="1" width="10.5703125" style="132" customWidth="1"/>
    <col min="2" max="2" width="26.28515625" bestFit="1"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3"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41" customWidth="1"/>
    <col min="30" max="30" width="14.85546875" customWidth="1"/>
    <col min="31" max="31" width="12.140625"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6" max="66" width="9.7109375" bestFit="1" customWidth="1"/>
  </cols>
  <sheetData>
    <row r="1" spans="1:67" ht="15.75">
      <c r="A1" s="121"/>
      <c r="B1" s="193"/>
      <c r="C1" s="272" t="s">
        <v>325</v>
      </c>
      <c r="D1" s="272"/>
      <c r="E1" s="272"/>
      <c r="F1" s="272"/>
      <c r="G1" s="272"/>
      <c r="H1" s="272"/>
      <c r="I1" s="272"/>
      <c r="J1" s="272"/>
      <c r="K1" s="272"/>
      <c r="L1" s="1"/>
      <c r="M1" s="1"/>
      <c r="N1" s="1"/>
      <c r="O1" s="1"/>
      <c r="P1" s="1"/>
      <c r="Q1" s="1"/>
      <c r="R1" s="1"/>
      <c r="S1" s="1"/>
      <c r="T1" s="1"/>
      <c r="U1" s="1"/>
      <c r="V1" s="177"/>
      <c r="W1" s="1"/>
      <c r="X1" s="1"/>
      <c r="Y1" s="1"/>
      <c r="Z1" s="1"/>
      <c r="AA1" s="1"/>
      <c r="AB1" s="1"/>
      <c r="AC1" s="2"/>
      <c r="AD1" s="2"/>
      <c r="AE1" s="1"/>
      <c r="AF1" s="1"/>
      <c r="AG1" s="1"/>
      <c r="AH1" s="1"/>
      <c r="AI1" s="1"/>
      <c r="AJ1" s="1"/>
      <c r="AK1" s="1"/>
      <c r="AL1" s="1"/>
      <c r="AM1" s="1"/>
      <c r="AN1" s="1"/>
      <c r="AO1" s="177"/>
      <c r="AP1" s="1"/>
      <c r="AQ1" s="2"/>
      <c r="AR1" s="1"/>
      <c r="AS1" s="1"/>
      <c r="AT1" s="1"/>
      <c r="AU1" s="1"/>
      <c r="AV1" s="1"/>
      <c r="AW1" s="2"/>
      <c r="AX1" s="1"/>
      <c r="AY1" s="1"/>
      <c r="AZ1" s="1"/>
      <c r="BA1" s="1"/>
      <c r="BB1" s="2"/>
      <c r="BD1" s="1"/>
      <c r="BE1" s="1"/>
      <c r="BF1" s="1"/>
      <c r="BG1" s="1"/>
      <c r="BH1" s="177"/>
      <c r="BI1" s="42"/>
      <c r="BJ1" s="1"/>
      <c r="BK1" s="48"/>
    </row>
    <row r="2" spans="1:67" ht="15.75">
      <c r="A2" s="121"/>
      <c r="B2" s="1"/>
      <c r="C2" s="1"/>
      <c r="D2" s="1"/>
      <c r="E2" s="1"/>
      <c r="F2" s="1"/>
      <c r="G2" s="1"/>
      <c r="H2" s="1"/>
      <c r="I2" s="1"/>
      <c r="J2" s="1"/>
      <c r="K2" s="1"/>
      <c r="L2" s="1"/>
      <c r="M2" s="273" t="s">
        <v>61</v>
      </c>
      <c r="N2" s="273"/>
      <c r="O2" s="273"/>
      <c r="P2" s="1"/>
      <c r="Q2" s="1"/>
      <c r="R2" s="1"/>
      <c r="S2" s="1"/>
      <c r="T2" s="1"/>
      <c r="U2" s="1"/>
      <c r="V2" s="177"/>
      <c r="W2" s="1"/>
      <c r="X2" s="1"/>
      <c r="Y2" s="1"/>
      <c r="Z2" s="1"/>
      <c r="AA2" s="1"/>
      <c r="AB2" s="1"/>
      <c r="AC2" s="2"/>
      <c r="AD2" s="2"/>
      <c r="AE2" s="1"/>
      <c r="AF2" s="1"/>
      <c r="AG2" s="1"/>
      <c r="AH2" s="1"/>
      <c r="AI2" s="1"/>
      <c r="AJ2" s="1"/>
      <c r="AK2" s="1"/>
      <c r="AL2" s="1"/>
      <c r="AM2" s="1"/>
      <c r="AN2" s="1"/>
      <c r="AO2" s="177"/>
      <c r="AP2" s="1"/>
      <c r="AQ2" s="273" t="s">
        <v>61</v>
      </c>
      <c r="AR2" s="273"/>
      <c r="AS2" s="273"/>
      <c r="AT2" s="1"/>
      <c r="AU2" s="1"/>
      <c r="AV2" s="1"/>
      <c r="AW2" s="2"/>
      <c r="AX2" s="1"/>
      <c r="AY2" s="1"/>
      <c r="AZ2" s="1"/>
      <c r="BA2" s="1"/>
      <c r="BB2" s="2"/>
      <c r="BC2" s="1"/>
      <c r="BD2" s="1"/>
      <c r="BE2" s="1"/>
      <c r="BF2" s="1"/>
      <c r="BG2" s="1"/>
      <c r="BH2" s="263">
        <f>6794202-BK71</f>
        <v>0</v>
      </c>
      <c r="BI2" s="273" t="s">
        <v>61</v>
      </c>
      <c r="BJ2" s="273"/>
      <c r="BK2" s="273"/>
    </row>
    <row r="3" spans="1:67" ht="37.5" customHeight="1">
      <c r="A3" s="39"/>
      <c r="B3" s="3"/>
      <c r="C3" s="3" t="s">
        <v>62</v>
      </c>
      <c r="D3" s="3" t="s">
        <v>63</v>
      </c>
      <c r="E3" s="3" t="s">
        <v>64</v>
      </c>
      <c r="F3" s="3" t="s">
        <v>65</v>
      </c>
      <c r="G3" s="3" t="s">
        <v>66</v>
      </c>
      <c r="H3" s="3" t="s">
        <v>67</v>
      </c>
      <c r="I3" s="3" t="s">
        <v>68</v>
      </c>
      <c r="J3" s="3" t="s">
        <v>69</v>
      </c>
      <c r="K3" s="3" t="s">
        <v>70</v>
      </c>
      <c r="L3" s="3" t="s">
        <v>71</v>
      </c>
      <c r="M3" s="3" t="s">
        <v>72</v>
      </c>
      <c r="N3" s="3" t="s">
        <v>73</v>
      </c>
      <c r="O3" s="3" t="s">
        <v>74</v>
      </c>
      <c r="P3" s="3" t="s">
        <v>75</v>
      </c>
      <c r="Q3" s="3" t="s">
        <v>76</v>
      </c>
      <c r="R3" s="3" t="s">
        <v>77</v>
      </c>
      <c r="S3" s="3" t="s">
        <v>78</v>
      </c>
      <c r="T3" s="3" t="s">
        <v>79</v>
      </c>
      <c r="U3" s="3" t="s">
        <v>95</v>
      </c>
      <c r="V3" s="39" t="s">
        <v>80</v>
      </c>
      <c r="W3" s="3" t="s">
        <v>81</v>
      </c>
      <c r="X3" s="3" t="s">
        <v>82</v>
      </c>
      <c r="Y3" s="3" t="s">
        <v>83</v>
      </c>
      <c r="Z3" s="3" t="s">
        <v>84</v>
      </c>
      <c r="AA3" s="3" t="s">
        <v>85</v>
      </c>
      <c r="AB3" s="3" t="s">
        <v>291</v>
      </c>
      <c r="AC3" s="4" t="s">
        <v>111</v>
      </c>
      <c r="AD3" s="4" t="s">
        <v>86</v>
      </c>
      <c r="AE3" s="3" t="s">
        <v>87</v>
      </c>
      <c r="AF3" s="3" t="s">
        <v>88</v>
      </c>
      <c r="AG3" s="3" t="s">
        <v>89</v>
      </c>
      <c r="AH3" s="3" t="s">
        <v>90</v>
      </c>
      <c r="AI3" s="3" t="s">
        <v>91</v>
      </c>
      <c r="AJ3" s="3" t="s">
        <v>92</v>
      </c>
      <c r="AK3" s="3" t="s">
        <v>93</v>
      </c>
      <c r="AL3" s="3" t="s">
        <v>94</v>
      </c>
      <c r="AM3" s="3" t="s">
        <v>96</v>
      </c>
      <c r="AN3" s="3" t="s">
        <v>97</v>
      </c>
      <c r="AO3" s="39" t="s">
        <v>98</v>
      </c>
      <c r="AP3" s="3" t="s">
        <v>99</v>
      </c>
      <c r="AQ3" s="4" t="s">
        <v>100</v>
      </c>
      <c r="AR3" s="3" t="s">
        <v>101</v>
      </c>
      <c r="AS3" s="3" t="s">
        <v>102</v>
      </c>
      <c r="AT3" s="3" t="s">
        <v>103</v>
      </c>
      <c r="AU3" s="39" t="s">
        <v>104</v>
      </c>
      <c r="AV3" s="39" t="s">
        <v>105</v>
      </c>
      <c r="AW3" s="39" t="s">
        <v>106</v>
      </c>
      <c r="AX3" s="3" t="s">
        <v>107</v>
      </c>
      <c r="AY3" s="3" t="s">
        <v>108</v>
      </c>
      <c r="AZ3" s="3" t="s">
        <v>109</v>
      </c>
      <c r="BA3" s="3" t="s">
        <v>110</v>
      </c>
      <c r="BB3" s="4" t="s">
        <v>112</v>
      </c>
      <c r="BC3" s="3" t="s">
        <v>113</v>
      </c>
      <c r="BD3" s="3" t="s">
        <v>114</v>
      </c>
      <c r="BE3" s="3" t="s">
        <v>115</v>
      </c>
      <c r="BF3" s="3" t="s">
        <v>116</v>
      </c>
      <c r="BG3" s="3" t="s">
        <v>117</v>
      </c>
      <c r="BH3" s="39" t="s">
        <v>136</v>
      </c>
      <c r="BI3" s="43" t="s">
        <v>118</v>
      </c>
      <c r="BJ3" s="3" t="s">
        <v>119</v>
      </c>
      <c r="BK3" s="49" t="s">
        <v>120</v>
      </c>
    </row>
    <row r="4" spans="1:67" s="132" customFormat="1" ht="15.75">
      <c r="A4" s="130" t="s">
        <v>199</v>
      </c>
      <c r="B4" s="130" t="s">
        <v>121</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6">
        <v>63</v>
      </c>
      <c r="AD4" s="136"/>
      <c r="AE4" s="130">
        <v>18</v>
      </c>
      <c r="AF4" s="130">
        <v>19</v>
      </c>
      <c r="AG4" s="130">
        <v>21</v>
      </c>
      <c r="AH4" s="130">
        <v>22</v>
      </c>
      <c r="AI4" s="130">
        <v>23</v>
      </c>
      <c r="AJ4" s="130">
        <v>24</v>
      </c>
      <c r="AK4" s="130">
        <v>27</v>
      </c>
      <c r="AL4" s="130">
        <v>28</v>
      </c>
      <c r="AM4" s="131">
        <v>30</v>
      </c>
      <c r="AN4" s="130">
        <v>31</v>
      </c>
      <c r="AO4" s="131">
        <v>32</v>
      </c>
      <c r="AP4" s="130">
        <v>33</v>
      </c>
      <c r="AQ4" s="136">
        <v>35</v>
      </c>
      <c r="AR4" s="130">
        <v>36</v>
      </c>
      <c r="AS4" s="130">
        <v>37</v>
      </c>
      <c r="AT4" s="130">
        <v>38</v>
      </c>
      <c r="AU4" s="131">
        <v>41</v>
      </c>
      <c r="AV4" s="131">
        <v>48</v>
      </c>
      <c r="AW4" s="131">
        <v>50</v>
      </c>
      <c r="AX4" s="130">
        <v>51</v>
      </c>
      <c r="AY4" s="130">
        <v>52</v>
      </c>
      <c r="AZ4" s="130">
        <v>60</v>
      </c>
      <c r="BA4" s="130">
        <v>61</v>
      </c>
      <c r="BB4" s="136">
        <v>64</v>
      </c>
      <c r="BC4" s="130">
        <v>72</v>
      </c>
      <c r="BD4" s="130">
        <v>73</v>
      </c>
      <c r="BE4" s="130">
        <v>74</v>
      </c>
      <c r="BF4" s="130">
        <v>75</v>
      </c>
      <c r="BG4" s="130">
        <v>99</v>
      </c>
      <c r="BH4" s="131"/>
      <c r="BI4" s="137" t="s">
        <v>122</v>
      </c>
      <c r="BJ4" s="130">
        <v>98</v>
      </c>
      <c r="BK4" s="138"/>
    </row>
    <row r="5" spans="1:67" s="179" customFormat="1" ht="15.75">
      <c r="A5" s="262" t="s">
        <v>123</v>
      </c>
      <c r="B5" s="9" t="s">
        <v>326</v>
      </c>
      <c r="C5" s="224">
        <v>647275</v>
      </c>
      <c r="D5" s="225">
        <v>297531</v>
      </c>
      <c r="E5" s="225">
        <v>16492</v>
      </c>
      <c r="F5" s="225">
        <v>72975</v>
      </c>
      <c r="G5" s="225">
        <v>33333</v>
      </c>
      <c r="H5" s="225">
        <v>0</v>
      </c>
      <c r="I5" s="225">
        <v>0</v>
      </c>
      <c r="J5" s="225">
        <v>0</v>
      </c>
      <c r="K5" s="225">
        <v>0</v>
      </c>
      <c r="L5" s="225">
        <v>782</v>
      </c>
      <c r="M5" s="225">
        <v>2720</v>
      </c>
      <c r="N5" s="225">
        <v>456</v>
      </c>
      <c r="O5" s="225">
        <v>4709</v>
      </c>
      <c r="P5" s="225">
        <v>26518</v>
      </c>
      <c r="Q5" s="225">
        <v>0</v>
      </c>
      <c r="R5" s="225">
        <v>5123</v>
      </c>
      <c r="S5" s="225"/>
      <c r="T5" s="225"/>
      <c r="U5" s="225"/>
      <c r="V5" s="225"/>
      <c r="W5" s="225">
        <v>91</v>
      </c>
      <c r="X5" s="225">
        <v>0</v>
      </c>
      <c r="Y5" s="225">
        <v>4179</v>
      </c>
      <c r="Z5" s="225">
        <v>945</v>
      </c>
      <c r="AA5" s="225">
        <v>761</v>
      </c>
      <c r="AB5" s="225">
        <v>0</v>
      </c>
      <c r="AC5" s="225">
        <v>0</v>
      </c>
      <c r="AD5" s="226">
        <f>SUM(C5:AC5)</f>
        <v>1113890</v>
      </c>
      <c r="AE5" s="225">
        <v>293</v>
      </c>
      <c r="AF5" s="225">
        <v>4870</v>
      </c>
      <c r="AG5" s="225">
        <v>824</v>
      </c>
      <c r="AH5" s="225">
        <v>0</v>
      </c>
      <c r="AI5" s="225">
        <v>0</v>
      </c>
      <c r="AJ5" s="225">
        <v>0</v>
      </c>
      <c r="AK5" s="225">
        <v>597</v>
      </c>
      <c r="AL5" s="225">
        <v>5430</v>
      </c>
      <c r="AM5" s="225">
        <v>0</v>
      </c>
      <c r="AN5" s="225">
        <v>0</v>
      </c>
      <c r="AO5" s="225">
        <v>3343</v>
      </c>
      <c r="AP5" s="225">
        <v>0</v>
      </c>
      <c r="AQ5" s="225">
        <v>0</v>
      </c>
      <c r="AR5" s="225">
        <v>0</v>
      </c>
      <c r="AS5" s="225">
        <v>0</v>
      </c>
      <c r="AT5" s="225">
        <v>0</v>
      </c>
      <c r="AU5" s="225">
        <v>0</v>
      </c>
      <c r="AV5" s="225">
        <v>0</v>
      </c>
      <c r="AW5" s="225">
        <v>0</v>
      </c>
      <c r="AX5" s="225">
        <v>1480</v>
      </c>
      <c r="AY5" s="225">
        <v>0</v>
      </c>
      <c r="AZ5" s="225">
        <v>0</v>
      </c>
      <c r="BA5" s="225">
        <v>0</v>
      </c>
      <c r="BB5" s="225">
        <v>0</v>
      </c>
      <c r="BC5" s="225">
        <v>671</v>
      </c>
      <c r="BD5" s="225">
        <v>671</v>
      </c>
      <c r="BE5" s="225">
        <v>0</v>
      </c>
      <c r="BF5" s="225">
        <v>41</v>
      </c>
      <c r="BG5" s="225">
        <v>9340</v>
      </c>
      <c r="BH5" s="9">
        <f>SUM(AE5:BG5)</f>
        <v>27560</v>
      </c>
      <c r="BI5" s="227">
        <f>AD5+BH5</f>
        <v>1141450</v>
      </c>
      <c r="BJ5" s="97">
        <v>0</v>
      </c>
      <c r="BK5" s="226">
        <f>BI5-BJ5</f>
        <v>1141450</v>
      </c>
      <c r="BM5" s="228">
        <f>BK5-AD5</f>
        <v>27560</v>
      </c>
    </row>
    <row r="6" spans="1:67" s="41" customFormat="1" ht="15.75">
      <c r="A6" s="136"/>
      <c r="B6" s="234" t="s">
        <v>321</v>
      </c>
      <c r="C6" s="344">
        <v>647275</v>
      </c>
      <c r="D6" s="342">
        <v>297531</v>
      </c>
      <c r="E6" s="342">
        <v>16492</v>
      </c>
      <c r="F6" s="342">
        <v>72975</v>
      </c>
      <c r="G6" s="342">
        <v>33333</v>
      </c>
      <c r="H6" s="342">
        <v>0</v>
      </c>
      <c r="I6" s="342">
        <v>0</v>
      </c>
      <c r="J6" s="342">
        <v>0</v>
      </c>
      <c r="K6" s="342">
        <v>0</v>
      </c>
      <c r="L6" s="342">
        <v>782</v>
      </c>
      <c r="M6" s="342">
        <v>2720</v>
      </c>
      <c r="N6" s="342">
        <v>456</v>
      </c>
      <c r="O6" s="342">
        <v>4709</v>
      </c>
      <c r="P6" s="342">
        <v>26518</v>
      </c>
      <c r="Q6" s="342">
        <v>0</v>
      </c>
      <c r="R6" s="342">
        <v>5123</v>
      </c>
      <c r="S6" s="342"/>
      <c r="T6" s="342"/>
      <c r="U6" s="342"/>
      <c r="V6" s="342"/>
      <c r="W6" s="342">
        <v>91</v>
      </c>
      <c r="X6" s="342">
        <v>0</v>
      </c>
      <c r="Y6" s="342">
        <v>4179</v>
      </c>
      <c r="Z6" s="342">
        <v>945</v>
      </c>
      <c r="AA6" s="342">
        <v>761</v>
      </c>
      <c r="AB6" s="342">
        <v>0</v>
      </c>
      <c r="AC6" s="342">
        <v>0</v>
      </c>
      <c r="AD6" s="123">
        <f>SUM(C6:AC6)</f>
        <v>1113890</v>
      </c>
      <c r="AE6" s="342">
        <v>293</v>
      </c>
      <c r="AF6" s="342">
        <v>4870</v>
      </c>
      <c r="AG6" s="342">
        <v>824</v>
      </c>
      <c r="AH6" s="342">
        <v>0</v>
      </c>
      <c r="AI6" s="342">
        <v>0</v>
      </c>
      <c r="AJ6" s="342">
        <v>0</v>
      </c>
      <c r="AK6" s="342">
        <v>597</v>
      </c>
      <c r="AL6" s="342">
        <v>5430</v>
      </c>
      <c r="AM6" s="342">
        <v>0</v>
      </c>
      <c r="AN6" s="342">
        <v>0</v>
      </c>
      <c r="AO6" s="342">
        <v>3343</v>
      </c>
      <c r="AP6" s="342">
        <v>0</v>
      </c>
      <c r="AQ6" s="342">
        <v>0</v>
      </c>
      <c r="AR6" s="342">
        <v>0</v>
      </c>
      <c r="AS6" s="342">
        <v>0</v>
      </c>
      <c r="AT6" s="342">
        <v>0</v>
      </c>
      <c r="AU6" s="342">
        <v>0</v>
      </c>
      <c r="AV6" s="342">
        <v>0</v>
      </c>
      <c r="AW6" s="342">
        <v>0</v>
      </c>
      <c r="AX6" s="342">
        <v>1480</v>
      </c>
      <c r="AY6" s="342">
        <v>0</v>
      </c>
      <c r="AZ6" s="342">
        <v>0</v>
      </c>
      <c r="BA6" s="342">
        <v>0</v>
      </c>
      <c r="BB6" s="342">
        <v>0</v>
      </c>
      <c r="BC6" s="342">
        <v>671</v>
      </c>
      <c r="BD6" s="342">
        <v>671</v>
      </c>
      <c r="BE6" s="342">
        <v>0</v>
      </c>
      <c r="BF6" s="342">
        <v>41</v>
      </c>
      <c r="BG6" s="342">
        <v>9340</v>
      </c>
      <c r="BH6" s="10">
        <f>SUM(AE6:BG6)</f>
        <v>27560</v>
      </c>
      <c r="BI6" s="219">
        <f>AD6+BH6</f>
        <v>1141450</v>
      </c>
      <c r="BJ6" s="345">
        <v>0</v>
      </c>
      <c r="BK6" s="123">
        <f>BI6-BJ6</f>
        <v>1141450</v>
      </c>
      <c r="BL6" s="41">
        <f>'[1]Upto Month Current'!$B$61</f>
        <v>152671</v>
      </c>
      <c r="BM6" s="218">
        <f>BK6-AD6</f>
        <v>27560</v>
      </c>
    </row>
    <row r="7" spans="1:67" ht="15.75">
      <c r="A7" s="130"/>
      <c r="B7" s="12" t="s">
        <v>322</v>
      </c>
      <c r="C7" s="9">
        <f>IF('Upto Month COPPY'!$B$4="",0,'Upto Month COPPY'!$B$4)</f>
        <v>688500</v>
      </c>
      <c r="D7" s="9">
        <f>IF('Upto Month COPPY'!$B$5="",0,'Upto Month COPPY'!$B$5)</f>
        <v>259073</v>
      </c>
      <c r="E7" s="9">
        <f>IF('Upto Month COPPY'!$B$6="",0,'Upto Month COPPY'!$B$6)</f>
        <v>19315</v>
      </c>
      <c r="F7" s="9">
        <f>IF('Upto Month COPPY'!$B$7="",0,'Upto Month COPPY'!$B$7)</f>
        <v>78734</v>
      </c>
      <c r="G7" s="9">
        <f>IF('Upto Month COPPY'!$B$8="",0,'Upto Month COPPY'!$B$8)</f>
        <v>32303</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883</v>
      </c>
      <c r="M7" s="9">
        <f>IF('Upto Month COPPY'!$B$14="",0,'Upto Month COPPY'!$B$14)</f>
        <v>3231</v>
      </c>
      <c r="N7" s="9">
        <f>IF('Upto Month COPPY'!$B$15="",0,'Upto Month COPPY'!$B$15)</f>
        <v>121</v>
      </c>
      <c r="O7" s="9">
        <f>IF('Upto Month COPPY'!$B$16="",0,'Upto Month COPPY'!$B$16)</f>
        <v>3509</v>
      </c>
      <c r="P7" s="9">
        <f>IF('Upto Month COPPY'!$B$17="",0,'Upto Month COPPY'!$B$17)</f>
        <v>30573</v>
      </c>
      <c r="Q7" s="9">
        <f>IF('Upto Month COPPY'!$B$18="",0,'Upto Month COPPY'!$B$18)</f>
        <v>0</v>
      </c>
      <c r="R7" s="9">
        <f>IF('Upto Month COPPY'!$B$21="",0,'Upto Month COPPY'!$B$21)</f>
        <v>3700</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3077</v>
      </c>
      <c r="Z7" s="9">
        <f>IF('Upto Month COPPY'!$B$43="",0,'Upto Month COPPY'!$B$43)</f>
        <v>997</v>
      </c>
      <c r="AA7" s="9">
        <f>IF('Upto Month COPPY'!$B$44="",0,'Upto Month COPPY'!$B$44)</f>
        <v>504</v>
      </c>
      <c r="AB7" s="9">
        <f>IF('Upto Month COPPY'!$B$48="",0,'Upto Month COPPY'!$B$48)</f>
        <v>63</v>
      </c>
      <c r="AC7" s="10">
        <f>IF('Upto Month COPPY'!$B$51="",0,'Upto Month COPPY'!$B$51)</f>
        <v>0</v>
      </c>
      <c r="AD7" s="123">
        <f>SUM(C7:AC7)</f>
        <v>1124583</v>
      </c>
      <c r="AE7" s="9">
        <f>IF('Upto Month COPPY'!$B$19="",0,'Upto Month COPPY'!$B$19)</f>
        <v>68</v>
      </c>
      <c r="AF7" s="9">
        <f>IF('Upto Month COPPY'!$B$20="",0,'Upto Month COPPY'!$B$20)</f>
        <v>4170</v>
      </c>
      <c r="AG7" s="9">
        <f>IF('Upto Month COPPY'!$B$22="",0,'Upto Month COPPY'!$B$22)</f>
        <v>1090</v>
      </c>
      <c r="AH7" s="9">
        <f>IF('Upto Month COPPY'!$B$23="",0,'Upto Month COPPY'!$B$23)</f>
        <v>0</v>
      </c>
      <c r="AI7" s="9">
        <f>IF('Upto Month COPPY'!$B$24="",0,'Upto Month COPPY'!$B$24)</f>
        <v>0</v>
      </c>
      <c r="AJ7" s="9">
        <f>IF('Upto Month COPPY'!$B$25="",0,'Upto Month COPPY'!$B$25)</f>
        <v>0</v>
      </c>
      <c r="AK7" s="9">
        <f>IF('Upto Month COPPY'!$B$28="",0,'Upto Month COPPY'!$B$28)</f>
        <v>-15948</v>
      </c>
      <c r="AL7" s="9">
        <f>IF('Upto Month COPPY'!$B$29="",0,'Upto Month COPPY'!$B$29)</f>
        <v>4467</v>
      </c>
      <c r="AM7" s="9">
        <f>IF('Upto Month COPPY'!$B$31="",0,'Upto Month COPPY'!$B$31)</f>
        <v>0</v>
      </c>
      <c r="AN7" s="9">
        <f>IF('Upto Month COPPY'!$B$32="",0,'Upto Month COPPY'!$B$32)</f>
        <v>0</v>
      </c>
      <c r="AO7" s="9">
        <f>IF('Upto Month COPPY'!$B$33="",0,'Upto Month COPPY'!$B$33)</f>
        <v>4762</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2975</v>
      </c>
      <c r="AX7" s="9">
        <f>IF('Upto Month COPPY'!$B$46="",0,'Upto Month COPPY'!$B$46)</f>
        <v>956</v>
      </c>
      <c r="AY7" s="9">
        <f>IF('Upto Month COPPY'!$B$47="",0,'Upto Month COPPY'!$B$47)</f>
        <v>1568</v>
      </c>
      <c r="AZ7" s="9">
        <f>IF('Upto Month COPPY'!$B$49="",0,'Upto Month COPPY'!$B$49)</f>
        <v>0</v>
      </c>
      <c r="BA7" s="9">
        <f>IF('Upto Month COPPY'!$B$50="",0,'Upto Month COPPY'!$B$50)</f>
        <v>0</v>
      </c>
      <c r="BB7" s="10">
        <f>IF('Upto Month COPPY'!$B$52="",0,'Upto Month COPPY'!$B$52)</f>
        <v>0</v>
      </c>
      <c r="BC7" s="9">
        <f>IF('Upto Month COPPY'!$B$53="",0,'Upto Month COPPY'!$B$53)</f>
        <v>866</v>
      </c>
      <c r="BD7" s="9">
        <f>IF('Upto Month COPPY'!$B$54="",0,'Upto Month COPPY'!$B$54)</f>
        <v>866</v>
      </c>
      <c r="BE7" s="9">
        <f>IF('Upto Month COPPY'!$B$55="",0,'Upto Month COPPY'!$B$55)</f>
        <v>0</v>
      </c>
      <c r="BF7" s="9">
        <f>IF('Upto Month COPPY'!$B$56="",0,'Upto Month COPPY'!$B$56)</f>
        <v>225</v>
      </c>
      <c r="BG7" s="9">
        <f>IF('Upto Month COPPY'!$B$58="",0,'Upto Month COPPY'!$B$58)</f>
        <v>7101</v>
      </c>
      <c r="BH7" s="9">
        <f>SUM(AE7:BG7)</f>
        <v>13166</v>
      </c>
      <c r="BI7" s="127">
        <f>AD7+BH7</f>
        <v>1137749</v>
      </c>
      <c r="BJ7" s="9">
        <f>IF('Upto Month COPPY'!$B$60="",0,'Upto Month COPPY'!$B$60)</f>
        <v>0</v>
      </c>
      <c r="BK7" s="51">
        <f>BI7-BJ7</f>
        <v>1137749</v>
      </c>
      <c r="BL7">
        <f>'Upto Month COPPY'!$B$61</f>
        <v>1137750</v>
      </c>
      <c r="BM7" s="30">
        <f>BK7-AD7</f>
        <v>13166</v>
      </c>
    </row>
    <row r="8" spans="1:67" ht="16.5" customHeight="1">
      <c r="A8" s="130"/>
      <c r="B8" s="183" t="s">
        <v>323</v>
      </c>
      <c r="C8" s="9">
        <f>IF('Upto Month Current'!$B$4="",0,'Upto Month Current'!$B$4)</f>
        <v>646066</v>
      </c>
      <c r="D8" s="9">
        <f>IF('Upto Month Current'!$B$5="",0,'Upto Month Current'!$B$5)</f>
        <v>296979</v>
      </c>
      <c r="E8" s="9">
        <f>IF('Upto Month Current'!$B$6="",0,'Upto Month Current'!$B$6)</f>
        <v>16460</v>
      </c>
      <c r="F8" s="9">
        <f>IF('Upto Month Current'!$B$7="",0,'Upto Month Current'!$B$7)</f>
        <v>72839</v>
      </c>
      <c r="G8" s="9">
        <f>IF('Upto Month Current'!$B$8="",0,'Upto Month Current'!$B$8)</f>
        <v>33269</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780</v>
      </c>
      <c r="M8" s="9">
        <f>IF('Upto Month Current'!$B$14="",0,'Upto Month Current'!$B$14)</f>
        <v>2715</v>
      </c>
      <c r="N8" s="9">
        <f>IF('Upto Month Current'!$B$15="",0,'Upto Month Current'!$B$15)</f>
        <v>455</v>
      </c>
      <c r="O8" s="9">
        <f>IF('Upto Month Current'!$B$16="",0,'Upto Month Current'!$B$16)</f>
        <v>4702</v>
      </c>
      <c r="P8" s="9">
        <f>IF('Upto Month Current'!$B$17="",0,'Upto Month Current'!$B$17)</f>
        <v>26468</v>
      </c>
      <c r="Q8" s="9">
        <f>IF('Upto Month Current'!$B$18="",0,'Upto Month Current'!$B$18)</f>
        <v>0</v>
      </c>
      <c r="R8" s="9">
        <f>IF('Upto Month Current'!$B$21="",0,'Upto Month Current'!$B$21)</f>
        <v>5110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91</v>
      </c>
      <c r="X8" s="9">
        <f>IF('Upto Month Current'!$B$40="",0,'Upto Month Current'!$B$40)</f>
        <v>0</v>
      </c>
      <c r="Y8" s="9">
        <f>IF('Upto Month Current'!$B$42="",0,'Upto Month Current'!$B$42)</f>
        <v>4173</v>
      </c>
      <c r="Z8" s="9">
        <f>IF('Upto Month Current'!$B$43="",0,'Upto Month Current'!$B$43)</f>
        <v>943</v>
      </c>
      <c r="AA8" s="9">
        <f>IF('Upto Month Current'!$B$44="",0,'Upto Month Current'!$B$44)</f>
        <v>761</v>
      </c>
      <c r="AB8" s="9">
        <f>IF('Upto Month Current'!$B$48="",0,'Upto Month Current'!$B$48)</f>
        <v>0</v>
      </c>
      <c r="AC8" s="10">
        <f>IF('Upto Month Current'!$B$51="",0,'Upto Month Current'!$B$51)</f>
        <v>0</v>
      </c>
      <c r="AD8" s="123">
        <f>SUM(C8:AC8)</f>
        <v>1111811</v>
      </c>
      <c r="AE8" s="9">
        <f>IF('Upto Month Current'!$B$19="",0,'Upto Month Current'!$B$19)</f>
        <v>294</v>
      </c>
      <c r="AF8" s="9">
        <f>IF('Upto Month Current'!$B$20="",0,'Upto Month Current'!$B$20)</f>
        <v>4852</v>
      </c>
      <c r="AG8" s="9">
        <f>IF('Upto Month Current'!$B$22="",0,'Upto Month Current'!$B$22)</f>
        <v>822</v>
      </c>
      <c r="AH8" s="9">
        <f>IF('Upto Month Current'!$B$23="",0,'Upto Month Current'!$B$23)</f>
        <v>0</v>
      </c>
      <c r="AI8" s="9">
        <f>IF('Upto Month Current'!$B$24="",0,'Upto Month Current'!$B$24)</f>
        <v>0</v>
      </c>
      <c r="AJ8" s="9">
        <f>IF('Upto Month Current'!$B$25="",0,'Upto Month Current'!$B$25)</f>
        <v>0</v>
      </c>
      <c r="AK8" s="9">
        <f>IF('Upto Month Current'!$B$28="",0,'Upto Month Current'!$B$28)</f>
        <v>597</v>
      </c>
      <c r="AL8" s="9">
        <f>IF('Upto Month Current'!$B$29="",0,'Upto Month Current'!$B$29)</f>
        <v>5420</v>
      </c>
      <c r="AM8" s="9">
        <f>IF('Upto Month Current'!$B$31="",0,'Upto Month Current'!$B$31)</f>
        <v>0</v>
      </c>
      <c r="AN8" s="9">
        <f>IF('Upto Month Current'!$B$32="",0,'Upto Month Current'!$B$32)</f>
        <v>0</v>
      </c>
      <c r="AO8" s="9">
        <f>IF('Upto Month Current'!$B$33="",0,'Upto Month Current'!$B$33)</f>
        <v>3339</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0</v>
      </c>
      <c r="AX8" s="9">
        <f>IF('Upto Month Current'!$B$46="",0,'Upto Month Current'!$B$46)</f>
        <v>1479</v>
      </c>
      <c r="AY8" s="9">
        <f>IF('Upto Month Current'!$B$47="",0,'Upto Month Current'!$B$47)</f>
        <v>0</v>
      </c>
      <c r="AZ8" s="9">
        <f>IF('Upto Month Current'!$B$49="",0,'Upto Month Current'!$B$49)</f>
        <v>0</v>
      </c>
      <c r="BA8" s="9">
        <f>IF('Upto Month Current'!$B$50="",0,'Upto Month Current'!$B$50)</f>
        <v>0</v>
      </c>
      <c r="BB8" s="10">
        <f>IF('Upto Month Current'!$B$52="",0,'Upto Month Current'!$B$52)</f>
        <v>0</v>
      </c>
      <c r="BC8" s="9">
        <f>IF('Upto Month Current'!$B$53="",0,'Upto Month Current'!$B$53)</f>
        <v>671</v>
      </c>
      <c r="BD8" s="9">
        <f>IF('Upto Month Current'!$B$54="",0,'Upto Month Current'!$B$54)</f>
        <v>671</v>
      </c>
      <c r="BE8" s="9">
        <f>IF('Upto Month Current'!$B$55="",0,'Upto Month Current'!$B$55)</f>
        <v>0</v>
      </c>
      <c r="BF8" s="9">
        <f>IF('Upto Month Current'!$B$56="",0,'Upto Month Current'!$B$56)</f>
        <v>42</v>
      </c>
      <c r="BG8" s="9">
        <f>IF('Upto Month Current'!$B$58="",0,'Upto Month Current'!$B$58)</f>
        <v>9327</v>
      </c>
      <c r="BH8" s="9">
        <f>SUM(AE8:BG8)</f>
        <v>27514</v>
      </c>
      <c r="BI8" s="127">
        <f>AD8+BH8</f>
        <v>1139325</v>
      </c>
      <c r="BJ8" s="9">
        <f>IF('Upto Month Current'!$B$60="",0,'Upto Month Current'!$B$60)</f>
        <v>0</v>
      </c>
      <c r="BK8" s="51">
        <f>BI8-BJ8</f>
        <v>1139325</v>
      </c>
      <c r="BL8">
        <f>'Upto Month Current'!$B$61</f>
        <v>1139322</v>
      </c>
      <c r="BM8" s="30">
        <f>BK8-AD8</f>
        <v>27514</v>
      </c>
    </row>
    <row r="9" spans="1:67" ht="15.75">
      <c r="A9" s="130"/>
      <c r="B9" s="5" t="s">
        <v>124</v>
      </c>
      <c r="C9" s="11">
        <f>C8-C6</f>
        <v>-1209</v>
      </c>
      <c r="D9" s="11">
        <f t="shared" ref="D9:BK9" si="0">D8-D6</f>
        <v>-552</v>
      </c>
      <c r="E9" s="11">
        <f t="shared" si="0"/>
        <v>-32</v>
      </c>
      <c r="F9" s="11">
        <f t="shared" si="0"/>
        <v>-136</v>
      </c>
      <c r="G9" s="11">
        <f t="shared" si="0"/>
        <v>-64</v>
      </c>
      <c r="H9" s="11">
        <f t="shared" si="0"/>
        <v>0</v>
      </c>
      <c r="I9" s="11">
        <f t="shared" si="0"/>
        <v>0</v>
      </c>
      <c r="J9" s="11">
        <f t="shared" si="0"/>
        <v>0</v>
      </c>
      <c r="K9" s="11">
        <f t="shared" si="0"/>
        <v>0</v>
      </c>
      <c r="L9" s="11">
        <f t="shared" si="0"/>
        <v>-2</v>
      </c>
      <c r="M9" s="11">
        <f t="shared" si="0"/>
        <v>-5</v>
      </c>
      <c r="N9" s="11">
        <f t="shared" si="0"/>
        <v>-1</v>
      </c>
      <c r="O9" s="11">
        <f t="shared" si="0"/>
        <v>-7</v>
      </c>
      <c r="P9" s="11">
        <f t="shared" si="0"/>
        <v>-50</v>
      </c>
      <c r="Q9" s="11">
        <f t="shared" si="0"/>
        <v>0</v>
      </c>
      <c r="R9" s="11">
        <f t="shared" si="0"/>
        <v>-13</v>
      </c>
      <c r="S9" s="11">
        <f t="shared" si="0"/>
        <v>0</v>
      </c>
      <c r="T9" s="11">
        <f t="shared" si="0"/>
        <v>0</v>
      </c>
      <c r="U9" s="11">
        <f>U8-U6</f>
        <v>0</v>
      </c>
      <c r="V9" s="9">
        <f t="shared" si="0"/>
        <v>0</v>
      </c>
      <c r="W9" s="11">
        <f t="shared" si="0"/>
        <v>0</v>
      </c>
      <c r="X9" s="11">
        <f t="shared" si="0"/>
        <v>0</v>
      </c>
      <c r="Y9" s="11">
        <f t="shared" si="0"/>
        <v>-6</v>
      </c>
      <c r="Z9" s="11">
        <f t="shared" si="0"/>
        <v>-2</v>
      </c>
      <c r="AA9" s="11">
        <f t="shared" si="0"/>
        <v>0</v>
      </c>
      <c r="AB9" s="11">
        <f>AB8-AB6</f>
        <v>0</v>
      </c>
      <c r="AC9" s="10">
        <f>AC8-AC6</f>
        <v>0</v>
      </c>
      <c r="AD9" s="11">
        <f t="shared" si="0"/>
        <v>-2079</v>
      </c>
      <c r="AE9" s="11">
        <f t="shared" si="0"/>
        <v>1</v>
      </c>
      <c r="AF9" s="11">
        <f t="shared" si="0"/>
        <v>-18</v>
      </c>
      <c r="AG9" s="11">
        <f t="shared" si="0"/>
        <v>-2</v>
      </c>
      <c r="AH9" s="11">
        <f t="shared" si="0"/>
        <v>0</v>
      </c>
      <c r="AI9" s="11">
        <f t="shared" si="0"/>
        <v>0</v>
      </c>
      <c r="AJ9" s="11">
        <f t="shared" si="0"/>
        <v>0</v>
      </c>
      <c r="AK9" s="11">
        <f t="shared" si="0"/>
        <v>0</v>
      </c>
      <c r="AL9" s="11">
        <f t="shared" si="0"/>
        <v>-10</v>
      </c>
      <c r="AM9" s="11">
        <f t="shared" si="0"/>
        <v>0</v>
      </c>
      <c r="AN9" s="11">
        <f t="shared" si="0"/>
        <v>0</v>
      </c>
      <c r="AO9" s="9">
        <f t="shared" si="0"/>
        <v>-4</v>
      </c>
      <c r="AP9" s="11">
        <f t="shared" si="0"/>
        <v>0</v>
      </c>
      <c r="AQ9" s="10">
        <f t="shared" si="0"/>
        <v>0</v>
      </c>
      <c r="AR9" s="11">
        <f t="shared" si="0"/>
        <v>0</v>
      </c>
      <c r="AS9" s="11">
        <f t="shared" si="0"/>
        <v>0</v>
      </c>
      <c r="AT9" s="11">
        <f t="shared" si="0"/>
        <v>0</v>
      </c>
      <c r="AU9" s="11">
        <f t="shared" si="0"/>
        <v>0</v>
      </c>
      <c r="AV9" s="11">
        <f t="shared" si="0"/>
        <v>0</v>
      </c>
      <c r="AW9" s="11">
        <f t="shared" si="0"/>
        <v>0</v>
      </c>
      <c r="AX9" s="11">
        <f t="shared" si="0"/>
        <v>-1</v>
      </c>
      <c r="AY9" s="11">
        <f t="shared" si="0"/>
        <v>0</v>
      </c>
      <c r="AZ9" s="11">
        <f t="shared" si="0"/>
        <v>0</v>
      </c>
      <c r="BA9" s="11">
        <f t="shared" si="0"/>
        <v>0</v>
      </c>
      <c r="BB9" s="10">
        <f t="shared" si="0"/>
        <v>0</v>
      </c>
      <c r="BC9" s="11">
        <f t="shared" si="0"/>
        <v>0</v>
      </c>
      <c r="BD9" s="11">
        <f t="shared" si="0"/>
        <v>0</v>
      </c>
      <c r="BE9" s="11">
        <f t="shared" si="0"/>
        <v>0</v>
      </c>
      <c r="BF9" s="11">
        <f t="shared" si="0"/>
        <v>1</v>
      </c>
      <c r="BG9" s="11">
        <f t="shared" si="0"/>
        <v>-13</v>
      </c>
      <c r="BH9" s="9">
        <f t="shared" si="0"/>
        <v>-46</v>
      </c>
      <c r="BI9" s="45">
        <f t="shared" si="0"/>
        <v>-2125</v>
      </c>
      <c r="BJ9" s="11">
        <f t="shared" si="0"/>
        <v>0</v>
      </c>
      <c r="BK9" s="51">
        <f t="shared" si="0"/>
        <v>-2125</v>
      </c>
      <c r="BM9" s="30">
        <f>BK9-AD9</f>
        <v>-46</v>
      </c>
    </row>
    <row r="10" spans="1:67" ht="15.75">
      <c r="A10" s="130"/>
      <c r="B10" s="5" t="s">
        <v>125</v>
      </c>
      <c r="C10" s="13">
        <f>C9/C6</f>
        <v>-1.8678305202580047E-3</v>
      </c>
      <c r="D10" s="13">
        <f t="shared" ref="D10:BM10" si="1">D9/D6</f>
        <v>-1.8552688627403531E-3</v>
      </c>
      <c r="E10" s="13">
        <f t="shared" si="1"/>
        <v>-1.9403347077370846E-3</v>
      </c>
      <c r="F10" s="13">
        <f t="shared" si="1"/>
        <v>-1.8636519355943817E-3</v>
      </c>
      <c r="G10" s="13">
        <f t="shared" si="1"/>
        <v>-1.9200192001920019E-3</v>
      </c>
      <c r="H10" s="13" t="e">
        <f t="shared" si="1"/>
        <v>#DIV/0!</v>
      </c>
      <c r="I10" s="13" t="e">
        <f t="shared" si="1"/>
        <v>#DIV/0!</v>
      </c>
      <c r="J10" s="13" t="e">
        <f t="shared" si="1"/>
        <v>#DIV/0!</v>
      </c>
      <c r="K10" s="13" t="e">
        <f t="shared" si="1"/>
        <v>#DIV/0!</v>
      </c>
      <c r="L10" s="13">
        <f t="shared" si="1"/>
        <v>-2.5575447570332483E-3</v>
      </c>
      <c r="M10" s="13">
        <f t="shared" si="1"/>
        <v>-1.838235294117647E-3</v>
      </c>
      <c r="N10" s="13">
        <f t="shared" si="1"/>
        <v>-2.1929824561403508E-3</v>
      </c>
      <c r="O10" s="13">
        <f t="shared" si="1"/>
        <v>-1.4865151836908049E-3</v>
      </c>
      <c r="P10" s="13">
        <f t="shared" si="1"/>
        <v>-1.8855117278829474E-3</v>
      </c>
      <c r="Q10" s="13" t="e">
        <f t="shared" si="1"/>
        <v>#DIV/0!</v>
      </c>
      <c r="R10" s="13">
        <f t="shared" si="1"/>
        <v>-2.5375756392738628E-3</v>
      </c>
      <c r="S10" s="13" t="e">
        <f t="shared" si="1"/>
        <v>#DIV/0!</v>
      </c>
      <c r="T10" s="13" t="e">
        <f t="shared" si="1"/>
        <v>#DIV/0!</v>
      </c>
      <c r="U10" s="13" t="e">
        <f>U9/U6</f>
        <v>#DIV/0!</v>
      </c>
      <c r="V10" s="163" t="e">
        <f t="shared" si="1"/>
        <v>#DIV/0!</v>
      </c>
      <c r="W10" s="13">
        <f t="shared" si="1"/>
        <v>0</v>
      </c>
      <c r="X10" s="13" t="e">
        <f t="shared" si="1"/>
        <v>#DIV/0!</v>
      </c>
      <c r="Y10" s="13">
        <f t="shared" si="1"/>
        <v>-1.4357501794687725E-3</v>
      </c>
      <c r="Z10" s="13">
        <f t="shared" si="1"/>
        <v>-2.1164021164021165E-3</v>
      </c>
      <c r="AA10" s="13">
        <f t="shared" si="1"/>
        <v>0</v>
      </c>
      <c r="AB10" s="13" t="e">
        <f>AB9/AB6</f>
        <v>#DIV/0!</v>
      </c>
      <c r="AC10" s="14" t="e">
        <f>AC9/AC6</f>
        <v>#DIV/0!</v>
      </c>
      <c r="AD10" s="13">
        <f t="shared" si="1"/>
        <v>-1.8664320534343606E-3</v>
      </c>
      <c r="AE10" s="13">
        <f t="shared" si="1"/>
        <v>3.4129692832764505E-3</v>
      </c>
      <c r="AF10" s="13">
        <f t="shared" si="1"/>
        <v>-3.6960985626283368E-3</v>
      </c>
      <c r="AG10" s="13">
        <f t="shared" si="1"/>
        <v>-2.4271844660194173E-3</v>
      </c>
      <c r="AH10" s="13" t="e">
        <f t="shared" si="1"/>
        <v>#DIV/0!</v>
      </c>
      <c r="AI10" s="13" t="e">
        <f t="shared" si="1"/>
        <v>#DIV/0!</v>
      </c>
      <c r="AJ10" s="13" t="e">
        <f t="shared" si="1"/>
        <v>#DIV/0!</v>
      </c>
      <c r="AK10" s="13">
        <f t="shared" si="1"/>
        <v>0</v>
      </c>
      <c r="AL10" s="13">
        <f t="shared" si="1"/>
        <v>-1.841620626151013E-3</v>
      </c>
      <c r="AM10" s="13" t="e">
        <f t="shared" si="1"/>
        <v>#DIV/0!</v>
      </c>
      <c r="AN10" s="13" t="e">
        <f t="shared" si="1"/>
        <v>#DIV/0!</v>
      </c>
      <c r="AO10" s="163">
        <f t="shared" si="1"/>
        <v>-1.1965300628178283E-3</v>
      </c>
      <c r="AP10" s="13" t="e">
        <f t="shared" si="1"/>
        <v>#DIV/0!</v>
      </c>
      <c r="AQ10" s="14" t="e">
        <f t="shared" si="1"/>
        <v>#DIV/0!</v>
      </c>
      <c r="AR10" s="13" t="e">
        <f t="shared" si="1"/>
        <v>#DIV/0!</v>
      </c>
      <c r="AS10" s="13" t="e">
        <f t="shared" si="1"/>
        <v>#DIV/0!</v>
      </c>
      <c r="AT10" s="13" t="e">
        <f t="shared" si="1"/>
        <v>#DIV/0!</v>
      </c>
      <c r="AU10" s="13" t="e">
        <f t="shared" si="1"/>
        <v>#DIV/0!</v>
      </c>
      <c r="AV10" s="13" t="e">
        <f t="shared" si="1"/>
        <v>#DIV/0!</v>
      </c>
      <c r="AW10" s="13" t="e">
        <f t="shared" si="1"/>
        <v>#DIV/0!</v>
      </c>
      <c r="AX10" s="13">
        <f t="shared" si="1"/>
        <v>-6.7567567567567571E-4</v>
      </c>
      <c r="AY10" s="13" t="e">
        <f t="shared" si="1"/>
        <v>#DIV/0!</v>
      </c>
      <c r="AZ10" s="13" t="e">
        <f t="shared" si="1"/>
        <v>#DIV/0!</v>
      </c>
      <c r="BA10" s="13" t="e">
        <f t="shared" si="1"/>
        <v>#DIV/0!</v>
      </c>
      <c r="BB10" s="14" t="e">
        <f t="shared" si="1"/>
        <v>#DIV/0!</v>
      </c>
      <c r="BC10" s="13">
        <f t="shared" si="1"/>
        <v>0</v>
      </c>
      <c r="BD10" s="13">
        <f t="shared" si="1"/>
        <v>0</v>
      </c>
      <c r="BE10" s="13" t="e">
        <f t="shared" si="1"/>
        <v>#DIV/0!</v>
      </c>
      <c r="BF10" s="13">
        <f t="shared" si="1"/>
        <v>2.4390243902439025E-2</v>
      </c>
      <c r="BG10" s="13">
        <f t="shared" si="1"/>
        <v>-1.39186295503212E-3</v>
      </c>
      <c r="BH10" s="163">
        <f t="shared" si="1"/>
        <v>-1.6690856313497822E-3</v>
      </c>
      <c r="BI10" s="46">
        <f t="shared" si="1"/>
        <v>-1.8616671777125587E-3</v>
      </c>
      <c r="BJ10" s="13" t="e">
        <f t="shared" si="1"/>
        <v>#DIV/0!</v>
      </c>
      <c r="BK10" s="52">
        <f t="shared" si="1"/>
        <v>-1.8616671777125587E-3</v>
      </c>
      <c r="BM10" s="163">
        <f t="shared" si="1"/>
        <v>-1.6690856313497822E-3</v>
      </c>
    </row>
    <row r="11" spans="1:67" ht="15.75">
      <c r="A11" s="130"/>
      <c r="B11" s="5" t="s">
        <v>126</v>
      </c>
      <c r="C11" s="11">
        <f>C8-C7</f>
        <v>-42434</v>
      </c>
      <c r="D11" s="11">
        <f t="shared" ref="D11:BK11" si="2">D8-D7</f>
        <v>37906</v>
      </c>
      <c r="E11" s="11">
        <f t="shared" si="2"/>
        <v>-2855</v>
      </c>
      <c r="F11" s="11">
        <f t="shared" si="2"/>
        <v>-5895</v>
      </c>
      <c r="G11" s="11">
        <f t="shared" si="2"/>
        <v>966</v>
      </c>
      <c r="H11" s="11">
        <f t="shared" si="2"/>
        <v>0</v>
      </c>
      <c r="I11" s="11">
        <f t="shared" si="2"/>
        <v>0</v>
      </c>
      <c r="J11" s="11">
        <f t="shared" si="2"/>
        <v>0</v>
      </c>
      <c r="K11" s="11">
        <f t="shared" si="2"/>
        <v>0</v>
      </c>
      <c r="L11" s="11">
        <f t="shared" si="2"/>
        <v>-103</v>
      </c>
      <c r="M11" s="11">
        <f t="shared" si="2"/>
        <v>-516</v>
      </c>
      <c r="N11" s="11">
        <f t="shared" si="2"/>
        <v>334</v>
      </c>
      <c r="O11" s="11">
        <f t="shared" si="2"/>
        <v>1193</v>
      </c>
      <c r="P11" s="11">
        <f t="shared" si="2"/>
        <v>-4105</v>
      </c>
      <c r="Q11" s="11">
        <f t="shared" si="2"/>
        <v>0</v>
      </c>
      <c r="R11" s="11">
        <f t="shared" si="2"/>
        <v>1410</v>
      </c>
      <c r="S11" s="11">
        <f t="shared" si="2"/>
        <v>0</v>
      </c>
      <c r="T11" s="11">
        <f t="shared" si="2"/>
        <v>0</v>
      </c>
      <c r="U11" s="11">
        <f>U8-U7</f>
        <v>0</v>
      </c>
      <c r="V11" s="9">
        <f t="shared" si="2"/>
        <v>0</v>
      </c>
      <c r="W11" s="11">
        <f t="shared" si="2"/>
        <v>91</v>
      </c>
      <c r="X11" s="11">
        <f t="shared" si="2"/>
        <v>0</v>
      </c>
      <c r="Y11" s="11">
        <f t="shared" si="2"/>
        <v>1096</v>
      </c>
      <c r="Z11" s="11">
        <f t="shared" si="2"/>
        <v>-54</v>
      </c>
      <c r="AA11" s="11">
        <f t="shared" si="2"/>
        <v>257</v>
      </c>
      <c r="AB11" s="11">
        <f>AB8-AB7</f>
        <v>-63</v>
      </c>
      <c r="AC11" s="10">
        <f>AC8-AC7</f>
        <v>0</v>
      </c>
      <c r="AD11" s="11">
        <f t="shared" si="2"/>
        <v>-12772</v>
      </c>
      <c r="AE11" s="11">
        <f t="shared" si="2"/>
        <v>226</v>
      </c>
      <c r="AF11" s="11">
        <f t="shared" si="2"/>
        <v>682</v>
      </c>
      <c r="AG11" s="11">
        <f t="shared" si="2"/>
        <v>-268</v>
      </c>
      <c r="AH11" s="11">
        <f t="shared" si="2"/>
        <v>0</v>
      </c>
      <c r="AI11" s="11">
        <f t="shared" si="2"/>
        <v>0</v>
      </c>
      <c r="AJ11" s="11">
        <f t="shared" si="2"/>
        <v>0</v>
      </c>
      <c r="AK11" s="11">
        <f t="shared" si="2"/>
        <v>16545</v>
      </c>
      <c r="AL11" s="11">
        <f t="shared" si="2"/>
        <v>953</v>
      </c>
      <c r="AM11" s="11">
        <f t="shared" si="2"/>
        <v>0</v>
      </c>
      <c r="AN11" s="11">
        <f t="shared" si="2"/>
        <v>0</v>
      </c>
      <c r="AO11" s="9">
        <f t="shared" si="2"/>
        <v>-1423</v>
      </c>
      <c r="AP11" s="11">
        <f t="shared" si="2"/>
        <v>0</v>
      </c>
      <c r="AQ11" s="10">
        <f t="shared" si="2"/>
        <v>0</v>
      </c>
      <c r="AR11" s="11">
        <f t="shared" si="2"/>
        <v>0</v>
      </c>
      <c r="AS11" s="11">
        <f t="shared" si="2"/>
        <v>0</v>
      </c>
      <c r="AT11" s="11">
        <f t="shared" si="2"/>
        <v>0</v>
      </c>
      <c r="AU11" s="11">
        <f t="shared" si="2"/>
        <v>0</v>
      </c>
      <c r="AV11" s="11">
        <f t="shared" si="2"/>
        <v>0</v>
      </c>
      <c r="AW11" s="11">
        <f t="shared" si="2"/>
        <v>-2975</v>
      </c>
      <c r="AX11" s="11">
        <f t="shared" si="2"/>
        <v>523</v>
      </c>
      <c r="AY11" s="11">
        <f t="shared" si="2"/>
        <v>-1568</v>
      </c>
      <c r="AZ11" s="11">
        <f t="shared" si="2"/>
        <v>0</v>
      </c>
      <c r="BA11" s="11">
        <f t="shared" si="2"/>
        <v>0</v>
      </c>
      <c r="BB11" s="10">
        <f t="shared" si="2"/>
        <v>0</v>
      </c>
      <c r="BC11" s="11">
        <f t="shared" si="2"/>
        <v>-195</v>
      </c>
      <c r="BD11" s="11">
        <f t="shared" si="2"/>
        <v>-195</v>
      </c>
      <c r="BE11" s="11">
        <f t="shared" si="2"/>
        <v>0</v>
      </c>
      <c r="BF11" s="11">
        <f t="shared" si="2"/>
        <v>-183</v>
      </c>
      <c r="BG11" s="11">
        <f t="shared" si="2"/>
        <v>2226</v>
      </c>
      <c r="BH11" s="9">
        <f t="shared" si="2"/>
        <v>14348</v>
      </c>
      <c r="BI11" s="45">
        <f t="shared" si="2"/>
        <v>1576</v>
      </c>
      <c r="BJ11" s="11">
        <f t="shared" si="2"/>
        <v>0</v>
      </c>
      <c r="BK11" s="51">
        <f t="shared" si="2"/>
        <v>1576</v>
      </c>
      <c r="BM11" s="30">
        <f>BK11-AD11</f>
        <v>14348</v>
      </c>
    </row>
    <row r="12" spans="1:67" ht="15.75">
      <c r="A12" s="130"/>
      <c r="B12" s="5" t="s">
        <v>127</v>
      </c>
      <c r="C12" s="13">
        <f>C11/C7</f>
        <v>-6.1632534495279591E-2</v>
      </c>
      <c r="D12" s="13">
        <f t="shared" ref="D12:BM12" si="3">D11/D7</f>
        <v>0.14631397328166193</v>
      </c>
      <c r="E12" s="13">
        <f t="shared" si="3"/>
        <v>-0.14781258089567695</v>
      </c>
      <c r="F12" s="13">
        <f t="shared" si="3"/>
        <v>-7.4872355018162418E-2</v>
      </c>
      <c r="G12" s="13">
        <f t="shared" si="3"/>
        <v>2.9904343249852954E-2</v>
      </c>
      <c r="H12" s="13" t="e">
        <f t="shared" si="3"/>
        <v>#DIV/0!</v>
      </c>
      <c r="I12" s="13" t="e">
        <f t="shared" si="3"/>
        <v>#DIV/0!</v>
      </c>
      <c r="J12" s="13" t="e">
        <f t="shared" si="3"/>
        <v>#DIV/0!</v>
      </c>
      <c r="K12" s="13" t="e">
        <f t="shared" si="3"/>
        <v>#DIV/0!</v>
      </c>
      <c r="L12" s="13">
        <f t="shared" si="3"/>
        <v>-0.11664779161947905</v>
      </c>
      <c r="M12" s="13">
        <f t="shared" si="3"/>
        <v>-0.15970287836583102</v>
      </c>
      <c r="N12" s="13">
        <f t="shared" si="3"/>
        <v>2.7603305785123968</v>
      </c>
      <c r="O12" s="13">
        <f t="shared" si="3"/>
        <v>0.33998290111142776</v>
      </c>
      <c r="P12" s="13">
        <f t="shared" si="3"/>
        <v>-0.13426879926732738</v>
      </c>
      <c r="Q12" s="13" t="e">
        <f t="shared" si="3"/>
        <v>#DIV/0!</v>
      </c>
      <c r="R12" s="13">
        <f t="shared" si="3"/>
        <v>0.38108108108108107</v>
      </c>
      <c r="S12" s="13" t="e">
        <f t="shared" si="3"/>
        <v>#DIV/0!</v>
      </c>
      <c r="T12" s="13" t="e">
        <f t="shared" si="3"/>
        <v>#DIV/0!</v>
      </c>
      <c r="U12" s="13" t="e">
        <f>U11/U7</f>
        <v>#DIV/0!</v>
      </c>
      <c r="V12" s="163" t="e">
        <f t="shared" si="3"/>
        <v>#DIV/0!</v>
      </c>
      <c r="W12" s="13" t="e">
        <f t="shared" si="3"/>
        <v>#DIV/0!</v>
      </c>
      <c r="X12" s="13" t="e">
        <f t="shared" si="3"/>
        <v>#DIV/0!</v>
      </c>
      <c r="Y12" s="13">
        <f t="shared" si="3"/>
        <v>0.35619109522261944</v>
      </c>
      <c r="Z12" s="13">
        <f t="shared" si="3"/>
        <v>-5.4162487462387159E-2</v>
      </c>
      <c r="AA12" s="13">
        <f t="shared" si="3"/>
        <v>0.50992063492063489</v>
      </c>
      <c r="AB12" s="13">
        <f>AB11/AB7</f>
        <v>-1</v>
      </c>
      <c r="AC12" s="14" t="e">
        <f>AC11/AC7</f>
        <v>#DIV/0!</v>
      </c>
      <c r="AD12" s="13">
        <f t="shared" si="3"/>
        <v>-1.1357098586765049E-2</v>
      </c>
      <c r="AE12" s="13">
        <f t="shared" si="3"/>
        <v>3.3235294117647061</v>
      </c>
      <c r="AF12" s="13">
        <f t="shared" si="3"/>
        <v>0.16354916067146283</v>
      </c>
      <c r="AG12" s="13">
        <f t="shared" si="3"/>
        <v>-0.24587155963302754</v>
      </c>
      <c r="AH12" s="13" t="e">
        <f t="shared" si="3"/>
        <v>#DIV/0!</v>
      </c>
      <c r="AI12" s="13" t="e">
        <f t="shared" si="3"/>
        <v>#DIV/0!</v>
      </c>
      <c r="AJ12" s="13" t="e">
        <f t="shared" si="3"/>
        <v>#DIV/0!</v>
      </c>
      <c r="AK12" s="13">
        <f t="shared" si="3"/>
        <v>-1.0374341610233258</v>
      </c>
      <c r="AL12" s="13">
        <f t="shared" si="3"/>
        <v>0.21334228788896351</v>
      </c>
      <c r="AM12" s="13" t="e">
        <f t="shared" si="3"/>
        <v>#DIV/0!</v>
      </c>
      <c r="AN12" s="13" t="e">
        <f t="shared" si="3"/>
        <v>#DIV/0!</v>
      </c>
      <c r="AO12" s="163">
        <f t="shared" si="3"/>
        <v>-0.29882402351952964</v>
      </c>
      <c r="AP12" s="13" t="e">
        <f t="shared" si="3"/>
        <v>#DIV/0!</v>
      </c>
      <c r="AQ12" s="14" t="e">
        <f t="shared" si="3"/>
        <v>#DIV/0!</v>
      </c>
      <c r="AR12" s="13" t="e">
        <f t="shared" si="3"/>
        <v>#DIV/0!</v>
      </c>
      <c r="AS12" s="13" t="e">
        <f t="shared" si="3"/>
        <v>#DIV/0!</v>
      </c>
      <c r="AT12" s="13" t="e">
        <f t="shared" si="3"/>
        <v>#DIV/0!</v>
      </c>
      <c r="AU12" s="13" t="e">
        <f t="shared" si="3"/>
        <v>#DIV/0!</v>
      </c>
      <c r="AV12" s="13" t="e">
        <f t="shared" si="3"/>
        <v>#DIV/0!</v>
      </c>
      <c r="AW12" s="13">
        <f t="shared" si="3"/>
        <v>-1</v>
      </c>
      <c r="AX12" s="13">
        <f t="shared" si="3"/>
        <v>0.54707112970711302</v>
      </c>
      <c r="AY12" s="13">
        <f t="shared" si="3"/>
        <v>-1</v>
      </c>
      <c r="AZ12" s="13" t="e">
        <f t="shared" si="3"/>
        <v>#DIV/0!</v>
      </c>
      <c r="BA12" s="13" t="e">
        <f t="shared" si="3"/>
        <v>#DIV/0!</v>
      </c>
      <c r="BB12" s="14" t="e">
        <f t="shared" si="3"/>
        <v>#DIV/0!</v>
      </c>
      <c r="BC12" s="13">
        <f t="shared" si="3"/>
        <v>-0.22517321016166281</v>
      </c>
      <c r="BD12" s="13">
        <f t="shared" si="3"/>
        <v>-0.22517321016166281</v>
      </c>
      <c r="BE12" s="13" t="e">
        <f t="shared" si="3"/>
        <v>#DIV/0!</v>
      </c>
      <c r="BF12" s="13">
        <f t="shared" si="3"/>
        <v>-0.81333333333333335</v>
      </c>
      <c r="BG12" s="13">
        <f t="shared" si="3"/>
        <v>0.31347697507393324</v>
      </c>
      <c r="BH12" s="163">
        <f t="shared" si="3"/>
        <v>1.0897766975543066</v>
      </c>
      <c r="BI12" s="46">
        <f t="shared" si="3"/>
        <v>1.3851912855998994E-3</v>
      </c>
      <c r="BJ12" s="13" t="e">
        <f t="shared" si="3"/>
        <v>#DIV/0!</v>
      </c>
      <c r="BK12" s="52">
        <f t="shared" si="3"/>
        <v>1.3851912855998994E-3</v>
      </c>
      <c r="BM12" s="14">
        <f t="shared" si="3"/>
        <v>1.0897766975543066</v>
      </c>
      <c r="BO12" s="36"/>
    </row>
    <row r="13" spans="1:67" ht="15.75">
      <c r="A13" s="130"/>
      <c r="B13" s="5" t="s">
        <v>310</v>
      </c>
      <c r="C13" s="128">
        <f>C8/C5</f>
        <v>0.99813216947974204</v>
      </c>
      <c r="D13" s="128">
        <f t="shared" ref="D13:BM13" si="4">D8/D5</f>
        <v>0.99814473113725966</v>
      </c>
      <c r="E13" s="128">
        <f t="shared" si="4"/>
        <v>0.99805966529226287</v>
      </c>
      <c r="F13" s="128">
        <f t="shared" si="4"/>
        <v>0.99813634806440565</v>
      </c>
      <c r="G13" s="128">
        <f t="shared" si="4"/>
        <v>0.99807998079980798</v>
      </c>
      <c r="H13" s="128" t="e">
        <f t="shared" si="4"/>
        <v>#DIV/0!</v>
      </c>
      <c r="I13" s="128" t="e">
        <f t="shared" si="4"/>
        <v>#DIV/0!</v>
      </c>
      <c r="J13" s="128" t="e">
        <f t="shared" si="4"/>
        <v>#DIV/0!</v>
      </c>
      <c r="K13" s="128" t="e">
        <f t="shared" si="4"/>
        <v>#DIV/0!</v>
      </c>
      <c r="L13" s="128">
        <f t="shared" si="4"/>
        <v>0.99744245524296671</v>
      </c>
      <c r="M13" s="128">
        <f t="shared" si="4"/>
        <v>0.99816176470588236</v>
      </c>
      <c r="N13" s="128">
        <f t="shared" si="4"/>
        <v>0.9978070175438597</v>
      </c>
      <c r="O13" s="128">
        <f t="shared" si="4"/>
        <v>0.99851348481630919</v>
      </c>
      <c r="P13" s="128">
        <f t="shared" si="4"/>
        <v>0.99811448827211702</v>
      </c>
      <c r="Q13" s="128" t="e">
        <f t="shared" si="4"/>
        <v>#DIV/0!</v>
      </c>
      <c r="R13" s="128">
        <f t="shared" si="4"/>
        <v>0.99746242436072619</v>
      </c>
      <c r="S13" s="128" t="e">
        <f t="shared" si="4"/>
        <v>#DIV/0!</v>
      </c>
      <c r="T13" s="128" t="e">
        <f t="shared" si="4"/>
        <v>#DIV/0!</v>
      </c>
      <c r="U13" s="128" t="e">
        <f t="shared" si="4"/>
        <v>#DIV/0!</v>
      </c>
      <c r="V13" s="178" t="e">
        <f t="shared" si="4"/>
        <v>#DIV/0!</v>
      </c>
      <c r="W13" s="128">
        <f t="shared" si="4"/>
        <v>1</v>
      </c>
      <c r="X13" s="128" t="e">
        <f t="shared" si="4"/>
        <v>#DIV/0!</v>
      </c>
      <c r="Y13" s="128">
        <f t="shared" si="4"/>
        <v>0.99856424982053127</v>
      </c>
      <c r="Z13" s="128">
        <f t="shared" si="4"/>
        <v>0.99788359788359793</v>
      </c>
      <c r="AA13" s="128">
        <f t="shared" si="4"/>
        <v>1</v>
      </c>
      <c r="AB13" s="128" t="e">
        <f>AB8/AB5</f>
        <v>#DIV/0!</v>
      </c>
      <c r="AC13" s="217" t="e">
        <f t="shared" si="4"/>
        <v>#DIV/0!</v>
      </c>
      <c r="AD13" s="128">
        <f t="shared" si="4"/>
        <v>0.9981335679465656</v>
      </c>
      <c r="AE13" s="128">
        <f t="shared" si="4"/>
        <v>1.0034129692832765</v>
      </c>
      <c r="AF13" s="128">
        <f t="shared" si="4"/>
        <v>0.99630390143737169</v>
      </c>
      <c r="AG13" s="128">
        <f t="shared" si="4"/>
        <v>0.99757281553398058</v>
      </c>
      <c r="AH13" s="128" t="e">
        <f t="shared" si="4"/>
        <v>#DIV/0!</v>
      </c>
      <c r="AI13" s="128" t="e">
        <f t="shared" si="4"/>
        <v>#DIV/0!</v>
      </c>
      <c r="AJ13" s="128" t="e">
        <f t="shared" si="4"/>
        <v>#DIV/0!</v>
      </c>
      <c r="AK13" s="128">
        <f t="shared" si="4"/>
        <v>1</v>
      </c>
      <c r="AL13" s="128">
        <f t="shared" si="4"/>
        <v>0.99815837937384899</v>
      </c>
      <c r="AM13" s="128" t="e">
        <f t="shared" si="4"/>
        <v>#DIV/0!</v>
      </c>
      <c r="AN13" s="128" t="e">
        <f t="shared" si="4"/>
        <v>#DIV/0!</v>
      </c>
      <c r="AO13" s="178">
        <f t="shared" si="4"/>
        <v>0.99880346993718216</v>
      </c>
      <c r="AP13" s="128" t="e">
        <f t="shared" si="4"/>
        <v>#DIV/0!</v>
      </c>
      <c r="AQ13" s="217" t="e">
        <f t="shared" si="4"/>
        <v>#DIV/0!</v>
      </c>
      <c r="AR13" s="128" t="e">
        <f t="shared" si="4"/>
        <v>#DIV/0!</v>
      </c>
      <c r="AS13" s="128" t="e">
        <f t="shared" si="4"/>
        <v>#DIV/0!</v>
      </c>
      <c r="AT13" s="128" t="e">
        <f t="shared" si="4"/>
        <v>#DIV/0!</v>
      </c>
      <c r="AU13" s="128" t="e">
        <f t="shared" si="4"/>
        <v>#DIV/0!</v>
      </c>
      <c r="AV13" s="128" t="e">
        <f t="shared" si="4"/>
        <v>#DIV/0!</v>
      </c>
      <c r="AW13" s="128" t="e">
        <f t="shared" si="4"/>
        <v>#DIV/0!</v>
      </c>
      <c r="AX13" s="128">
        <f t="shared" si="4"/>
        <v>0.99932432432432428</v>
      </c>
      <c r="AY13" s="128" t="e">
        <f t="shared" si="4"/>
        <v>#DIV/0!</v>
      </c>
      <c r="AZ13" s="128" t="e">
        <f t="shared" si="4"/>
        <v>#DIV/0!</v>
      </c>
      <c r="BA13" s="128" t="e">
        <f t="shared" si="4"/>
        <v>#DIV/0!</v>
      </c>
      <c r="BB13" s="217" t="e">
        <f t="shared" si="4"/>
        <v>#DIV/0!</v>
      </c>
      <c r="BC13" s="128">
        <f t="shared" si="4"/>
        <v>1</v>
      </c>
      <c r="BD13" s="128">
        <f t="shared" si="4"/>
        <v>1</v>
      </c>
      <c r="BE13" s="128" t="e">
        <f t="shared" si="4"/>
        <v>#DIV/0!</v>
      </c>
      <c r="BF13" s="128">
        <f t="shared" si="4"/>
        <v>1.024390243902439</v>
      </c>
      <c r="BG13" s="128">
        <f t="shared" si="4"/>
        <v>0.99860813704496787</v>
      </c>
      <c r="BH13" s="178">
        <f t="shared" si="4"/>
        <v>0.99833091436865018</v>
      </c>
      <c r="BI13" s="128">
        <f t="shared" si="4"/>
        <v>0.99813833282228748</v>
      </c>
      <c r="BJ13" s="128" t="e">
        <f t="shared" si="4"/>
        <v>#DIV/0!</v>
      </c>
      <c r="BK13" s="128">
        <f t="shared" si="4"/>
        <v>0.99813833282228748</v>
      </c>
      <c r="BM13" s="128">
        <f t="shared" si="4"/>
        <v>0.99833091436865018</v>
      </c>
    </row>
    <row r="14" spans="1:67" s="181" customFormat="1" ht="15.75">
      <c r="A14" s="130"/>
      <c r="B14" s="5" t="s">
        <v>327</v>
      </c>
      <c r="C14" s="11">
        <f>C5-C8</f>
        <v>1209</v>
      </c>
      <c r="D14" s="11">
        <f>D5-D8</f>
        <v>552</v>
      </c>
      <c r="E14" s="11">
        <f>E5-E8</f>
        <v>32</v>
      </c>
      <c r="F14" s="11">
        <f>F5-F8</f>
        <v>136</v>
      </c>
      <c r="G14" s="11">
        <f t="shared" ref="G14:BM14" si="5">G5-G8</f>
        <v>64</v>
      </c>
      <c r="H14" s="11">
        <f t="shared" si="5"/>
        <v>0</v>
      </c>
      <c r="I14" s="11">
        <f t="shared" si="5"/>
        <v>0</v>
      </c>
      <c r="J14" s="11">
        <f t="shared" si="5"/>
        <v>0</v>
      </c>
      <c r="K14" s="11">
        <f t="shared" si="5"/>
        <v>0</v>
      </c>
      <c r="L14" s="11">
        <f t="shared" si="5"/>
        <v>2</v>
      </c>
      <c r="M14" s="11">
        <f t="shared" si="5"/>
        <v>5</v>
      </c>
      <c r="N14" s="11">
        <f t="shared" si="5"/>
        <v>1</v>
      </c>
      <c r="O14" s="11">
        <f t="shared" si="5"/>
        <v>7</v>
      </c>
      <c r="P14" s="11">
        <f t="shared" si="5"/>
        <v>50</v>
      </c>
      <c r="Q14" s="11">
        <f t="shared" si="5"/>
        <v>0</v>
      </c>
      <c r="R14" s="11">
        <f t="shared" si="5"/>
        <v>13</v>
      </c>
      <c r="S14" s="11">
        <f t="shared" si="5"/>
        <v>0</v>
      </c>
      <c r="T14" s="11">
        <f t="shared" si="5"/>
        <v>0</v>
      </c>
      <c r="U14" s="11">
        <f t="shared" si="5"/>
        <v>0</v>
      </c>
      <c r="V14" s="9">
        <f t="shared" si="5"/>
        <v>0</v>
      </c>
      <c r="W14" s="11">
        <f t="shared" si="5"/>
        <v>0</v>
      </c>
      <c r="X14" s="11">
        <f t="shared" si="5"/>
        <v>0</v>
      </c>
      <c r="Y14" s="11">
        <f t="shared" si="5"/>
        <v>6</v>
      </c>
      <c r="Z14" s="11">
        <f t="shared" si="5"/>
        <v>2</v>
      </c>
      <c r="AA14" s="11">
        <f t="shared" si="5"/>
        <v>0</v>
      </c>
      <c r="AB14" s="11">
        <f>AB5-AB8</f>
        <v>0</v>
      </c>
      <c r="AC14" s="10">
        <f t="shared" si="5"/>
        <v>0</v>
      </c>
      <c r="AD14" s="11">
        <f t="shared" si="5"/>
        <v>2079</v>
      </c>
      <c r="AE14" s="11">
        <f t="shared" si="5"/>
        <v>-1</v>
      </c>
      <c r="AF14" s="11">
        <f t="shared" si="5"/>
        <v>18</v>
      </c>
      <c r="AG14" s="11">
        <f t="shared" si="5"/>
        <v>2</v>
      </c>
      <c r="AH14" s="11">
        <f t="shared" si="5"/>
        <v>0</v>
      </c>
      <c r="AI14" s="11">
        <f t="shared" si="5"/>
        <v>0</v>
      </c>
      <c r="AJ14" s="11">
        <f t="shared" si="5"/>
        <v>0</v>
      </c>
      <c r="AK14" s="11">
        <f t="shared" si="5"/>
        <v>0</v>
      </c>
      <c r="AL14" s="11">
        <f t="shared" si="5"/>
        <v>10</v>
      </c>
      <c r="AM14" s="11">
        <f t="shared" si="5"/>
        <v>0</v>
      </c>
      <c r="AN14" s="11">
        <f t="shared" si="5"/>
        <v>0</v>
      </c>
      <c r="AO14" s="9">
        <f t="shared" si="5"/>
        <v>4</v>
      </c>
      <c r="AP14" s="11">
        <f t="shared" si="5"/>
        <v>0</v>
      </c>
      <c r="AQ14" s="10">
        <f t="shared" si="5"/>
        <v>0</v>
      </c>
      <c r="AR14" s="11">
        <f t="shared" si="5"/>
        <v>0</v>
      </c>
      <c r="AS14" s="11">
        <f t="shared" si="5"/>
        <v>0</v>
      </c>
      <c r="AT14" s="11">
        <f t="shared" si="5"/>
        <v>0</v>
      </c>
      <c r="AU14" s="11">
        <f t="shared" si="5"/>
        <v>0</v>
      </c>
      <c r="AV14" s="11">
        <f t="shared" si="5"/>
        <v>0</v>
      </c>
      <c r="AW14" s="11">
        <f t="shared" si="5"/>
        <v>0</v>
      </c>
      <c r="AX14" s="11">
        <f t="shared" si="5"/>
        <v>1</v>
      </c>
      <c r="AY14" s="11">
        <f t="shared" si="5"/>
        <v>0</v>
      </c>
      <c r="AZ14" s="11">
        <f t="shared" si="5"/>
        <v>0</v>
      </c>
      <c r="BA14" s="11">
        <f t="shared" si="5"/>
        <v>0</v>
      </c>
      <c r="BB14" s="10">
        <f t="shared" si="5"/>
        <v>0</v>
      </c>
      <c r="BC14" s="11">
        <f t="shared" si="5"/>
        <v>0</v>
      </c>
      <c r="BD14" s="11">
        <f t="shared" si="5"/>
        <v>0</v>
      </c>
      <c r="BE14" s="11">
        <f t="shared" si="5"/>
        <v>0</v>
      </c>
      <c r="BF14" s="11">
        <f t="shared" si="5"/>
        <v>-1</v>
      </c>
      <c r="BG14" s="11">
        <f t="shared" si="5"/>
        <v>13</v>
      </c>
      <c r="BH14" s="11">
        <f t="shared" si="5"/>
        <v>46</v>
      </c>
      <c r="BI14" s="11">
        <f t="shared" si="5"/>
        <v>2125</v>
      </c>
      <c r="BJ14" s="11">
        <f t="shared" si="5"/>
        <v>0</v>
      </c>
      <c r="BK14" s="11">
        <f t="shared" si="5"/>
        <v>2125</v>
      </c>
      <c r="BL14" s="11">
        <f t="shared" si="5"/>
        <v>-1139322</v>
      </c>
      <c r="BM14" s="11">
        <f t="shared" si="5"/>
        <v>46</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44"/>
      <c r="BJ15" s="5"/>
      <c r="BK15" s="50"/>
    </row>
    <row r="16" spans="1:67" s="179" customFormat="1" ht="15.75">
      <c r="A16" s="264" t="s">
        <v>128</v>
      </c>
      <c r="B16" s="9" t="s">
        <v>326</v>
      </c>
      <c r="C16" s="225">
        <v>2514995</v>
      </c>
      <c r="D16" s="225">
        <v>1149694</v>
      </c>
      <c r="E16" s="225">
        <v>125395</v>
      </c>
      <c r="F16" s="225">
        <v>192457</v>
      </c>
      <c r="G16" s="225">
        <v>209852</v>
      </c>
      <c r="H16" s="225">
        <v>0</v>
      </c>
      <c r="I16" s="225">
        <v>0</v>
      </c>
      <c r="J16" s="225">
        <v>0</v>
      </c>
      <c r="K16" s="225">
        <v>62</v>
      </c>
      <c r="L16" s="225">
        <v>49929</v>
      </c>
      <c r="M16" s="225">
        <v>242146</v>
      </c>
      <c r="N16" s="225">
        <v>88</v>
      </c>
      <c r="O16" s="225">
        <v>3034</v>
      </c>
      <c r="P16" s="225">
        <v>178358</v>
      </c>
      <c r="Q16" s="225">
        <v>0</v>
      </c>
      <c r="R16" s="225">
        <v>3432</v>
      </c>
      <c r="S16" s="225"/>
      <c r="T16" s="225"/>
      <c r="U16" s="225"/>
      <c r="V16" s="225"/>
      <c r="W16" s="225"/>
      <c r="X16" s="225"/>
      <c r="Y16" s="225">
        <v>3794</v>
      </c>
      <c r="Z16" s="225">
        <v>1190</v>
      </c>
      <c r="AA16" s="225">
        <v>1708</v>
      </c>
      <c r="AB16" s="225">
        <v>0</v>
      </c>
      <c r="AC16" s="225">
        <v>0</v>
      </c>
      <c r="AD16" s="226">
        <f>SUM(C16:AC16)</f>
        <v>4676134</v>
      </c>
      <c r="AE16" s="225">
        <v>78</v>
      </c>
      <c r="AF16" s="225">
        <v>0</v>
      </c>
      <c r="AG16" s="225">
        <v>15917</v>
      </c>
      <c r="AH16" s="225">
        <v>0</v>
      </c>
      <c r="AI16" s="225">
        <v>0</v>
      </c>
      <c r="AJ16" s="225">
        <v>0</v>
      </c>
      <c r="AK16" s="225">
        <v>88762</v>
      </c>
      <c r="AL16" s="225">
        <v>149381</v>
      </c>
      <c r="AM16" s="225">
        <v>0</v>
      </c>
      <c r="AN16" s="225">
        <v>150728</v>
      </c>
      <c r="AO16" s="225">
        <v>550239</v>
      </c>
      <c r="AP16" s="225">
        <v>0</v>
      </c>
      <c r="AQ16" s="225">
        <v>0</v>
      </c>
      <c r="AR16" s="225">
        <v>0</v>
      </c>
      <c r="AS16" s="225">
        <v>0</v>
      </c>
      <c r="AT16" s="225">
        <v>0</v>
      </c>
      <c r="AU16" s="225">
        <v>0</v>
      </c>
      <c r="AV16" s="225">
        <v>0</v>
      </c>
      <c r="AW16" s="225">
        <v>0</v>
      </c>
      <c r="AX16" s="225">
        <v>812</v>
      </c>
      <c r="AY16" s="225">
        <v>0</v>
      </c>
      <c r="AZ16" s="225">
        <v>0</v>
      </c>
      <c r="BA16" s="225">
        <v>0</v>
      </c>
      <c r="BB16" s="225">
        <v>0</v>
      </c>
      <c r="BC16" s="225">
        <v>27768</v>
      </c>
      <c r="BD16" s="225">
        <v>27768</v>
      </c>
      <c r="BE16" s="225">
        <v>0</v>
      </c>
      <c r="BF16" s="225">
        <v>6297</v>
      </c>
      <c r="BG16" s="225">
        <v>1132</v>
      </c>
      <c r="BH16" s="229">
        <f>SUM(AE16:BG16)</f>
        <v>1018882</v>
      </c>
      <c r="BI16" s="125">
        <f>AD16+BH16</f>
        <v>5695016</v>
      </c>
      <c r="BJ16" s="230">
        <v>0</v>
      </c>
      <c r="BK16" s="226">
        <f>BI16-BJ16</f>
        <v>5695016</v>
      </c>
      <c r="BM16" s="228">
        <f>BK16-AD16</f>
        <v>1018882</v>
      </c>
    </row>
    <row r="17" spans="1:65" s="41" customFormat="1" ht="15.75">
      <c r="A17" s="136"/>
      <c r="B17" s="234" t="s">
        <v>321</v>
      </c>
      <c r="C17" s="342">
        <v>2514995</v>
      </c>
      <c r="D17" s="342">
        <v>1149694</v>
      </c>
      <c r="E17" s="342">
        <v>125395</v>
      </c>
      <c r="F17" s="342">
        <v>192457</v>
      </c>
      <c r="G17" s="342">
        <v>209852</v>
      </c>
      <c r="H17" s="342">
        <v>0</v>
      </c>
      <c r="I17" s="342">
        <v>0</v>
      </c>
      <c r="J17" s="342">
        <v>0</v>
      </c>
      <c r="K17" s="342">
        <v>62</v>
      </c>
      <c r="L17" s="342">
        <v>49929</v>
      </c>
      <c r="M17" s="342">
        <v>242146</v>
      </c>
      <c r="N17" s="342">
        <v>88</v>
      </c>
      <c r="O17" s="342">
        <v>3034</v>
      </c>
      <c r="P17" s="342">
        <v>178358</v>
      </c>
      <c r="Q17" s="342">
        <v>0</v>
      </c>
      <c r="R17" s="342">
        <v>3432</v>
      </c>
      <c r="S17" s="342"/>
      <c r="T17" s="342"/>
      <c r="U17" s="342"/>
      <c r="V17" s="342"/>
      <c r="W17" s="342"/>
      <c r="X17" s="342"/>
      <c r="Y17" s="342">
        <v>3794</v>
      </c>
      <c r="Z17" s="342">
        <v>1190</v>
      </c>
      <c r="AA17" s="342">
        <v>1708</v>
      </c>
      <c r="AB17" s="342">
        <v>0</v>
      </c>
      <c r="AC17" s="342">
        <v>0</v>
      </c>
      <c r="AD17" s="123">
        <f>SUM(C17:AC17)</f>
        <v>4676134</v>
      </c>
      <c r="AE17" s="342">
        <v>78</v>
      </c>
      <c r="AF17" s="342">
        <v>0</v>
      </c>
      <c r="AG17" s="342">
        <v>15917</v>
      </c>
      <c r="AH17" s="342">
        <v>0</v>
      </c>
      <c r="AI17" s="342">
        <v>0</v>
      </c>
      <c r="AJ17" s="342">
        <v>0</v>
      </c>
      <c r="AK17" s="342">
        <v>88762</v>
      </c>
      <c r="AL17" s="342">
        <v>149381</v>
      </c>
      <c r="AM17" s="342">
        <v>0</v>
      </c>
      <c r="AN17" s="342">
        <v>150728</v>
      </c>
      <c r="AO17" s="342">
        <v>550239</v>
      </c>
      <c r="AP17" s="342">
        <v>0</v>
      </c>
      <c r="AQ17" s="342">
        <v>0</v>
      </c>
      <c r="AR17" s="342">
        <v>0</v>
      </c>
      <c r="AS17" s="342">
        <v>0</v>
      </c>
      <c r="AT17" s="342">
        <v>0</v>
      </c>
      <c r="AU17" s="342">
        <v>0</v>
      </c>
      <c r="AV17" s="342">
        <v>0</v>
      </c>
      <c r="AW17" s="342">
        <v>0</v>
      </c>
      <c r="AX17" s="342">
        <v>812</v>
      </c>
      <c r="AY17" s="342">
        <v>0</v>
      </c>
      <c r="AZ17" s="342">
        <v>0</v>
      </c>
      <c r="BA17" s="342">
        <v>0</v>
      </c>
      <c r="BB17" s="342">
        <v>0</v>
      </c>
      <c r="BC17" s="342">
        <v>27768</v>
      </c>
      <c r="BD17" s="342">
        <v>27768</v>
      </c>
      <c r="BE17" s="342">
        <v>0</v>
      </c>
      <c r="BF17" s="342">
        <v>6297</v>
      </c>
      <c r="BG17" s="342">
        <v>1132</v>
      </c>
      <c r="BH17" s="124">
        <f>SUM(AE17:BG17)</f>
        <v>1018882</v>
      </c>
      <c r="BI17" s="220">
        <f>AD17+BH17</f>
        <v>5695016</v>
      </c>
      <c r="BJ17" s="343">
        <v>0</v>
      </c>
      <c r="BK17" s="123">
        <f>BI17-BJ17</f>
        <v>5695016</v>
      </c>
      <c r="BL17" s="41">
        <f>'[1]Upto Month Current'!$C$61</f>
        <v>650631</v>
      </c>
      <c r="BM17" s="218">
        <f>BK17-AD17</f>
        <v>1018882</v>
      </c>
    </row>
    <row r="18" spans="1:65" ht="15.75">
      <c r="A18" s="130"/>
      <c r="B18" s="12" t="s">
        <v>322</v>
      </c>
      <c r="C18" s="9">
        <f>IF('Upto Month COPPY'!$C$4="",0,'Upto Month COPPY'!$C$4)</f>
        <v>2297043</v>
      </c>
      <c r="D18" s="9">
        <f>IF('Upto Month COPPY'!$C$5="",0,'Upto Month COPPY'!$C$5)</f>
        <v>857144</v>
      </c>
      <c r="E18" s="9">
        <f>IF('Upto Month COPPY'!$C$6="",0,'Upto Month COPPY'!$C$6)</f>
        <v>125650</v>
      </c>
      <c r="F18" s="9">
        <f>IF('Upto Month COPPY'!$C$7="",0,'Upto Month COPPY'!$C$7)</f>
        <v>170455</v>
      </c>
      <c r="G18" s="9">
        <f>IF('Upto Month COPPY'!$C$8="",0,'Upto Month COPPY'!$C$8)</f>
        <v>182747</v>
      </c>
      <c r="H18" s="9">
        <f>IF('Upto Month COPPY'!$C$9="",0,'Upto Month COPPY'!$C$9)</f>
        <v>0</v>
      </c>
      <c r="I18" s="9">
        <f>IF('Upto Month COPPY'!$C$10="",0,'Upto Month COPPY'!$C$10)</f>
        <v>0</v>
      </c>
      <c r="J18" s="9">
        <f>IF('Upto Month COPPY'!$C$11="",0,'Upto Month COPPY'!$C$11)</f>
        <v>0</v>
      </c>
      <c r="K18" s="9">
        <f>IF('Upto Month COPPY'!$C$12="",0,'Upto Month COPPY'!$C$12)</f>
        <v>74</v>
      </c>
      <c r="L18" s="9">
        <f>IF('Upto Month COPPY'!$C$13="",0,'Upto Month COPPY'!$C$13)</f>
        <v>27963</v>
      </c>
      <c r="M18" s="9">
        <f>IF('Upto Month COPPY'!$C$14="",0,'Upto Month COPPY'!$C$14)</f>
        <v>210830</v>
      </c>
      <c r="N18" s="9">
        <f>IF('Upto Month COPPY'!$C$15="",0,'Upto Month COPPY'!$C$15)</f>
        <v>97</v>
      </c>
      <c r="O18" s="9">
        <f>IF('Upto Month COPPY'!$C$16="",0,'Upto Month COPPY'!$C$16)</f>
        <v>2780</v>
      </c>
      <c r="P18" s="9">
        <f>IF('Upto Month COPPY'!$C$17="",0,'Upto Month COPPY'!$C$17)</f>
        <v>142254</v>
      </c>
      <c r="Q18" s="9">
        <f>IF('Upto Month COPPY'!$C$18="",0,'Upto Month COPPY'!$C$18)</f>
        <v>0</v>
      </c>
      <c r="R18" s="9">
        <f>IF('Upto Month COPPY'!$C$21="",0,'Upto Month COPPY'!$C$21)</f>
        <v>3537</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9735</v>
      </c>
      <c r="Z18" s="9">
        <f>IF('Upto Month COPPY'!$C$43="",0,'Upto Month COPPY'!$C$43)</f>
        <v>7691</v>
      </c>
      <c r="AA18" s="9">
        <f>IF('Upto Month COPPY'!$C$44="",0,'Upto Month COPPY'!$C$44)</f>
        <v>1859</v>
      </c>
      <c r="AB18" s="9">
        <f>IF('Upto Month COPPY'!$C$48="",0,'Upto Month COPPY'!$C$48)</f>
        <v>0</v>
      </c>
      <c r="AC18" s="10">
        <f>IF('Upto Month COPPY'!$C$51="",0,'Upto Month COPPY'!$C$51)</f>
        <v>0</v>
      </c>
      <c r="AD18" s="123">
        <f>SUM(C18:AC18)</f>
        <v>4039859</v>
      </c>
      <c r="AE18" s="9">
        <f>IF('Upto Month COPPY'!$C$19="",0,'Upto Month COPPY'!$C$19)</f>
        <v>82</v>
      </c>
      <c r="AF18" s="9">
        <f>IF('Upto Month COPPY'!$C$20="",0,'Upto Month COPPY'!$C$20)</f>
        <v>0</v>
      </c>
      <c r="AG18" s="9">
        <f>IF('Upto Month COPPY'!$C$22="",0,'Upto Month COPPY'!$C$22)</f>
        <v>18635</v>
      </c>
      <c r="AH18" s="9">
        <f>IF('Upto Month COPPY'!$C$23="",0,'Upto Month COPPY'!$C$23)</f>
        <v>0</v>
      </c>
      <c r="AI18" s="9">
        <f>IF('Upto Month COPPY'!$C$24="",0,'Upto Month COPPY'!$C$24)</f>
        <v>0</v>
      </c>
      <c r="AJ18" s="9">
        <f>IF('Upto Month COPPY'!$C$25="",0,'Upto Month COPPY'!$C$25)</f>
        <v>29</v>
      </c>
      <c r="AK18" s="9">
        <f>IF('Upto Month COPPY'!$C$28="",0,'Upto Month COPPY'!$C$28)</f>
        <v>83821</v>
      </c>
      <c r="AL18" s="9">
        <f>IF('Upto Month COPPY'!$C$29="",0,'Upto Month COPPY'!$C$29)</f>
        <v>106748</v>
      </c>
      <c r="AM18" s="9">
        <f>IF('Upto Month COPPY'!$C$31="",0,'Upto Month COPPY'!$C$31)</f>
        <v>0</v>
      </c>
      <c r="AN18" s="9">
        <f>IF('Upto Month COPPY'!$C$32="",0,'Upto Month COPPY'!$C$32)</f>
        <v>132359</v>
      </c>
      <c r="AO18" s="9">
        <f>IF('Upto Month COPPY'!$C$33="",0,'Upto Month COPPY'!$C$33)</f>
        <v>398937</v>
      </c>
      <c r="AP18" s="9">
        <f>IF('Upto Month COPPY'!$C$34="",0,'Upto Month COPPY'!$C$34)</f>
        <v>0</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505</v>
      </c>
      <c r="AX18" s="9">
        <f>IF('Upto Month COPPY'!$C$46="",0,'Upto Month COPPY'!$C$46)</f>
        <v>502</v>
      </c>
      <c r="AY18" s="9">
        <f>IF('Upto Month COPPY'!$C$47="",0,'Upto Month COPPY'!$C$47)</f>
        <v>0</v>
      </c>
      <c r="AZ18" s="9">
        <f>IF('Upto Month COPPY'!$C$49="",0,'Upto Month COPPY'!$C$49)</f>
        <v>0</v>
      </c>
      <c r="BA18" s="9">
        <f>IF('Upto Month COPPY'!$C$50="",0,'Upto Month COPPY'!$C$50)</f>
        <v>0</v>
      </c>
      <c r="BB18" s="10">
        <f>IF('Upto Month COPPY'!$C$52="",0,'Upto Month COPPY'!$C$52)</f>
        <v>0</v>
      </c>
      <c r="BC18" s="9">
        <f>IF('Upto Month COPPY'!$C$53="",0,'Upto Month COPPY'!$C$53)</f>
        <v>26435</v>
      </c>
      <c r="BD18" s="9">
        <f>IF('Upto Month COPPY'!$C$54="",0,'Upto Month COPPY'!$C$54)</f>
        <v>26012</v>
      </c>
      <c r="BE18" s="9">
        <f>IF('Upto Month COPPY'!$C$55="",0,'Upto Month COPPY'!$C$55)</f>
        <v>0</v>
      </c>
      <c r="BF18" s="9">
        <f>IF('Upto Month COPPY'!$C$56="",0,'Upto Month COPPY'!$C$56)</f>
        <v>4911</v>
      </c>
      <c r="BG18" s="9">
        <f>IF('Upto Month COPPY'!$C$58="",0,'Upto Month COPPY'!$C$58)</f>
        <v>554</v>
      </c>
      <c r="BH18" s="9">
        <f>SUM(AE18:BG18)</f>
        <v>799530</v>
      </c>
      <c r="BI18" s="127">
        <f>AD18+BH18</f>
        <v>4839389</v>
      </c>
      <c r="BJ18" s="9">
        <f>IF('Upto Month COPPY'!$C$60="",0,'Upto Month COPPY'!$C$60)</f>
        <v>0</v>
      </c>
      <c r="BK18" s="51">
        <f>BI18-BJ18</f>
        <v>4839389</v>
      </c>
      <c r="BL18">
        <f>'Upto Month COPPY'!$C$61</f>
        <v>4839389</v>
      </c>
      <c r="BM18" s="30">
        <f>BK18-AD18</f>
        <v>799530</v>
      </c>
    </row>
    <row r="19" spans="1:65" ht="18" customHeight="1">
      <c r="A19" s="130"/>
      <c r="B19" s="183" t="s">
        <v>323</v>
      </c>
      <c r="C19" s="9">
        <f>IF('Upto Month Current'!$C$4="",0,'Upto Month Current'!$C$4)</f>
        <v>2510339</v>
      </c>
      <c r="D19" s="9">
        <f>IF('Upto Month Current'!$C$5="",0,'Upto Month Current'!$C$5)</f>
        <v>1147565</v>
      </c>
      <c r="E19" s="9">
        <f>IF('Upto Month Current'!$C$6="",0,'Upto Month Current'!$C$6)</f>
        <v>125162</v>
      </c>
      <c r="F19" s="9">
        <f>IF('Upto Month Current'!$C$7="",0,'Upto Month Current'!$C$7)</f>
        <v>192097</v>
      </c>
      <c r="G19" s="9">
        <f>IF('Upto Month Current'!$C$8="",0,'Upto Month Current'!$C$8)</f>
        <v>209461</v>
      </c>
      <c r="H19" s="9">
        <f>IF('Upto Month Current'!$C$9="",0,'Upto Month Current'!$C$9)</f>
        <v>0</v>
      </c>
      <c r="I19" s="9">
        <f>IF('Upto Month Current'!$C$10="",0,'Upto Month Current'!$C$10)</f>
        <v>0</v>
      </c>
      <c r="J19" s="9">
        <f>IF('Upto Month Current'!$C$11="",0,'Upto Month Current'!$C$11)</f>
        <v>0</v>
      </c>
      <c r="K19" s="9">
        <f>IF('Upto Month Current'!$C$12="",0,'Upto Month Current'!$C$12)</f>
        <v>62</v>
      </c>
      <c r="L19" s="9">
        <f>IF('Upto Month Current'!$C$13="",0,'Upto Month Current'!$C$13)</f>
        <v>49833</v>
      </c>
      <c r="M19" s="9">
        <f>IF('Upto Month Current'!$C$14="",0,'Upto Month Current'!$C$14)</f>
        <v>241696</v>
      </c>
      <c r="N19" s="9">
        <f>IF('Upto Month Current'!$C$15="",0,'Upto Month Current'!$C$15)</f>
        <v>88</v>
      </c>
      <c r="O19" s="9">
        <f>IF('Upto Month Current'!$C$16="",0,'Upto Month Current'!$C$16)</f>
        <v>3031</v>
      </c>
      <c r="P19" s="9">
        <f>IF('Upto Month Current'!$C$17="",0,'Upto Month Current'!$C$17)</f>
        <v>178027</v>
      </c>
      <c r="Q19" s="9">
        <f>IF('Upto Month Current'!$C$18="",0,'Upto Month Current'!$C$18)</f>
        <v>0</v>
      </c>
      <c r="R19" s="9">
        <f>IF('Upto Month Current'!$C$21="",0,'Upto Month Current'!$C$21)</f>
        <v>3427</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3787</v>
      </c>
      <c r="Z19" s="9">
        <f>IF('Upto Month Current'!$C$43="",0,'Upto Month Current'!$C$43)</f>
        <v>1187</v>
      </c>
      <c r="AA19" s="9">
        <f>IF('Upto Month Current'!$C$44="",0,'Upto Month Current'!$C$44)</f>
        <v>1704</v>
      </c>
      <c r="AB19" s="9">
        <f>IF('Upto Month Current'!$C$48="",0,'Upto Month Current'!$C$48)</f>
        <v>0</v>
      </c>
      <c r="AC19" s="10">
        <f>IF('Upto Month Current'!$C$51="",0,'Upto Month Current'!$C$51)</f>
        <v>0</v>
      </c>
      <c r="AD19" s="123">
        <f>SUM(C19:AC19)</f>
        <v>4667466</v>
      </c>
      <c r="AE19" s="9">
        <f>IF('Upto Month Current'!$C$19="",0,'Upto Month Current'!$C$19)</f>
        <v>78</v>
      </c>
      <c r="AF19" s="9">
        <f>IF('Upto Month Current'!$C$20="",0,'Upto Month Current'!$C$20)</f>
        <v>0</v>
      </c>
      <c r="AG19" s="9">
        <f>IF('Upto Month Current'!$C$22="",0,'Upto Month Current'!$C$22)</f>
        <v>15889</v>
      </c>
      <c r="AH19" s="9">
        <f>IF('Upto Month Current'!$C$23="",0,'Upto Month Current'!$C$23)</f>
        <v>0</v>
      </c>
      <c r="AI19" s="9">
        <f>IF('Upto Month Current'!$C$24="",0,'Upto Month Current'!$C$24)</f>
        <v>0</v>
      </c>
      <c r="AJ19" s="9">
        <f>IF('Upto Month Current'!$C$25="",0,'Upto Month Current'!$C$25)</f>
        <v>0</v>
      </c>
      <c r="AK19" s="9">
        <f>IF('Upto Month Current'!$C$28="",0,'Upto Month Current'!$C$28)</f>
        <v>88597</v>
      </c>
      <c r="AL19" s="9">
        <f>IF('Upto Month Current'!$C$29="",0,'Upto Month Current'!$C$29)</f>
        <v>149103</v>
      </c>
      <c r="AM19" s="9">
        <f>IF('Upto Month Current'!$C$31="",0,'Upto Month Current'!$C$31)</f>
        <v>0</v>
      </c>
      <c r="AN19" s="9">
        <f>IF('Upto Month Current'!$C$32="",0,'Upto Month Current'!$C$32)</f>
        <v>150449</v>
      </c>
      <c r="AO19" s="9">
        <f>IF('Upto Month Current'!$C$33="",0,'Upto Month Current'!$C$33)</f>
        <v>546959</v>
      </c>
      <c r="AP19" s="9">
        <f>IF('Upto Month Current'!$C$34="",0,'Upto Month Current'!$C$34)</f>
        <v>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811</v>
      </c>
      <c r="AY19" s="9">
        <f>IF('Upto Month Current'!$C$47="",0,'Upto Month Current'!$C$47)</f>
        <v>0</v>
      </c>
      <c r="AZ19" s="9">
        <f>IF('Upto Month Current'!$C$49="",0,'Upto Month Current'!$C$49)</f>
        <v>0</v>
      </c>
      <c r="BA19" s="9">
        <f>IF('Upto Month Current'!$C$50="",0,'Upto Month Current'!$C$50)</f>
        <v>0</v>
      </c>
      <c r="BB19" s="10">
        <f>IF('Upto Month Current'!$C$52="",0,'Upto Month Current'!$C$52)</f>
        <v>0</v>
      </c>
      <c r="BC19" s="9">
        <f>IF('Upto Month Current'!$C$53="",0,'Upto Month Current'!$C$53)</f>
        <v>27559</v>
      </c>
      <c r="BD19" s="9">
        <f>IF('Upto Month Current'!$C$54="",0,'Upto Month Current'!$C$54)</f>
        <v>27559</v>
      </c>
      <c r="BE19" s="9">
        <f>IF('Upto Month Current'!$C$55="",0,'Upto Month Current'!$C$55)</f>
        <v>0</v>
      </c>
      <c r="BF19" s="9">
        <f>IF('Upto Month Current'!$C$56="",0,'Upto Month Current'!$C$56)</f>
        <v>6284</v>
      </c>
      <c r="BG19" s="9">
        <f>IF('Upto Month Current'!$C$58="",0,'Upto Month Current'!$C$58)</f>
        <v>1131</v>
      </c>
      <c r="BH19" s="9">
        <f>SUM(AE19:BG19)</f>
        <v>1014419</v>
      </c>
      <c r="BI19" s="127">
        <f>AD19+BH19</f>
        <v>5681885</v>
      </c>
      <c r="BJ19" s="9">
        <f>IF('Upto Month Current'!$C$60="",0,'Upto Month Current'!$C$60)</f>
        <v>0</v>
      </c>
      <c r="BK19" s="51">
        <f>BI19-BJ19</f>
        <v>5681885</v>
      </c>
      <c r="BL19">
        <f>'Upto Month Current'!$C$61</f>
        <v>5681883</v>
      </c>
      <c r="BM19" s="30">
        <f>BK19-AD19</f>
        <v>1014419</v>
      </c>
    </row>
    <row r="20" spans="1:65" ht="15.75">
      <c r="A20" s="130"/>
      <c r="B20" s="5" t="s">
        <v>124</v>
      </c>
      <c r="C20" s="11">
        <f t="shared" ref="C20:AH20" si="6">C19-C17</f>
        <v>-4656</v>
      </c>
      <c r="D20" s="11">
        <f t="shared" si="6"/>
        <v>-2129</v>
      </c>
      <c r="E20" s="11">
        <f t="shared" si="6"/>
        <v>-233</v>
      </c>
      <c r="F20" s="11">
        <f t="shared" si="6"/>
        <v>-360</v>
      </c>
      <c r="G20" s="11">
        <f t="shared" si="6"/>
        <v>-391</v>
      </c>
      <c r="H20" s="11">
        <f t="shared" si="6"/>
        <v>0</v>
      </c>
      <c r="I20" s="11">
        <f t="shared" si="6"/>
        <v>0</v>
      </c>
      <c r="J20" s="11">
        <f t="shared" si="6"/>
        <v>0</v>
      </c>
      <c r="K20" s="11">
        <f t="shared" si="6"/>
        <v>0</v>
      </c>
      <c r="L20" s="11">
        <f t="shared" si="6"/>
        <v>-96</v>
      </c>
      <c r="M20" s="11">
        <f t="shared" si="6"/>
        <v>-450</v>
      </c>
      <c r="N20" s="11">
        <f t="shared" si="6"/>
        <v>0</v>
      </c>
      <c r="O20" s="11">
        <f t="shared" si="6"/>
        <v>-3</v>
      </c>
      <c r="P20" s="11">
        <f t="shared" si="6"/>
        <v>-331</v>
      </c>
      <c r="Q20" s="11">
        <f t="shared" si="6"/>
        <v>0</v>
      </c>
      <c r="R20" s="11">
        <f t="shared" si="6"/>
        <v>-5</v>
      </c>
      <c r="S20" s="11">
        <f t="shared" si="6"/>
        <v>0</v>
      </c>
      <c r="T20" s="11">
        <f t="shared" si="6"/>
        <v>0</v>
      </c>
      <c r="U20" s="11">
        <f t="shared" si="6"/>
        <v>0</v>
      </c>
      <c r="V20" s="9">
        <f t="shared" si="6"/>
        <v>0</v>
      </c>
      <c r="W20" s="11">
        <f t="shared" si="6"/>
        <v>0</v>
      </c>
      <c r="X20" s="11">
        <f t="shared" si="6"/>
        <v>0</v>
      </c>
      <c r="Y20" s="11">
        <f t="shared" si="6"/>
        <v>-7</v>
      </c>
      <c r="Z20" s="11">
        <f t="shared" si="6"/>
        <v>-3</v>
      </c>
      <c r="AA20" s="11">
        <f t="shared" si="6"/>
        <v>-4</v>
      </c>
      <c r="AB20" s="11">
        <f t="shared" si="6"/>
        <v>0</v>
      </c>
      <c r="AC20" s="10">
        <f t="shared" si="6"/>
        <v>0</v>
      </c>
      <c r="AD20" s="11">
        <f t="shared" si="6"/>
        <v>-8668</v>
      </c>
      <c r="AE20" s="11">
        <f t="shared" si="6"/>
        <v>0</v>
      </c>
      <c r="AF20" s="11">
        <f t="shared" si="6"/>
        <v>0</v>
      </c>
      <c r="AG20" s="11">
        <f t="shared" si="6"/>
        <v>-28</v>
      </c>
      <c r="AH20" s="11">
        <f t="shared" si="6"/>
        <v>0</v>
      </c>
      <c r="AI20" s="11">
        <f t="shared" ref="AI20:BK20" si="7">AI19-AI17</f>
        <v>0</v>
      </c>
      <c r="AJ20" s="11">
        <f t="shared" si="7"/>
        <v>0</v>
      </c>
      <c r="AK20" s="11">
        <f t="shared" si="7"/>
        <v>-165</v>
      </c>
      <c r="AL20" s="11">
        <f t="shared" si="7"/>
        <v>-278</v>
      </c>
      <c r="AM20" s="11">
        <f t="shared" si="7"/>
        <v>0</v>
      </c>
      <c r="AN20" s="11">
        <f t="shared" si="7"/>
        <v>-279</v>
      </c>
      <c r="AO20" s="9">
        <f t="shared" si="7"/>
        <v>-3280</v>
      </c>
      <c r="AP20" s="11">
        <f t="shared" si="7"/>
        <v>0</v>
      </c>
      <c r="AQ20" s="10">
        <f t="shared" si="7"/>
        <v>0</v>
      </c>
      <c r="AR20" s="11">
        <f t="shared" si="7"/>
        <v>0</v>
      </c>
      <c r="AS20" s="11">
        <f t="shared" si="7"/>
        <v>0</v>
      </c>
      <c r="AT20" s="11">
        <f t="shared" si="7"/>
        <v>0</v>
      </c>
      <c r="AU20" s="11">
        <f t="shared" si="7"/>
        <v>0</v>
      </c>
      <c r="AV20" s="11">
        <f t="shared" si="7"/>
        <v>0</v>
      </c>
      <c r="AW20" s="11">
        <f t="shared" si="7"/>
        <v>0</v>
      </c>
      <c r="AX20" s="11">
        <f t="shared" si="7"/>
        <v>-1</v>
      </c>
      <c r="AY20" s="11">
        <f t="shared" si="7"/>
        <v>0</v>
      </c>
      <c r="AZ20" s="11">
        <f t="shared" si="7"/>
        <v>0</v>
      </c>
      <c r="BA20" s="11">
        <f t="shared" si="7"/>
        <v>0</v>
      </c>
      <c r="BB20" s="10">
        <f t="shared" si="7"/>
        <v>0</v>
      </c>
      <c r="BC20" s="11">
        <f t="shared" si="7"/>
        <v>-209</v>
      </c>
      <c r="BD20" s="11">
        <f t="shared" si="7"/>
        <v>-209</v>
      </c>
      <c r="BE20" s="11">
        <f t="shared" si="7"/>
        <v>0</v>
      </c>
      <c r="BF20" s="11">
        <f t="shared" si="7"/>
        <v>-13</v>
      </c>
      <c r="BG20" s="11">
        <f t="shared" si="7"/>
        <v>-1</v>
      </c>
      <c r="BH20" s="9">
        <f t="shared" si="7"/>
        <v>-4463</v>
      </c>
      <c r="BI20" s="45">
        <f t="shared" si="7"/>
        <v>-13131</v>
      </c>
      <c r="BJ20" s="11">
        <f t="shared" si="7"/>
        <v>0</v>
      </c>
      <c r="BK20" s="51">
        <f t="shared" si="7"/>
        <v>-13131</v>
      </c>
      <c r="BM20" s="30">
        <f>BK20-AD20</f>
        <v>-4463</v>
      </c>
    </row>
    <row r="21" spans="1:65" ht="15.75">
      <c r="A21" s="130"/>
      <c r="B21" s="5" t="s">
        <v>125</v>
      </c>
      <c r="C21" s="13">
        <f t="shared" ref="C21:AH21" si="8">C20/C17</f>
        <v>-1.8512959270296761E-3</v>
      </c>
      <c r="D21" s="13">
        <f t="shared" si="8"/>
        <v>-1.85179708687703E-3</v>
      </c>
      <c r="E21" s="13">
        <f t="shared" si="8"/>
        <v>-1.8581283145260976E-3</v>
      </c>
      <c r="F21" s="13">
        <f t="shared" si="8"/>
        <v>-1.8705477067604711E-3</v>
      </c>
      <c r="G21" s="13">
        <f t="shared" si="8"/>
        <v>-1.8632178868917141E-3</v>
      </c>
      <c r="H21" s="13" t="e">
        <f t="shared" si="8"/>
        <v>#DIV/0!</v>
      </c>
      <c r="I21" s="13" t="e">
        <f t="shared" si="8"/>
        <v>#DIV/0!</v>
      </c>
      <c r="J21" s="13" t="e">
        <f t="shared" si="8"/>
        <v>#DIV/0!</v>
      </c>
      <c r="K21" s="13">
        <f t="shared" si="8"/>
        <v>0</v>
      </c>
      <c r="L21" s="13">
        <f t="shared" si="8"/>
        <v>-1.9227302769933305E-3</v>
      </c>
      <c r="M21" s="13">
        <f t="shared" si="8"/>
        <v>-1.8583829590412397E-3</v>
      </c>
      <c r="N21" s="13">
        <f t="shared" si="8"/>
        <v>0</v>
      </c>
      <c r="O21" s="13">
        <f t="shared" si="8"/>
        <v>-9.8879367172050102E-4</v>
      </c>
      <c r="P21" s="13">
        <f t="shared" si="8"/>
        <v>-1.8558180737617601E-3</v>
      </c>
      <c r="Q21" s="13" t="e">
        <f t="shared" si="8"/>
        <v>#DIV/0!</v>
      </c>
      <c r="R21" s="13">
        <f t="shared" si="8"/>
        <v>-1.456876456876457E-3</v>
      </c>
      <c r="S21" s="13" t="e">
        <f t="shared" si="8"/>
        <v>#DIV/0!</v>
      </c>
      <c r="T21" s="13" t="e">
        <f t="shared" si="8"/>
        <v>#DIV/0!</v>
      </c>
      <c r="U21" s="13" t="e">
        <f t="shared" si="8"/>
        <v>#DIV/0!</v>
      </c>
      <c r="V21" s="163" t="e">
        <f t="shared" si="8"/>
        <v>#DIV/0!</v>
      </c>
      <c r="W21" s="13" t="e">
        <f t="shared" si="8"/>
        <v>#DIV/0!</v>
      </c>
      <c r="X21" s="13" t="e">
        <f t="shared" si="8"/>
        <v>#DIV/0!</v>
      </c>
      <c r="Y21" s="13">
        <f t="shared" si="8"/>
        <v>-1.8450184501845018E-3</v>
      </c>
      <c r="Z21" s="13">
        <f t="shared" si="8"/>
        <v>-2.5210084033613447E-3</v>
      </c>
      <c r="AA21" s="13">
        <f t="shared" si="8"/>
        <v>-2.34192037470726E-3</v>
      </c>
      <c r="AB21" s="13" t="e">
        <f t="shared" si="8"/>
        <v>#DIV/0!</v>
      </c>
      <c r="AC21" s="14" t="e">
        <f t="shared" si="8"/>
        <v>#DIV/0!</v>
      </c>
      <c r="AD21" s="13">
        <f t="shared" si="8"/>
        <v>-1.8536680086584346E-3</v>
      </c>
      <c r="AE21" s="13">
        <f t="shared" si="8"/>
        <v>0</v>
      </c>
      <c r="AF21" s="13" t="e">
        <f t="shared" si="8"/>
        <v>#DIV/0!</v>
      </c>
      <c r="AG21" s="13">
        <f t="shared" si="8"/>
        <v>-1.7591254633410819E-3</v>
      </c>
      <c r="AH21" s="13" t="e">
        <f t="shared" si="8"/>
        <v>#DIV/0!</v>
      </c>
      <c r="AI21" s="13" t="e">
        <f t="shared" ref="AI21:BK21" si="9">AI20/AI17</f>
        <v>#DIV/0!</v>
      </c>
      <c r="AJ21" s="13" t="e">
        <f t="shared" si="9"/>
        <v>#DIV/0!</v>
      </c>
      <c r="AK21" s="13">
        <f t="shared" si="9"/>
        <v>-1.8589035848673983E-3</v>
      </c>
      <c r="AL21" s="13">
        <f t="shared" si="9"/>
        <v>-1.861013114117592E-3</v>
      </c>
      <c r="AM21" s="13" t="e">
        <f t="shared" si="9"/>
        <v>#DIV/0!</v>
      </c>
      <c r="AN21" s="13">
        <f t="shared" si="9"/>
        <v>-1.8510164004033756E-3</v>
      </c>
      <c r="AO21" s="163">
        <f t="shared" si="9"/>
        <v>-5.9610460181848254E-3</v>
      </c>
      <c r="AP21" s="13" t="e">
        <f t="shared" si="9"/>
        <v>#DIV/0!</v>
      </c>
      <c r="AQ21" s="14" t="e">
        <f t="shared" si="9"/>
        <v>#DIV/0!</v>
      </c>
      <c r="AR21" s="13" t="e">
        <f t="shared" si="9"/>
        <v>#DIV/0!</v>
      </c>
      <c r="AS21" s="13" t="e">
        <f t="shared" si="9"/>
        <v>#DIV/0!</v>
      </c>
      <c r="AT21" s="13" t="e">
        <f t="shared" si="9"/>
        <v>#DIV/0!</v>
      </c>
      <c r="AU21" s="13" t="e">
        <f t="shared" si="9"/>
        <v>#DIV/0!</v>
      </c>
      <c r="AV21" s="13" t="e">
        <f t="shared" si="9"/>
        <v>#DIV/0!</v>
      </c>
      <c r="AW21" s="13" t="e">
        <f t="shared" si="9"/>
        <v>#DIV/0!</v>
      </c>
      <c r="AX21" s="13">
        <f t="shared" si="9"/>
        <v>-1.2315270935960591E-3</v>
      </c>
      <c r="AY21" s="13" t="e">
        <f t="shared" si="9"/>
        <v>#DIV/0!</v>
      </c>
      <c r="AZ21" s="13" t="e">
        <f t="shared" si="9"/>
        <v>#DIV/0!</v>
      </c>
      <c r="BA21" s="13" t="e">
        <f t="shared" si="9"/>
        <v>#DIV/0!</v>
      </c>
      <c r="BB21" s="14" t="e">
        <f t="shared" si="9"/>
        <v>#DIV/0!</v>
      </c>
      <c r="BC21" s="13">
        <f t="shared" si="9"/>
        <v>-7.5266493805819651E-3</v>
      </c>
      <c r="BD21" s="13">
        <f t="shared" si="9"/>
        <v>-7.5266493805819651E-3</v>
      </c>
      <c r="BE21" s="13" t="e">
        <f t="shared" si="9"/>
        <v>#DIV/0!</v>
      </c>
      <c r="BF21" s="13">
        <f t="shared" si="9"/>
        <v>-2.0644751468953471E-3</v>
      </c>
      <c r="BG21" s="13">
        <f t="shared" si="9"/>
        <v>-8.8339222614840988E-4</v>
      </c>
      <c r="BH21" s="163">
        <f t="shared" si="9"/>
        <v>-4.3802913389381698E-3</v>
      </c>
      <c r="BI21" s="46">
        <f t="shared" si="9"/>
        <v>-2.3057002824926217E-3</v>
      </c>
      <c r="BJ21" s="13" t="e">
        <f t="shared" si="9"/>
        <v>#DIV/0!</v>
      </c>
      <c r="BK21" s="52">
        <f t="shared" si="9"/>
        <v>-2.3057002824926217E-3</v>
      </c>
      <c r="BM21" s="163">
        <f>BM20/BM17</f>
        <v>-4.3802913389381698E-3</v>
      </c>
    </row>
    <row r="22" spans="1:65" ht="15.75">
      <c r="A22" s="130"/>
      <c r="B22" s="5" t="s">
        <v>126</v>
      </c>
      <c r="C22" s="11">
        <f>C19-C18</f>
        <v>213296</v>
      </c>
      <c r="D22" s="11">
        <f t="shared" ref="D22:BK22" si="10">D19-D18</f>
        <v>290421</v>
      </c>
      <c r="E22" s="11">
        <f t="shared" si="10"/>
        <v>-488</v>
      </c>
      <c r="F22" s="11">
        <f t="shared" si="10"/>
        <v>21642</v>
      </c>
      <c r="G22" s="11">
        <f t="shared" si="10"/>
        <v>26714</v>
      </c>
      <c r="H22" s="11">
        <f t="shared" si="10"/>
        <v>0</v>
      </c>
      <c r="I22" s="11">
        <f t="shared" si="10"/>
        <v>0</v>
      </c>
      <c r="J22" s="11">
        <f t="shared" si="10"/>
        <v>0</v>
      </c>
      <c r="K22" s="11">
        <f t="shared" si="10"/>
        <v>-12</v>
      </c>
      <c r="L22" s="11">
        <f t="shared" si="10"/>
        <v>21870</v>
      </c>
      <c r="M22" s="11">
        <f t="shared" si="10"/>
        <v>30866</v>
      </c>
      <c r="N22" s="11">
        <f t="shared" si="10"/>
        <v>-9</v>
      </c>
      <c r="O22" s="11">
        <f t="shared" si="10"/>
        <v>251</v>
      </c>
      <c r="P22" s="11">
        <f t="shared" si="10"/>
        <v>35773</v>
      </c>
      <c r="Q22" s="11">
        <f t="shared" si="10"/>
        <v>0</v>
      </c>
      <c r="R22" s="11">
        <f t="shared" si="10"/>
        <v>-110</v>
      </c>
      <c r="S22" s="11">
        <f t="shared" si="10"/>
        <v>0</v>
      </c>
      <c r="T22" s="11">
        <f t="shared" si="10"/>
        <v>0</v>
      </c>
      <c r="U22" s="11">
        <f>U19-U18</f>
        <v>0</v>
      </c>
      <c r="V22" s="9">
        <f t="shared" si="10"/>
        <v>0</v>
      </c>
      <c r="W22" s="11">
        <f t="shared" si="10"/>
        <v>0</v>
      </c>
      <c r="X22" s="11">
        <f t="shared" si="10"/>
        <v>0</v>
      </c>
      <c r="Y22" s="11">
        <f t="shared" si="10"/>
        <v>-5948</v>
      </c>
      <c r="Z22" s="11">
        <f t="shared" si="10"/>
        <v>-6504</v>
      </c>
      <c r="AA22" s="11">
        <f t="shared" si="10"/>
        <v>-155</v>
      </c>
      <c r="AB22" s="11">
        <f>AB19-AB18</f>
        <v>0</v>
      </c>
      <c r="AC22" s="10">
        <f>AC19-AC18</f>
        <v>0</v>
      </c>
      <c r="AD22" s="11">
        <f>AD19-AD18</f>
        <v>627607</v>
      </c>
      <c r="AE22" s="11">
        <f t="shared" si="10"/>
        <v>-4</v>
      </c>
      <c r="AF22" s="11">
        <f t="shared" si="10"/>
        <v>0</v>
      </c>
      <c r="AG22" s="11">
        <f t="shared" si="10"/>
        <v>-2746</v>
      </c>
      <c r="AH22" s="11">
        <f t="shared" si="10"/>
        <v>0</v>
      </c>
      <c r="AI22" s="11">
        <f t="shared" si="10"/>
        <v>0</v>
      </c>
      <c r="AJ22" s="11">
        <f t="shared" si="10"/>
        <v>-29</v>
      </c>
      <c r="AK22" s="11">
        <f t="shared" si="10"/>
        <v>4776</v>
      </c>
      <c r="AL22" s="11">
        <f t="shared" si="10"/>
        <v>42355</v>
      </c>
      <c r="AM22" s="11">
        <f t="shared" si="10"/>
        <v>0</v>
      </c>
      <c r="AN22" s="11">
        <f t="shared" si="10"/>
        <v>18090</v>
      </c>
      <c r="AO22" s="9">
        <f t="shared" si="10"/>
        <v>148022</v>
      </c>
      <c r="AP22" s="11">
        <f t="shared" si="10"/>
        <v>0</v>
      </c>
      <c r="AQ22" s="10">
        <f t="shared" si="10"/>
        <v>0</v>
      </c>
      <c r="AR22" s="11">
        <f t="shared" si="10"/>
        <v>0</v>
      </c>
      <c r="AS22" s="11">
        <f t="shared" si="10"/>
        <v>0</v>
      </c>
      <c r="AT22" s="11">
        <f t="shared" si="10"/>
        <v>0</v>
      </c>
      <c r="AU22" s="11">
        <f t="shared" si="10"/>
        <v>0</v>
      </c>
      <c r="AV22" s="11">
        <f t="shared" si="10"/>
        <v>0</v>
      </c>
      <c r="AW22" s="11">
        <f t="shared" si="10"/>
        <v>-505</v>
      </c>
      <c r="AX22" s="11">
        <f t="shared" si="10"/>
        <v>309</v>
      </c>
      <c r="AY22" s="11">
        <f t="shared" si="10"/>
        <v>0</v>
      </c>
      <c r="AZ22" s="11">
        <f t="shared" si="10"/>
        <v>0</v>
      </c>
      <c r="BA22" s="11">
        <f t="shared" si="10"/>
        <v>0</v>
      </c>
      <c r="BB22" s="10">
        <f t="shared" si="10"/>
        <v>0</v>
      </c>
      <c r="BC22" s="11">
        <f t="shared" si="10"/>
        <v>1124</v>
      </c>
      <c r="BD22" s="11">
        <f t="shared" si="10"/>
        <v>1547</v>
      </c>
      <c r="BE22" s="11">
        <f t="shared" si="10"/>
        <v>0</v>
      </c>
      <c r="BF22" s="11">
        <f t="shared" si="10"/>
        <v>1373</v>
      </c>
      <c r="BG22" s="11">
        <f t="shared" si="10"/>
        <v>577</v>
      </c>
      <c r="BH22" s="9">
        <f t="shared" si="10"/>
        <v>214889</v>
      </c>
      <c r="BI22" s="45">
        <f t="shared" si="10"/>
        <v>842496</v>
      </c>
      <c r="BJ22" s="11">
        <f t="shared" si="10"/>
        <v>0</v>
      </c>
      <c r="BK22" s="51">
        <f t="shared" si="10"/>
        <v>842496</v>
      </c>
      <c r="BM22" s="30">
        <f>BK22-AD22</f>
        <v>214889</v>
      </c>
    </row>
    <row r="23" spans="1:65" ht="15.75">
      <c r="A23" s="130"/>
      <c r="B23" s="5" t="s">
        <v>127</v>
      </c>
      <c r="C23" s="13">
        <f t="shared" ref="C23:AH23" si="11">C22/C18</f>
        <v>9.2856772816181501E-2</v>
      </c>
      <c r="D23" s="13">
        <f t="shared" si="11"/>
        <v>0.33882404823460233</v>
      </c>
      <c r="E23" s="13">
        <f t="shared" si="11"/>
        <v>-3.8838042180660563E-3</v>
      </c>
      <c r="F23" s="13">
        <f t="shared" si="11"/>
        <v>0.12696606142383621</v>
      </c>
      <c r="G23" s="13">
        <f t="shared" si="11"/>
        <v>0.14618023825288515</v>
      </c>
      <c r="H23" s="13" t="e">
        <f t="shared" si="11"/>
        <v>#DIV/0!</v>
      </c>
      <c r="I23" s="13" t="e">
        <f t="shared" si="11"/>
        <v>#DIV/0!</v>
      </c>
      <c r="J23" s="13" t="e">
        <f t="shared" si="11"/>
        <v>#DIV/0!</v>
      </c>
      <c r="K23" s="13">
        <f t="shared" si="11"/>
        <v>-0.16216216216216217</v>
      </c>
      <c r="L23" s="13">
        <f t="shared" si="11"/>
        <v>0.78210492436433854</v>
      </c>
      <c r="M23" s="13">
        <f t="shared" si="11"/>
        <v>0.14640231466110137</v>
      </c>
      <c r="N23" s="13">
        <f t="shared" si="11"/>
        <v>-9.2783505154639179E-2</v>
      </c>
      <c r="O23" s="13">
        <f t="shared" si="11"/>
        <v>9.0287769784172661E-2</v>
      </c>
      <c r="P23" s="13">
        <f t="shared" si="11"/>
        <v>0.25147271781461328</v>
      </c>
      <c r="Q23" s="13" t="e">
        <f t="shared" si="11"/>
        <v>#DIV/0!</v>
      </c>
      <c r="R23" s="13">
        <f t="shared" si="11"/>
        <v>-3.1099802092168505E-2</v>
      </c>
      <c r="S23" s="13" t="e">
        <f t="shared" si="11"/>
        <v>#DIV/0!</v>
      </c>
      <c r="T23" s="13" t="e">
        <f t="shared" si="11"/>
        <v>#DIV/0!</v>
      </c>
      <c r="U23" s="13" t="e">
        <f t="shared" si="11"/>
        <v>#DIV/0!</v>
      </c>
      <c r="V23" s="163" t="e">
        <f t="shared" si="11"/>
        <v>#DIV/0!</v>
      </c>
      <c r="W23" s="13" t="e">
        <f t="shared" si="11"/>
        <v>#DIV/0!</v>
      </c>
      <c r="X23" s="13" t="e">
        <f t="shared" si="11"/>
        <v>#DIV/0!</v>
      </c>
      <c r="Y23" s="13">
        <f t="shared" si="11"/>
        <v>-0.61099126861838726</v>
      </c>
      <c r="Z23" s="13">
        <f t="shared" si="11"/>
        <v>-0.8456637628396827</v>
      </c>
      <c r="AA23" s="13">
        <f t="shared" si="11"/>
        <v>-8.3378160301237222E-2</v>
      </c>
      <c r="AB23" s="13" t="e">
        <f t="shared" si="11"/>
        <v>#DIV/0!</v>
      </c>
      <c r="AC23" s="14" t="e">
        <f t="shared" si="11"/>
        <v>#DIV/0!</v>
      </c>
      <c r="AD23" s="13">
        <f t="shared" si="11"/>
        <v>0.15535368932430563</v>
      </c>
      <c r="AE23" s="13">
        <f t="shared" si="11"/>
        <v>-4.878048780487805E-2</v>
      </c>
      <c r="AF23" s="13" t="e">
        <f t="shared" si="11"/>
        <v>#DIV/0!</v>
      </c>
      <c r="AG23" s="13">
        <f t="shared" si="11"/>
        <v>-0.14735712369197745</v>
      </c>
      <c r="AH23" s="13" t="e">
        <f t="shared" si="11"/>
        <v>#DIV/0!</v>
      </c>
      <c r="AI23" s="13" t="e">
        <f t="shared" ref="AI23:BK23" si="12">AI22/AI18</f>
        <v>#DIV/0!</v>
      </c>
      <c r="AJ23" s="13">
        <f t="shared" si="12"/>
        <v>-1</v>
      </c>
      <c r="AK23" s="13">
        <f t="shared" si="12"/>
        <v>5.6978561458345761E-2</v>
      </c>
      <c r="AL23" s="13">
        <f t="shared" si="12"/>
        <v>0.39677558361749166</v>
      </c>
      <c r="AM23" s="13" t="e">
        <f t="shared" si="12"/>
        <v>#DIV/0!</v>
      </c>
      <c r="AN23" s="13">
        <f t="shared" si="12"/>
        <v>0.1366737433797475</v>
      </c>
      <c r="AO23" s="163">
        <f t="shared" si="12"/>
        <v>0.37104104156796686</v>
      </c>
      <c r="AP23" s="13" t="e">
        <f t="shared" si="12"/>
        <v>#DIV/0!</v>
      </c>
      <c r="AQ23" s="14" t="e">
        <f t="shared" si="12"/>
        <v>#DIV/0!</v>
      </c>
      <c r="AR23" s="13" t="e">
        <f t="shared" si="12"/>
        <v>#DIV/0!</v>
      </c>
      <c r="AS23" s="13" t="e">
        <f t="shared" si="12"/>
        <v>#DIV/0!</v>
      </c>
      <c r="AT23" s="13" t="e">
        <f t="shared" si="12"/>
        <v>#DIV/0!</v>
      </c>
      <c r="AU23" s="13" t="e">
        <f t="shared" si="12"/>
        <v>#DIV/0!</v>
      </c>
      <c r="AV23" s="13" t="e">
        <f t="shared" si="12"/>
        <v>#DIV/0!</v>
      </c>
      <c r="AW23" s="13">
        <f t="shared" si="12"/>
        <v>-1</v>
      </c>
      <c r="AX23" s="13">
        <f t="shared" si="12"/>
        <v>0.6155378486055777</v>
      </c>
      <c r="AY23" s="13" t="e">
        <f t="shared" si="12"/>
        <v>#DIV/0!</v>
      </c>
      <c r="AZ23" s="13" t="e">
        <f t="shared" si="12"/>
        <v>#DIV/0!</v>
      </c>
      <c r="BA23" s="13" t="e">
        <f t="shared" si="12"/>
        <v>#DIV/0!</v>
      </c>
      <c r="BB23" s="14" t="e">
        <f t="shared" si="12"/>
        <v>#DIV/0!</v>
      </c>
      <c r="BC23" s="13">
        <f t="shared" si="12"/>
        <v>4.2519387176092299E-2</v>
      </c>
      <c r="BD23" s="13">
        <f t="shared" si="12"/>
        <v>5.9472551130247575E-2</v>
      </c>
      <c r="BE23" s="13" t="e">
        <f t="shared" si="12"/>
        <v>#DIV/0!</v>
      </c>
      <c r="BF23" s="13">
        <f t="shared" si="12"/>
        <v>0.27957646100590511</v>
      </c>
      <c r="BG23" s="13">
        <f t="shared" si="12"/>
        <v>1.0415162454873645</v>
      </c>
      <c r="BH23" s="163">
        <f t="shared" si="12"/>
        <v>0.26876915187672756</v>
      </c>
      <c r="BI23" s="46">
        <f t="shared" si="12"/>
        <v>0.17409139872822788</v>
      </c>
      <c r="BJ23" s="13" t="e">
        <f t="shared" si="12"/>
        <v>#DIV/0!</v>
      </c>
      <c r="BK23" s="52">
        <f t="shared" si="12"/>
        <v>0.17409139872822788</v>
      </c>
      <c r="BM23" s="14">
        <f>BM22/BM18</f>
        <v>0.26876915187672756</v>
      </c>
    </row>
    <row r="24" spans="1:65" ht="15.75">
      <c r="A24" s="130"/>
      <c r="B24" s="5" t="s">
        <v>328</v>
      </c>
      <c r="C24" s="128">
        <f t="shared" ref="C24:AI24" si="13">C19/C16</f>
        <v>0.99814870407297029</v>
      </c>
      <c r="D24" s="128">
        <f t="shared" si="13"/>
        <v>0.99814820291312301</v>
      </c>
      <c r="E24" s="128">
        <f t="shared" si="13"/>
        <v>0.99814187168547386</v>
      </c>
      <c r="F24" s="128">
        <f t="shared" si="13"/>
        <v>0.99812945229323957</v>
      </c>
      <c r="G24" s="128">
        <f t="shared" si="13"/>
        <v>0.9981367821131083</v>
      </c>
      <c r="H24" s="128" t="e">
        <f t="shared" si="13"/>
        <v>#DIV/0!</v>
      </c>
      <c r="I24" s="128" t="e">
        <f t="shared" si="13"/>
        <v>#DIV/0!</v>
      </c>
      <c r="J24" s="128" t="e">
        <f t="shared" si="13"/>
        <v>#DIV/0!</v>
      </c>
      <c r="K24" s="128">
        <f t="shared" si="13"/>
        <v>1</v>
      </c>
      <c r="L24" s="128">
        <f t="shared" si="13"/>
        <v>0.9980772697230067</v>
      </c>
      <c r="M24" s="128">
        <f t="shared" si="13"/>
        <v>0.99814161704095872</v>
      </c>
      <c r="N24" s="128">
        <f t="shared" si="13"/>
        <v>1</v>
      </c>
      <c r="O24" s="128">
        <f t="shared" si="13"/>
        <v>0.99901120632827944</v>
      </c>
      <c r="P24" s="128">
        <f t="shared" si="13"/>
        <v>0.99814418192623822</v>
      </c>
      <c r="Q24" s="128" t="e">
        <f t="shared" si="13"/>
        <v>#DIV/0!</v>
      </c>
      <c r="R24" s="128">
        <f t="shared" si="13"/>
        <v>0.99854312354312358</v>
      </c>
      <c r="S24" s="128" t="e">
        <f t="shared" si="13"/>
        <v>#DIV/0!</v>
      </c>
      <c r="T24" s="128" t="e">
        <f t="shared" si="13"/>
        <v>#DIV/0!</v>
      </c>
      <c r="U24" s="128" t="e">
        <f t="shared" si="13"/>
        <v>#DIV/0!</v>
      </c>
      <c r="V24" s="178" t="e">
        <f t="shared" si="13"/>
        <v>#DIV/0!</v>
      </c>
      <c r="W24" s="128" t="e">
        <f t="shared" si="13"/>
        <v>#DIV/0!</v>
      </c>
      <c r="X24" s="128" t="e">
        <f t="shared" si="13"/>
        <v>#DIV/0!</v>
      </c>
      <c r="Y24" s="128">
        <f t="shared" si="13"/>
        <v>0.99815498154981552</v>
      </c>
      <c r="Z24" s="128">
        <f t="shared" si="13"/>
        <v>0.99747899159663866</v>
      </c>
      <c r="AA24" s="128">
        <f t="shared" si="13"/>
        <v>0.99765807962529274</v>
      </c>
      <c r="AB24" s="128" t="e">
        <f>AB19/AB16</f>
        <v>#DIV/0!</v>
      </c>
      <c r="AC24" s="217" t="e">
        <f t="shared" si="13"/>
        <v>#DIV/0!</v>
      </c>
      <c r="AD24" s="128">
        <f t="shared" si="13"/>
        <v>0.99814633199134162</v>
      </c>
      <c r="AE24" s="128">
        <f t="shared" si="13"/>
        <v>1</v>
      </c>
      <c r="AF24" s="128" t="e">
        <f t="shared" si="13"/>
        <v>#DIV/0!</v>
      </c>
      <c r="AG24" s="128">
        <f t="shared" si="13"/>
        <v>0.99824087453665888</v>
      </c>
      <c r="AH24" s="128" t="e">
        <f t="shared" si="13"/>
        <v>#DIV/0!</v>
      </c>
      <c r="AI24" s="128" t="e">
        <f t="shared" si="13"/>
        <v>#DIV/0!</v>
      </c>
      <c r="AJ24" s="128" t="e">
        <f t="shared" ref="AJ24:BK24" si="14">AJ19/AJ16</f>
        <v>#DIV/0!</v>
      </c>
      <c r="AK24" s="128">
        <f t="shared" si="14"/>
        <v>0.9981410964151326</v>
      </c>
      <c r="AL24" s="128">
        <f t="shared" si="14"/>
        <v>0.99813898688588243</v>
      </c>
      <c r="AM24" s="128" t="e">
        <f t="shared" si="14"/>
        <v>#DIV/0!</v>
      </c>
      <c r="AN24" s="128">
        <f t="shared" si="14"/>
        <v>0.99814898359959658</v>
      </c>
      <c r="AO24" s="178">
        <f t="shared" si="14"/>
        <v>0.99403895398181519</v>
      </c>
      <c r="AP24" s="128" t="e">
        <f t="shared" si="14"/>
        <v>#DIV/0!</v>
      </c>
      <c r="AQ24" s="217" t="e">
        <f t="shared" si="14"/>
        <v>#DIV/0!</v>
      </c>
      <c r="AR24" s="128" t="e">
        <f t="shared" si="14"/>
        <v>#DIV/0!</v>
      </c>
      <c r="AS24" s="128" t="e">
        <f t="shared" si="14"/>
        <v>#DIV/0!</v>
      </c>
      <c r="AT24" s="128" t="e">
        <f t="shared" si="14"/>
        <v>#DIV/0!</v>
      </c>
      <c r="AU24" s="128" t="e">
        <f t="shared" si="14"/>
        <v>#DIV/0!</v>
      </c>
      <c r="AV24" s="128" t="e">
        <f t="shared" si="14"/>
        <v>#DIV/0!</v>
      </c>
      <c r="AW24" s="128" t="e">
        <f t="shared" si="14"/>
        <v>#DIV/0!</v>
      </c>
      <c r="AX24" s="128">
        <f t="shared" si="14"/>
        <v>0.99876847290640391</v>
      </c>
      <c r="AY24" s="128" t="e">
        <f t="shared" si="14"/>
        <v>#DIV/0!</v>
      </c>
      <c r="AZ24" s="128" t="e">
        <f t="shared" si="14"/>
        <v>#DIV/0!</v>
      </c>
      <c r="BA24" s="128" t="e">
        <f t="shared" si="14"/>
        <v>#DIV/0!</v>
      </c>
      <c r="BB24" s="217" t="e">
        <f t="shared" si="14"/>
        <v>#DIV/0!</v>
      </c>
      <c r="BC24" s="128">
        <f t="shared" si="14"/>
        <v>0.99247335061941799</v>
      </c>
      <c r="BD24" s="128">
        <f t="shared" si="14"/>
        <v>0.99247335061941799</v>
      </c>
      <c r="BE24" s="128" t="e">
        <f t="shared" si="14"/>
        <v>#DIV/0!</v>
      </c>
      <c r="BF24" s="128">
        <f t="shared" si="14"/>
        <v>0.99793552485310466</v>
      </c>
      <c r="BG24" s="128">
        <f t="shared" si="14"/>
        <v>0.99911660777385158</v>
      </c>
      <c r="BH24" s="178">
        <f t="shared" si="14"/>
        <v>0.99561970866106186</v>
      </c>
      <c r="BI24" s="128">
        <f t="shared" si="14"/>
        <v>0.99769429971750734</v>
      </c>
      <c r="BJ24" s="128" t="e">
        <f t="shared" si="14"/>
        <v>#DIV/0!</v>
      </c>
      <c r="BK24" s="128">
        <f t="shared" si="14"/>
        <v>0.99769429971750734</v>
      </c>
      <c r="BM24" s="128">
        <f>BM19/BM16</f>
        <v>0.99561970866106186</v>
      </c>
    </row>
    <row r="25" spans="1:65" s="181" customFormat="1" ht="15.75">
      <c r="A25" s="130"/>
      <c r="B25" s="5" t="s">
        <v>327</v>
      </c>
      <c r="C25" s="11">
        <f>C17-C20</f>
        <v>2519651</v>
      </c>
      <c r="D25" s="11">
        <f t="shared" ref="D25:BK25" si="15">D17-D20</f>
        <v>1151823</v>
      </c>
      <c r="E25" s="11">
        <f t="shared" si="15"/>
        <v>125628</v>
      </c>
      <c r="F25" s="11">
        <f t="shared" si="15"/>
        <v>192817</v>
      </c>
      <c r="G25" s="11">
        <f t="shared" si="15"/>
        <v>210243</v>
      </c>
      <c r="H25" s="11">
        <f t="shared" si="15"/>
        <v>0</v>
      </c>
      <c r="I25" s="11">
        <f t="shared" si="15"/>
        <v>0</v>
      </c>
      <c r="J25" s="11">
        <f t="shared" si="15"/>
        <v>0</v>
      </c>
      <c r="K25" s="11">
        <f t="shared" si="15"/>
        <v>62</v>
      </c>
      <c r="L25" s="11">
        <f t="shared" si="15"/>
        <v>50025</v>
      </c>
      <c r="M25" s="11">
        <f t="shared" si="15"/>
        <v>242596</v>
      </c>
      <c r="N25" s="11">
        <f t="shared" si="15"/>
        <v>88</v>
      </c>
      <c r="O25" s="11">
        <f t="shared" si="15"/>
        <v>3037</v>
      </c>
      <c r="P25" s="11">
        <f t="shared" si="15"/>
        <v>178689</v>
      </c>
      <c r="Q25" s="11">
        <f t="shared" si="15"/>
        <v>0</v>
      </c>
      <c r="R25" s="11">
        <f t="shared" si="15"/>
        <v>3437</v>
      </c>
      <c r="S25" s="11">
        <f t="shared" si="15"/>
        <v>0</v>
      </c>
      <c r="T25" s="11">
        <f t="shared" si="15"/>
        <v>0</v>
      </c>
      <c r="U25" s="11">
        <f t="shared" si="15"/>
        <v>0</v>
      </c>
      <c r="V25" s="11">
        <f t="shared" si="15"/>
        <v>0</v>
      </c>
      <c r="W25" s="11">
        <f t="shared" si="15"/>
        <v>0</v>
      </c>
      <c r="X25" s="11">
        <f t="shared" si="15"/>
        <v>0</v>
      </c>
      <c r="Y25" s="11">
        <f t="shared" si="15"/>
        <v>3801</v>
      </c>
      <c r="Z25" s="11">
        <f t="shared" si="15"/>
        <v>1193</v>
      </c>
      <c r="AA25" s="11">
        <f t="shared" si="15"/>
        <v>1712</v>
      </c>
      <c r="AB25" s="11">
        <f t="shared" si="15"/>
        <v>0</v>
      </c>
      <c r="AC25" s="11">
        <f t="shared" si="15"/>
        <v>0</v>
      </c>
      <c r="AD25" s="11">
        <f t="shared" si="15"/>
        <v>4684802</v>
      </c>
      <c r="AE25" s="11">
        <f t="shared" si="15"/>
        <v>78</v>
      </c>
      <c r="AF25" s="11">
        <f t="shared" si="15"/>
        <v>0</v>
      </c>
      <c r="AG25" s="11">
        <f t="shared" si="15"/>
        <v>15945</v>
      </c>
      <c r="AH25" s="11">
        <f t="shared" si="15"/>
        <v>0</v>
      </c>
      <c r="AI25" s="11">
        <f t="shared" si="15"/>
        <v>0</v>
      </c>
      <c r="AJ25" s="11">
        <f t="shared" si="15"/>
        <v>0</v>
      </c>
      <c r="AK25" s="11">
        <f t="shared" si="15"/>
        <v>88927</v>
      </c>
      <c r="AL25" s="11">
        <f t="shared" si="15"/>
        <v>149659</v>
      </c>
      <c r="AM25" s="11">
        <f t="shared" si="15"/>
        <v>0</v>
      </c>
      <c r="AN25" s="11">
        <f t="shared" si="15"/>
        <v>151007</v>
      </c>
      <c r="AO25" s="11">
        <f t="shared" si="15"/>
        <v>553519</v>
      </c>
      <c r="AP25" s="11">
        <f t="shared" si="15"/>
        <v>0</v>
      </c>
      <c r="AQ25" s="11">
        <f t="shared" si="15"/>
        <v>0</v>
      </c>
      <c r="AR25" s="11">
        <f t="shared" si="15"/>
        <v>0</v>
      </c>
      <c r="AS25" s="11">
        <f t="shared" si="15"/>
        <v>0</v>
      </c>
      <c r="AT25" s="11">
        <f t="shared" si="15"/>
        <v>0</v>
      </c>
      <c r="AU25" s="11">
        <f t="shared" si="15"/>
        <v>0</v>
      </c>
      <c r="AV25" s="11">
        <f t="shared" si="15"/>
        <v>0</v>
      </c>
      <c r="AW25" s="11">
        <f t="shared" si="15"/>
        <v>0</v>
      </c>
      <c r="AX25" s="11">
        <f t="shared" si="15"/>
        <v>813</v>
      </c>
      <c r="AY25" s="11">
        <f t="shared" si="15"/>
        <v>0</v>
      </c>
      <c r="AZ25" s="11">
        <f t="shared" si="15"/>
        <v>0</v>
      </c>
      <c r="BA25" s="11">
        <f t="shared" si="15"/>
        <v>0</v>
      </c>
      <c r="BB25" s="11">
        <f t="shared" si="15"/>
        <v>0</v>
      </c>
      <c r="BC25" s="11">
        <f t="shared" si="15"/>
        <v>27977</v>
      </c>
      <c r="BD25" s="11">
        <f t="shared" si="15"/>
        <v>27977</v>
      </c>
      <c r="BE25" s="11">
        <f t="shared" si="15"/>
        <v>0</v>
      </c>
      <c r="BF25" s="11">
        <f t="shared" si="15"/>
        <v>6310</v>
      </c>
      <c r="BG25" s="11">
        <f t="shared" si="15"/>
        <v>1133</v>
      </c>
      <c r="BH25" s="11">
        <f t="shared" si="15"/>
        <v>1023345</v>
      </c>
      <c r="BI25" s="11">
        <f t="shared" si="15"/>
        <v>5708147</v>
      </c>
      <c r="BJ25" s="11">
        <f t="shared" si="15"/>
        <v>0</v>
      </c>
      <c r="BK25" s="11">
        <f t="shared" si="15"/>
        <v>5708147</v>
      </c>
      <c r="BL25" s="11">
        <f>BL20-BL17</f>
        <v>-650631</v>
      </c>
      <c r="BM25" s="11">
        <f>BM20-BM17</f>
        <v>-1023345</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11"/>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11"/>
      <c r="BJ26" s="11"/>
      <c r="BK26" s="11"/>
      <c r="BL26" s="182"/>
      <c r="BM26" s="182"/>
    </row>
    <row r="27" spans="1:65" s="101" customFormat="1" ht="15.75">
      <c r="A27" s="265" t="s">
        <v>129</v>
      </c>
      <c r="B27" s="9" t="s">
        <v>326</v>
      </c>
      <c r="C27" s="122">
        <v>455136</v>
      </c>
      <c r="D27" s="122">
        <v>209489</v>
      </c>
      <c r="E27" s="122">
        <v>21439</v>
      </c>
      <c r="F27" s="122">
        <v>48037</v>
      </c>
      <c r="G27" s="122">
        <v>63088</v>
      </c>
      <c r="H27" s="122">
        <v>0</v>
      </c>
      <c r="I27" s="122">
        <v>0</v>
      </c>
      <c r="J27" s="122">
        <v>0</v>
      </c>
      <c r="K27" s="122">
        <v>0</v>
      </c>
      <c r="L27" s="122">
        <v>0</v>
      </c>
      <c r="M27" s="122">
        <v>8017</v>
      </c>
      <c r="N27" s="122">
        <v>18</v>
      </c>
      <c r="O27" s="122">
        <v>1470</v>
      </c>
      <c r="P27" s="122">
        <v>7579</v>
      </c>
      <c r="Q27" s="122">
        <v>0</v>
      </c>
      <c r="R27" s="122">
        <v>1267</v>
      </c>
      <c r="S27" s="122"/>
      <c r="T27" s="122"/>
      <c r="U27" s="122"/>
      <c r="V27" s="122"/>
      <c r="W27" s="122"/>
      <c r="X27" s="122"/>
      <c r="Y27" s="122">
        <v>608</v>
      </c>
      <c r="Z27" s="122">
        <v>178</v>
      </c>
      <c r="AA27" s="122">
        <v>133</v>
      </c>
      <c r="AB27" s="122">
        <v>0</v>
      </c>
      <c r="AC27" s="122">
        <v>-77318</v>
      </c>
      <c r="AD27" s="232">
        <f>SUM(C27:AC27)</f>
        <v>739141</v>
      </c>
      <c r="AE27" s="122">
        <v>0</v>
      </c>
      <c r="AF27" s="122">
        <v>1220</v>
      </c>
      <c r="AG27" s="122">
        <v>0</v>
      </c>
      <c r="AH27" s="122">
        <v>0</v>
      </c>
      <c r="AI27" s="122">
        <v>0</v>
      </c>
      <c r="AJ27" s="122">
        <v>0</v>
      </c>
      <c r="AK27" s="122">
        <v>411860</v>
      </c>
      <c r="AL27" s="122">
        <v>73440</v>
      </c>
      <c r="AM27" s="122">
        <v>0</v>
      </c>
      <c r="AN27" s="122">
        <v>0</v>
      </c>
      <c r="AO27" s="122">
        <v>12714</v>
      </c>
      <c r="AP27" s="122">
        <v>-32553</v>
      </c>
      <c r="AQ27" s="122">
        <v>0</v>
      </c>
      <c r="AR27" s="122">
        <v>0</v>
      </c>
      <c r="AS27" s="122">
        <v>0</v>
      </c>
      <c r="AT27" s="122">
        <v>0</v>
      </c>
      <c r="AU27" s="122">
        <v>0</v>
      </c>
      <c r="AV27" s="122">
        <v>0</v>
      </c>
      <c r="AW27" s="122">
        <v>0</v>
      </c>
      <c r="AX27" s="122">
        <v>0</v>
      </c>
      <c r="AY27" s="122">
        <v>0</v>
      </c>
      <c r="AZ27" s="122">
        <v>0</v>
      </c>
      <c r="BA27" s="122">
        <v>0</v>
      </c>
      <c r="BB27" s="122">
        <v>-151266</v>
      </c>
      <c r="BC27" s="122">
        <v>3518</v>
      </c>
      <c r="BD27" s="122">
        <v>3518</v>
      </c>
      <c r="BE27" s="122">
        <v>0</v>
      </c>
      <c r="BF27" s="122">
        <v>4837</v>
      </c>
      <c r="BG27" s="122">
        <v>259</v>
      </c>
      <c r="BH27" s="232">
        <f>SUM(AE27:BG27)</f>
        <v>327547</v>
      </c>
      <c r="BI27" s="235">
        <f>AD27+BH27</f>
        <v>1066688</v>
      </c>
      <c r="BJ27" s="98">
        <v>0</v>
      </c>
      <c r="BK27" s="232">
        <f>BI27-BJ27</f>
        <v>1066688</v>
      </c>
      <c r="BM27" s="233">
        <f>BK27-AD27</f>
        <v>327547</v>
      </c>
    </row>
    <row r="28" spans="1:65" s="41" customFormat="1" ht="15.75">
      <c r="A28" s="136"/>
      <c r="B28" s="234" t="s">
        <v>321</v>
      </c>
      <c r="C28" s="342">
        <v>455136</v>
      </c>
      <c r="D28" s="342">
        <v>209489</v>
      </c>
      <c r="E28" s="342">
        <v>21439</v>
      </c>
      <c r="F28" s="342">
        <v>48037</v>
      </c>
      <c r="G28" s="342">
        <v>63088</v>
      </c>
      <c r="H28" s="342">
        <v>0</v>
      </c>
      <c r="I28" s="342">
        <v>0</v>
      </c>
      <c r="J28" s="342">
        <v>0</v>
      </c>
      <c r="K28" s="342">
        <v>0</v>
      </c>
      <c r="L28" s="342">
        <v>0</v>
      </c>
      <c r="M28" s="342">
        <v>8017</v>
      </c>
      <c r="N28" s="342">
        <v>18</v>
      </c>
      <c r="O28" s="342">
        <v>1470</v>
      </c>
      <c r="P28" s="342">
        <v>7579</v>
      </c>
      <c r="Q28" s="342">
        <v>0</v>
      </c>
      <c r="R28" s="342">
        <v>1267</v>
      </c>
      <c r="S28" s="342"/>
      <c r="T28" s="342"/>
      <c r="U28" s="342"/>
      <c r="V28" s="342"/>
      <c r="W28" s="342"/>
      <c r="X28" s="342"/>
      <c r="Y28" s="342">
        <v>608</v>
      </c>
      <c r="Z28" s="342">
        <v>178</v>
      </c>
      <c r="AA28" s="342">
        <v>133</v>
      </c>
      <c r="AB28" s="342">
        <v>0</v>
      </c>
      <c r="AC28" s="342">
        <v>-77318</v>
      </c>
      <c r="AD28" s="123">
        <f>SUM(C28:AC28)</f>
        <v>739141</v>
      </c>
      <c r="AE28" s="342">
        <v>0</v>
      </c>
      <c r="AF28" s="342">
        <v>1220</v>
      </c>
      <c r="AG28" s="342">
        <v>0</v>
      </c>
      <c r="AH28" s="342">
        <v>0</v>
      </c>
      <c r="AI28" s="342">
        <v>0</v>
      </c>
      <c r="AJ28" s="342">
        <v>0</v>
      </c>
      <c r="AK28" s="342">
        <v>411860</v>
      </c>
      <c r="AL28" s="342">
        <v>73440</v>
      </c>
      <c r="AM28" s="342">
        <v>0</v>
      </c>
      <c r="AN28" s="342">
        <v>0</v>
      </c>
      <c r="AO28" s="342">
        <v>12714</v>
      </c>
      <c r="AP28" s="342">
        <v>-32553</v>
      </c>
      <c r="AQ28" s="342">
        <v>0</v>
      </c>
      <c r="AR28" s="342">
        <v>0</v>
      </c>
      <c r="AS28" s="342">
        <v>0</v>
      </c>
      <c r="AT28" s="342">
        <v>0</v>
      </c>
      <c r="AU28" s="342">
        <v>0</v>
      </c>
      <c r="AV28" s="342">
        <v>0</v>
      </c>
      <c r="AW28" s="342">
        <v>0</v>
      </c>
      <c r="AX28" s="342">
        <v>0</v>
      </c>
      <c r="AY28" s="342">
        <v>0</v>
      </c>
      <c r="AZ28" s="342">
        <v>0</v>
      </c>
      <c r="BA28" s="342">
        <v>0</v>
      </c>
      <c r="BB28" s="342">
        <v>-151266</v>
      </c>
      <c r="BC28" s="342">
        <v>3518</v>
      </c>
      <c r="BD28" s="342">
        <v>3518</v>
      </c>
      <c r="BE28" s="342">
        <v>0</v>
      </c>
      <c r="BF28" s="342">
        <v>4837</v>
      </c>
      <c r="BG28" s="342">
        <v>259</v>
      </c>
      <c r="BH28" s="123">
        <f>SUM(AE28:BG28)</f>
        <v>327547</v>
      </c>
      <c r="BI28" s="220">
        <f>AD28+BH28</f>
        <v>1066688</v>
      </c>
      <c r="BJ28" s="343">
        <v>0</v>
      </c>
      <c r="BK28" s="123">
        <f>BI28-BJ28</f>
        <v>1066688</v>
      </c>
      <c r="BL28" s="41">
        <f>'[1]Upto Month Current'!$D$61</f>
        <v>187957</v>
      </c>
      <c r="BM28" s="218">
        <f>BK28-AD28</f>
        <v>327547</v>
      </c>
    </row>
    <row r="29" spans="1:65" ht="15.75">
      <c r="A29" s="130"/>
      <c r="B29" s="12" t="s">
        <v>322</v>
      </c>
      <c r="C29" s="9">
        <f>IF('Upto Month COPPY'!$D$4="",0,'Upto Month COPPY'!$D$4)</f>
        <v>448242</v>
      </c>
      <c r="D29" s="9">
        <f>IF('Upto Month COPPY'!$D$5="",0,'Upto Month COPPY'!$D$5)</f>
        <v>166014</v>
      </c>
      <c r="E29" s="9">
        <f>IF('Upto Month COPPY'!$D$6="",0,'Upto Month COPPY'!$D$6)</f>
        <v>21470</v>
      </c>
      <c r="F29" s="9">
        <f>IF('Upto Month COPPY'!$D$7="",0,'Upto Month COPPY'!$D$7)</f>
        <v>47316</v>
      </c>
      <c r="G29" s="9">
        <f>IF('Upto Month COPPY'!$D$8="",0,'Upto Month COPPY'!$D$8)</f>
        <v>54596</v>
      </c>
      <c r="H29" s="9">
        <f>IF('Upto Month COPPY'!$D$9="",0,'Upto Month COPPY'!$D$9)</f>
        <v>0</v>
      </c>
      <c r="I29" s="9">
        <f>IF('Upto Month COPPY'!$D$10="",0,'Upto Month COPPY'!$D$10)</f>
        <v>0</v>
      </c>
      <c r="J29" s="9">
        <f>IF('Upto Month COPPY'!$D$11="",0,'Upto Month COPPY'!$D$11)</f>
        <v>0</v>
      </c>
      <c r="K29" s="9">
        <f>IF('Upto Month COPPY'!$D$12="",0,'Upto Month COPPY'!$D$12)</f>
        <v>2623</v>
      </c>
      <c r="L29" s="9">
        <f>IF('Upto Month COPPY'!$D$13="",0,'Upto Month COPPY'!$D$13)</f>
        <v>3827</v>
      </c>
      <c r="M29" s="9">
        <f>IF('Upto Month COPPY'!$D$14="",0,'Upto Month COPPY'!$D$14)</f>
        <v>8396</v>
      </c>
      <c r="N29" s="9">
        <f>IF('Upto Month COPPY'!$D$15="",0,'Upto Month COPPY'!$D$15)</f>
        <v>10</v>
      </c>
      <c r="O29" s="9">
        <f>IF('Upto Month COPPY'!$D$16="",0,'Upto Month COPPY'!$D$16)</f>
        <v>996</v>
      </c>
      <c r="P29" s="9">
        <f>IF('Upto Month COPPY'!$D$17="",0,'Upto Month COPPY'!$D$17)</f>
        <v>5849</v>
      </c>
      <c r="Q29" s="9">
        <f>IF('Upto Month COPPY'!$D$18="",0,'Upto Month COPPY'!$D$18)</f>
        <v>0</v>
      </c>
      <c r="R29" s="9">
        <f>IF('Upto Month COPPY'!$D$21="",0,'Upto Month COPPY'!$D$21)</f>
        <v>979</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992</v>
      </c>
      <c r="Z29" s="9">
        <f>IF('Upto Month COPPY'!$D$43="",0,'Upto Month COPPY'!$D$43)</f>
        <v>3078</v>
      </c>
      <c r="AA29" s="9">
        <f>IF('Upto Month COPPY'!$D$44="",0,'Upto Month COPPY'!$D$44)</f>
        <v>437</v>
      </c>
      <c r="AB29" s="9">
        <f>IF('Upto Month COPPY'!$D$48="",0,'Upto Month COPPY'!$D$48)</f>
        <v>0</v>
      </c>
      <c r="AC29" s="10">
        <f>IF('Upto Month COPPY'!$D$51="",0,'Upto Month COPPY'!$D$51)</f>
        <v>-64243</v>
      </c>
      <c r="AD29" s="123">
        <f>SUM(C29:AC29)</f>
        <v>700582</v>
      </c>
      <c r="AE29" s="9">
        <f>IF('Upto Month COPPY'!$D$19="",0,'Upto Month COPPY'!$D$19)</f>
        <v>0</v>
      </c>
      <c r="AF29" s="9">
        <f>IF('Upto Month COPPY'!$D$20="",0,'Upto Month COPPY'!$D$20)</f>
        <v>719</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477406</v>
      </c>
      <c r="AL29" s="9">
        <f>IF('Upto Month COPPY'!$D$29="",0,'Upto Month COPPY'!$D$29)</f>
        <v>44333</v>
      </c>
      <c r="AM29" s="9">
        <f>IF('Upto Month COPPY'!$D$31="",0,'Upto Month COPPY'!$D$31)</f>
        <v>0</v>
      </c>
      <c r="AN29" s="9">
        <f>IF('Upto Month COPPY'!$D$32="",0,'Upto Month COPPY'!$D$32)</f>
        <v>0</v>
      </c>
      <c r="AO29" s="9">
        <f>IF('Upto Month COPPY'!$D$33="",0,'Upto Month COPPY'!$D$33)</f>
        <v>36195</v>
      </c>
      <c r="AP29" s="9">
        <f>IF('Upto Month COPPY'!$D$34="",0,'Upto Month COPPY'!$D$34)</f>
        <v>-88410</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10">
        <f>IF('Upto Month COPPY'!$D$52="",0,'Upto Month COPPY'!$D$52)</f>
        <v>-119362</v>
      </c>
      <c r="BC29" s="9">
        <f>IF('Upto Month COPPY'!$D$53="",0,'Upto Month COPPY'!$D$53)</f>
        <v>3905</v>
      </c>
      <c r="BD29" s="9">
        <f>IF('Upto Month COPPY'!$D$54="",0,'Upto Month COPPY'!$D$54)</f>
        <v>3905</v>
      </c>
      <c r="BE29" s="9">
        <f>IF('Upto Month COPPY'!$D$55="",0,'Upto Month COPPY'!$D$55)</f>
        <v>0</v>
      </c>
      <c r="BF29" s="9">
        <f>IF('Upto Month COPPY'!$D$56="",0,'Upto Month COPPY'!$D$56)</f>
        <v>6237</v>
      </c>
      <c r="BG29" s="9">
        <f>IF('Upto Month COPPY'!$D$58="",0,'Upto Month COPPY'!$D$58)</f>
        <v>282</v>
      </c>
      <c r="BH29" s="9">
        <f>SUM(AE29:BG29)</f>
        <v>365210</v>
      </c>
      <c r="BI29" s="127">
        <f>AD29+BH29</f>
        <v>1065792</v>
      </c>
      <c r="BJ29" s="9">
        <f>IF('Upto Month COPPY'!$D$60="",0,'Upto Month COPPY'!$D$60)</f>
        <v>0</v>
      </c>
      <c r="BK29" s="51">
        <f>BI29-BJ29</f>
        <v>1065792</v>
      </c>
      <c r="BL29">
        <f>'Upto Month COPPY'!$D$61</f>
        <v>1065794</v>
      </c>
      <c r="BM29" s="30">
        <f>BK29-AD29</f>
        <v>365210</v>
      </c>
    </row>
    <row r="30" spans="1:65" ht="17.25" customHeight="1">
      <c r="A30" s="130"/>
      <c r="B30" s="183" t="s">
        <v>323</v>
      </c>
      <c r="C30" s="9">
        <f>IF('Upto Month Current'!$D$4="",0,'Upto Month Current'!$D$4)</f>
        <v>454290</v>
      </c>
      <c r="D30" s="9">
        <f>IF('Upto Month Current'!$D$5="",0,'Upto Month Current'!$D$5)</f>
        <v>209098</v>
      </c>
      <c r="E30" s="9">
        <f>IF('Upto Month Current'!$D$6="",0,'Upto Month Current'!$D$6)</f>
        <v>21398</v>
      </c>
      <c r="F30" s="9">
        <f>IF('Upto Month Current'!$D$7="",0,'Upto Month Current'!$D$7)</f>
        <v>47948</v>
      </c>
      <c r="G30" s="9">
        <f>IF('Upto Month Current'!$D$8="",0,'Upto Month Current'!$D$8)</f>
        <v>62970</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0</v>
      </c>
      <c r="M30" s="9">
        <f>IF('Upto Month Current'!$D$14="",0,'Upto Month Current'!$D$14)</f>
        <v>8002</v>
      </c>
      <c r="N30" s="9">
        <f>IF('Upto Month Current'!$D$15="",0,'Upto Month Current'!$D$15)</f>
        <v>18</v>
      </c>
      <c r="O30" s="9">
        <f>IF('Upto Month Current'!$D$16="",0,'Upto Month Current'!$D$16)</f>
        <v>1465</v>
      </c>
      <c r="P30" s="9">
        <f>IF('Upto Month Current'!$D$17="",0,'Upto Month Current'!$D$17)</f>
        <v>7564</v>
      </c>
      <c r="Q30" s="9">
        <f>IF('Upto Month Current'!$D$18="",0,'Upto Month Current'!$D$18)</f>
        <v>0</v>
      </c>
      <c r="R30" s="9">
        <f>IF('Upto Month Current'!$D$21="",0,'Upto Month Current'!$D$21)</f>
        <v>1264</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607</v>
      </c>
      <c r="Z30" s="9">
        <f>IF('Upto Month Current'!$D$43="",0,'Upto Month Current'!$D$43)</f>
        <v>178</v>
      </c>
      <c r="AA30" s="9">
        <f>IF('Upto Month Current'!$D$44="",0,'Upto Month Current'!$D$44)</f>
        <v>133</v>
      </c>
      <c r="AB30" s="9">
        <f>IF('Upto Month Current'!$D$48="",0,'Upto Month Current'!$D$48)</f>
        <v>0</v>
      </c>
      <c r="AC30" s="10">
        <f>IF('Upto Month Current'!$D$51="",0,'Upto Month Current'!$D$51)</f>
        <v>-77175</v>
      </c>
      <c r="AD30" s="123">
        <f>SUM(C30:AC30)</f>
        <v>737760</v>
      </c>
      <c r="AE30" s="9">
        <f>IF('Upto Month Current'!$D$19="",0,'Upto Month Current'!$D$19)</f>
        <v>0</v>
      </c>
      <c r="AF30" s="9">
        <f>IF('Upto Month Current'!$D$20="",0,'Upto Month Current'!$D$20)</f>
        <v>1218</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411091</v>
      </c>
      <c r="AL30" s="9">
        <f>IF('Upto Month Current'!$D$29="",0,'Upto Month Current'!$D$29)</f>
        <v>73303</v>
      </c>
      <c r="AM30" s="9">
        <f>IF('Upto Month Current'!$D$31="",0,'Upto Month Current'!$D$31)</f>
        <v>0</v>
      </c>
      <c r="AN30" s="9">
        <f>IF('Upto Month Current'!$D$32="",0,'Upto Month Current'!$D$32)</f>
        <v>0</v>
      </c>
      <c r="AO30" s="9">
        <f>IF('Upto Month Current'!$D$33="",0,'Upto Month Current'!$D$33)</f>
        <v>12691</v>
      </c>
      <c r="AP30" s="9">
        <f>IF('Upto Month Current'!$D$34="",0,'Upto Month Current'!$D$34)</f>
        <v>-32492</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10">
        <f>IF('Upto Month Current'!$D$52="",0,'Upto Month Current'!$D$52)</f>
        <v>-150983</v>
      </c>
      <c r="BC30" s="9">
        <f>IF('Upto Month Current'!$D$53="",0,'Upto Month Current'!$D$53)</f>
        <v>3512</v>
      </c>
      <c r="BD30" s="9">
        <f>IF('Upto Month Current'!$D$54="",0,'Upto Month Current'!$D$54)</f>
        <v>3512</v>
      </c>
      <c r="BE30" s="9">
        <f>IF('Upto Month Current'!$D$55="",0,'Upto Month Current'!$D$55)</f>
        <v>0</v>
      </c>
      <c r="BF30" s="9">
        <f>IF('Upto Month Current'!$D$56="",0,'Upto Month Current'!$D$56)</f>
        <v>4828</v>
      </c>
      <c r="BG30" s="9">
        <f>IF('Upto Month Current'!$D$58="",0,'Upto Month Current'!$D$58)</f>
        <v>259</v>
      </c>
      <c r="BH30" s="9">
        <f>SUM(AE30:BG30)</f>
        <v>326939</v>
      </c>
      <c r="BI30" s="127">
        <f>AD30+BH30</f>
        <v>1064699</v>
      </c>
      <c r="BJ30" s="9">
        <f>IF('Upto Month Current'!$D$60="",0,'Upto Month Current'!$D$60)</f>
        <v>0</v>
      </c>
      <c r="BK30" s="51">
        <f>BI30-BJ30</f>
        <v>1064699</v>
      </c>
      <c r="BL30">
        <f>'Upto Month Current'!$D$61</f>
        <v>1064701</v>
      </c>
      <c r="BM30" s="30">
        <f>BK30-AD30</f>
        <v>326939</v>
      </c>
    </row>
    <row r="31" spans="1:65" ht="15.75">
      <c r="A31" s="130"/>
      <c r="B31" s="5" t="s">
        <v>124</v>
      </c>
      <c r="C31" s="11">
        <f t="shared" ref="C31:AH31" si="16">C30-C28</f>
        <v>-846</v>
      </c>
      <c r="D31" s="11">
        <f t="shared" si="16"/>
        <v>-391</v>
      </c>
      <c r="E31" s="11">
        <f t="shared" si="16"/>
        <v>-41</v>
      </c>
      <c r="F31" s="11">
        <f t="shared" si="16"/>
        <v>-89</v>
      </c>
      <c r="G31" s="11">
        <f t="shared" si="16"/>
        <v>-118</v>
      </c>
      <c r="H31" s="11">
        <f t="shared" si="16"/>
        <v>0</v>
      </c>
      <c r="I31" s="11">
        <f t="shared" si="16"/>
        <v>0</v>
      </c>
      <c r="J31" s="11">
        <f t="shared" si="16"/>
        <v>0</v>
      </c>
      <c r="K31" s="11">
        <f t="shared" si="16"/>
        <v>0</v>
      </c>
      <c r="L31" s="11">
        <f t="shared" si="16"/>
        <v>0</v>
      </c>
      <c r="M31" s="11">
        <f t="shared" si="16"/>
        <v>-15</v>
      </c>
      <c r="N31" s="11">
        <f t="shared" si="16"/>
        <v>0</v>
      </c>
      <c r="O31" s="11">
        <f t="shared" si="16"/>
        <v>-5</v>
      </c>
      <c r="P31" s="11">
        <f t="shared" si="16"/>
        <v>-15</v>
      </c>
      <c r="Q31" s="11">
        <f t="shared" si="16"/>
        <v>0</v>
      </c>
      <c r="R31" s="11">
        <f t="shared" si="16"/>
        <v>-3</v>
      </c>
      <c r="S31" s="11">
        <f t="shared" si="16"/>
        <v>0</v>
      </c>
      <c r="T31" s="11">
        <f t="shared" si="16"/>
        <v>0</v>
      </c>
      <c r="U31" s="11">
        <f t="shared" si="16"/>
        <v>0</v>
      </c>
      <c r="V31" s="9">
        <f t="shared" si="16"/>
        <v>0</v>
      </c>
      <c r="W31" s="11">
        <f t="shared" si="16"/>
        <v>0</v>
      </c>
      <c r="X31" s="11">
        <f t="shared" si="16"/>
        <v>0</v>
      </c>
      <c r="Y31" s="11">
        <f t="shared" si="16"/>
        <v>-1</v>
      </c>
      <c r="Z31" s="11">
        <f t="shared" si="16"/>
        <v>0</v>
      </c>
      <c r="AA31" s="11">
        <f t="shared" si="16"/>
        <v>0</v>
      </c>
      <c r="AB31" s="11">
        <f t="shared" si="16"/>
        <v>0</v>
      </c>
      <c r="AC31" s="10">
        <f t="shared" si="16"/>
        <v>143</v>
      </c>
      <c r="AD31" s="11">
        <f t="shared" si="16"/>
        <v>-1381</v>
      </c>
      <c r="AE31" s="11">
        <f t="shared" si="16"/>
        <v>0</v>
      </c>
      <c r="AF31" s="11">
        <f t="shared" si="16"/>
        <v>-2</v>
      </c>
      <c r="AG31" s="11">
        <f t="shared" si="16"/>
        <v>0</v>
      </c>
      <c r="AH31" s="11">
        <f t="shared" si="16"/>
        <v>0</v>
      </c>
      <c r="AI31" s="11">
        <f t="shared" ref="AI31:BK31" si="17">AI30-AI28</f>
        <v>0</v>
      </c>
      <c r="AJ31" s="11">
        <f t="shared" si="17"/>
        <v>0</v>
      </c>
      <c r="AK31" s="11">
        <f t="shared" si="17"/>
        <v>-769</v>
      </c>
      <c r="AL31" s="11">
        <f t="shared" si="17"/>
        <v>-137</v>
      </c>
      <c r="AM31" s="11">
        <f t="shared" si="17"/>
        <v>0</v>
      </c>
      <c r="AN31" s="11">
        <f t="shared" si="17"/>
        <v>0</v>
      </c>
      <c r="AO31" s="9">
        <f t="shared" si="17"/>
        <v>-23</v>
      </c>
      <c r="AP31" s="11">
        <f t="shared" si="17"/>
        <v>61</v>
      </c>
      <c r="AQ31" s="10">
        <f t="shared" si="17"/>
        <v>0</v>
      </c>
      <c r="AR31" s="11">
        <f t="shared" si="17"/>
        <v>0</v>
      </c>
      <c r="AS31" s="11">
        <f t="shared" si="17"/>
        <v>0</v>
      </c>
      <c r="AT31" s="11">
        <f t="shared" si="17"/>
        <v>0</v>
      </c>
      <c r="AU31" s="11">
        <f t="shared" si="17"/>
        <v>0</v>
      </c>
      <c r="AV31" s="11">
        <f t="shared" si="17"/>
        <v>0</v>
      </c>
      <c r="AW31" s="11">
        <f t="shared" si="17"/>
        <v>0</v>
      </c>
      <c r="AX31" s="11">
        <f t="shared" si="17"/>
        <v>0</v>
      </c>
      <c r="AY31" s="11">
        <f t="shared" si="17"/>
        <v>0</v>
      </c>
      <c r="AZ31" s="11">
        <f t="shared" si="17"/>
        <v>0</v>
      </c>
      <c r="BA31" s="11">
        <f t="shared" si="17"/>
        <v>0</v>
      </c>
      <c r="BB31" s="10">
        <f t="shared" si="17"/>
        <v>283</v>
      </c>
      <c r="BC31" s="11">
        <f t="shared" si="17"/>
        <v>-6</v>
      </c>
      <c r="BD31" s="11">
        <f t="shared" si="17"/>
        <v>-6</v>
      </c>
      <c r="BE31" s="11">
        <f t="shared" si="17"/>
        <v>0</v>
      </c>
      <c r="BF31" s="11">
        <f t="shared" si="17"/>
        <v>-9</v>
      </c>
      <c r="BG31" s="11">
        <f t="shared" si="17"/>
        <v>0</v>
      </c>
      <c r="BH31" s="9">
        <f t="shared" si="17"/>
        <v>-608</v>
      </c>
      <c r="BI31" s="45">
        <f t="shared" si="17"/>
        <v>-1989</v>
      </c>
      <c r="BJ31" s="11">
        <f t="shared" si="17"/>
        <v>0</v>
      </c>
      <c r="BK31" s="51">
        <f t="shared" si="17"/>
        <v>-1989</v>
      </c>
      <c r="BM31" s="30">
        <f>BK31-AD31</f>
        <v>-608</v>
      </c>
    </row>
    <row r="32" spans="1:65" ht="15.75">
      <c r="A32" s="130"/>
      <c r="B32" s="5" t="s">
        <v>125</v>
      </c>
      <c r="C32" s="13">
        <f t="shared" ref="C32:AH32" si="18">C31/C28</f>
        <v>-1.8587850664416789E-3</v>
      </c>
      <c r="D32" s="13">
        <f t="shared" si="18"/>
        <v>-1.8664464482621998E-3</v>
      </c>
      <c r="E32" s="13">
        <f t="shared" si="18"/>
        <v>-1.9124026307197164E-3</v>
      </c>
      <c r="F32" s="13">
        <f t="shared" si="18"/>
        <v>-1.8527385140620772E-3</v>
      </c>
      <c r="G32" s="13">
        <f t="shared" si="18"/>
        <v>-1.8704032462591935E-3</v>
      </c>
      <c r="H32" s="13" t="e">
        <f t="shared" si="18"/>
        <v>#DIV/0!</v>
      </c>
      <c r="I32" s="13" t="e">
        <f t="shared" si="18"/>
        <v>#DIV/0!</v>
      </c>
      <c r="J32" s="13" t="e">
        <f t="shared" si="18"/>
        <v>#DIV/0!</v>
      </c>
      <c r="K32" s="13" t="e">
        <f t="shared" si="18"/>
        <v>#DIV/0!</v>
      </c>
      <c r="L32" s="13" t="e">
        <f t="shared" si="18"/>
        <v>#DIV/0!</v>
      </c>
      <c r="M32" s="13">
        <f t="shared" si="18"/>
        <v>-1.8710240738430836E-3</v>
      </c>
      <c r="N32" s="13">
        <f t="shared" si="18"/>
        <v>0</v>
      </c>
      <c r="O32" s="13">
        <f t="shared" si="18"/>
        <v>-3.4013605442176869E-3</v>
      </c>
      <c r="P32" s="13">
        <f t="shared" si="18"/>
        <v>-1.9791529225491491E-3</v>
      </c>
      <c r="Q32" s="13" t="e">
        <f t="shared" si="18"/>
        <v>#DIV/0!</v>
      </c>
      <c r="R32" s="13">
        <f t="shared" si="18"/>
        <v>-2.3677979479084454E-3</v>
      </c>
      <c r="S32" s="13" t="e">
        <f t="shared" si="18"/>
        <v>#DIV/0!</v>
      </c>
      <c r="T32" s="13" t="e">
        <f t="shared" si="18"/>
        <v>#DIV/0!</v>
      </c>
      <c r="U32" s="13" t="e">
        <f t="shared" si="18"/>
        <v>#DIV/0!</v>
      </c>
      <c r="V32" s="163" t="e">
        <f t="shared" si="18"/>
        <v>#DIV/0!</v>
      </c>
      <c r="W32" s="13" t="e">
        <f t="shared" si="18"/>
        <v>#DIV/0!</v>
      </c>
      <c r="X32" s="13" t="e">
        <f t="shared" si="18"/>
        <v>#DIV/0!</v>
      </c>
      <c r="Y32" s="13">
        <f t="shared" si="18"/>
        <v>-1.6447368421052631E-3</v>
      </c>
      <c r="Z32" s="13">
        <f t="shared" si="18"/>
        <v>0</v>
      </c>
      <c r="AA32" s="13">
        <f t="shared" si="18"/>
        <v>0</v>
      </c>
      <c r="AB32" s="13" t="e">
        <f t="shared" si="18"/>
        <v>#DIV/0!</v>
      </c>
      <c r="AC32" s="14">
        <f t="shared" si="18"/>
        <v>-1.8495046431620062E-3</v>
      </c>
      <c r="AD32" s="13">
        <f t="shared" si="18"/>
        <v>-1.8683850577900563E-3</v>
      </c>
      <c r="AE32" s="13" t="e">
        <f t="shared" si="18"/>
        <v>#DIV/0!</v>
      </c>
      <c r="AF32" s="13">
        <f t="shared" si="18"/>
        <v>-1.639344262295082E-3</v>
      </c>
      <c r="AG32" s="13" t="e">
        <f t="shared" si="18"/>
        <v>#DIV/0!</v>
      </c>
      <c r="AH32" s="13" t="e">
        <f t="shared" si="18"/>
        <v>#DIV/0!</v>
      </c>
      <c r="AI32" s="13" t="e">
        <f t="shared" ref="AI32:BK32" si="19">AI31/AI28</f>
        <v>#DIV/0!</v>
      </c>
      <c r="AJ32" s="13" t="e">
        <f t="shared" si="19"/>
        <v>#DIV/0!</v>
      </c>
      <c r="AK32" s="13">
        <f t="shared" si="19"/>
        <v>-1.8671393191861312E-3</v>
      </c>
      <c r="AL32" s="13">
        <f t="shared" si="19"/>
        <v>-1.8654684095860566E-3</v>
      </c>
      <c r="AM32" s="13" t="e">
        <f t="shared" si="19"/>
        <v>#DIV/0!</v>
      </c>
      <c r="AN32" s="13" t="e">
        <f t="shared" si="19"/>
        <v>#DIV/0!</v>
      </c>
      <c r="AO32" s="163">
        <f t="shared" si="19"/>
        <v>-1.8090294163913797E-3</v>
      </c>
      <c r="AP32" s="13">
        <f t="shared" si="19"/>
        <v>-1.8738672318987497E-3</v>
      </c>
      <c r="AQ32" s="14" t="e">
        <f t="shared" si="19"/>
        <v>#DIV/0!</v>
      </c>
      <c r="AR32" s="13" t="e">
        <f t="shared" si="19"/>
        <v>#DIV/0!</v>
      </c>
      <c r="AS32" s="13" t="e">
        <f t="shared" si="19"/>
        <v>#DIV/0!</v>
      </c>
      <c r="AT32" s="13" t="e">
        <f t="shared" si="19"/>
        <v>#DIV/0!</v>
      </c>
      <c r="AU32" s="13" t="e">
        <f t="shared" si="19"/>
        <v>#DIV/0!</v>
      </c>
      <c r="AV32" s="13" t="e">
        <f t="shared" si="19"/>
        <v>#DIV/0!</v>
      </c>
      <c r="AW32" s="13" t="e">
        <f t="shared" si="19"/>
        <v>#DIV/0!</v>
      </c>
      <c r="AX32" s="13" t="e">
        <f t="shared" si="19"/>
        <v>#DIV/0!</v>
      </c>
      <c r="AY32" s="13" t="e">
        <f t="shared" si="19"/>
        <v>#DIV/0!</v>
      </c>
      <c r="AZ32" s="13" t="e">
        <f t="shared" si="19"/>
        <v>#DIV/0!</v>
      </c>
      <c r="BA32" s="13" t="e">
        <f t="shared" si="19"/>
        <v>#DIV/0!</v>
      </c>
      <c r="BB32" s="14">
        <f t="shared" si="19"/>
        <v>-1.8708764692660612E-3</v>
      </c>
      <c r="BC32" s="13">
        <f t="shared" si="19"/>
        <v>-1.7055144968732233E-3</v>
      </c>
      <c r="BD32" s="13">
        <f t="shared" si="19"/>
        <v>-1.7055144968732233E-3</v>
      </c>
      <c r="BE32" s="13" t="e">
        <f t="shared" si="19"/>
        <v>#DIV/0!</v>
      </c>
      <c r="BF32" s="13">
        <f t="shared" si="19"/>
        <v>-1.8606574322927434E-3</v>
      </c>
      <c r="BG32" s="13">
        <f t="shared" si="19"/>
        <v>0</v>
      </c>
      <c r="BH32" s="163">
        <f t="shared" si="19"/>
        <v>-1.8562221604838389E-3</v>
      </c>
      <c r="BI32" s="46">
        <f t="shared" si="19"/>
        <v>-1.8646502069958602E-3</v>
      </c>
      <c r="BJ32" s="13" t="e">
        <f t="shared" si="19"/>
        <v>#DIV/0!</v>
      </c>
      <c r="BK32" s="52">
        <f t="shared" si="19"/>
        <v>-1.8646502069958602E-3</v>
      </c>
      <c r="BM32" s="163">
        <f>BM31/BM28</f>
        <v>-1.8562221604838389E-3</v>
      </c>
    </row>
    <row r="33" spans="1:65" ht="15.75">
      <c r="A33" s="130"/>
      <c r="B33" s="5" t="s">
        <v>126</v>
      </c>
      <c r="C33" s="11">
        <f>C30-C29</f>
        <v>6048</v>
      </c>
      <c r="D33" s="11">
        <f t="shared" ref="D33:BK33" si="20">D30-D29</f>
        <v>43084</v>
      </c>
      <c r="E33" s="11">
        <f t="shared" si="20"/>
        <v>-72</v>
      </c>
      <c r="F33" s="11">
        <f t="shared" si="20"/>
        <v>632</v>
      </c>
      <c r="G33" s="11">
        <f t="shared" si="20"/>
        <v>8374</v>
      </c>
      <c r="H33" s="11">
        <f t="shared" si="20"/>
        <v>0</v>
      </c>
      <c r="I33" s="11">
        <f t="shared" si="20"/>
        <v>0</v>
      </c>
      <c r="J33" s="11">
        <f t="shared" si="20"/>
        <v>0</v>
      </c>
      <c r="K33" s="11">
        <f t="shared" si="20"/>
        <v>-2623</v>
      </c>
      <c r="L33" s="11">
        <f t="shared" si="20"/>
        <v>-3827</v>
      </c>
      <c r="M33" s="11">
        <f t="shared" si="20"/>
        <v>-394</v>
      </c>
      <c r="N33" s="11">
        <f t="shared" si="20"/>
        <v>8</v>
      </c>
      <c r="O33" s="11">
        <f t="shared" si="20"/>
        <v>469</v>
      </c>
      <c r="P33" s="11">
        <f t="shared" si="20"/>
        <v>1715</v>
      </c>
      <c r="Q33" s="11">
        <f t="shared" si="20"/>
        <v>0</v>
      </c>
      <c r="R33" s="11">
        <f t="shared" si="20"/>
        <v>285</v>
      </c>
      <c r="S33" s="11">
        <f t="shared" si="20"/>
        <v>0</v>
      </c>
      <c r="T33" s="11">
        <f t="shared" si="20"/>
        <v>0</v>
      </c>
      <c r="U33" s="11">
        <f>U30-U29</f>
        <v>0</v>
      </c>
      <c r="V33" s="9">
        <f t="shared" si="20"/>
        <v>0</v>
      </c>
      <c r="W33" s="11">
        <f t="shared" si="20"/>
        <v>0</v>
      </c>
      <c r="X33" s="11">
        <f t="shared" si="20"/>
        <v>0</v>
      </c>
      <c r="Y33" s="11">
        <f t="shared" si="20"/>
        <v>-385</v>
      </c>
      <c r="Z33" s="11">
        <f t="shared" si="20"/>
        <v>-2900</v>
      </c>
      <c r="AA33" s="11">
        <f t="shared" si="20"/>
        <v>-304</v>
      </c>
      <c r="AB33" s="11">
        <f>AB30-AB29</f>
        <v>0</v>
      </c>
      <c r="AC33" s="10">
        <f>AC30-AC29</f>
        <v>-12932</v>
      </c>
      <c r="AD33" s="11">
        <f>AD30-AD29</f>
        <v>37178</v>
      </c>
      <c r="AE33" s="11">
        <f t="shared" si="20"/>
        <v>0</v>
      </c>
      <c r="AF33" s="11">
        <f t="shared" si="20"/>
        <v>499</v>
      </c>
      <c r="AG33" s="11">
        <f t="shared" si="20"/>
        <v>0</v>
      </c>
      <c r="AH33" s="11">
        <f t="shared" si="20"/>
        <v>0</v>
      </c>
      <c r="AI33" s="11">
        <f t="shared" si="20"/>
        <v>0</v>
      </c>
      <c r="AJ33" s="11">
        <f t="shared" si="20"/>
        <v>0</v>
      </c>
      <c r="AK33" s="11">
        <f t="shared" si="20"/>
        <v>-66315</v>
      </c>
      <c r="AL33" s="11">
        <f t="shared" si="20"/>
        <v>28970</v>
      </c>
      <c r="AM33" s="11">
        <f t="shared" si="20"/>
        <v>0</v>
      </c>
      <c r="AN33" s="11">
        <f t="shared" si="20"/>
        <v>0</v>
      </c>
      <c r="AO33" s="9">
        <f t="shared" si="20"/>
        <v>-23504</v>
      </c>
      <c r="AP33" s="11">
        <f t="shared" si="20"/>
        <v>55918</v>
      </c>
      <c r="AQ33" s="10">
        <f t="shared" si="20"/>
        <v>0</v>
      </c>
      <c r="AR33" s="11">
        <f t="shared" si="20"/>
        <v>0</v>
      </c>
      <c r="AS33" s="11">
        <f t="shared" si="20"/>
        <v>0</v>
      </c>
      <c r="AT33" s="11">
        <f t="shared" si="20"/>
        <v>0</v>
      </c>
      <c r="AU33" s="11">
        <f t="shared" si="20"/>
        <v>0</v>
      </c>
      <c r="AV33" s="11">
        <f t="shared" si="20"/>
        <v>0</v>
      </c>
      <c r="AW33" s="11">
        <f t="shared" si="20"/>
        <v>0</v>
      </c>
      <c r="AX33" s="11">
        <f t="shared" si="20"/>
        <v>0</v>
      </c>
      <c r="AY33" s="11">
        <f t="shared" si="20"/>
        <v>0</v>
      </c>
      <c r="AZ33" s="11">
        <f t="shared" si="20"/>
        <v>0</v>
      </c>
      <c r="BA33" s="11">
        <f t="shared" si="20"/>
        <v>0</v>
      </c>
      <c r="BB33" s="10">
        <f t="shared" si="20"/>
        <v>-31621</v>
      </c>
      <c r="BC33" s="11">
        <f t="shared" si="20"/>
        <v>-393</v>
      </c>
      <c r="BD33" s="11">
        <f t="shared" si="20"/>
        <v>-393</v>
      </c>
      <c r="BE33" s="11">
        <f t="shared" si="20"/>
        <v>0</v>
      </c>
      <c r="BF33" s="11">
        <f t="shared" si="20"/>
        <v>-1409</v>
      </c>
      <c r="BG33" s="11">
        <f t="shared" si="20"/>
        <v>-23</v>
      </c>
      <c r="BH33" s="9">
        <f t="shared" si="20"/>
        <v>-38271</v>
      </c>
      <c r="BI33" s="45">
        <f t="shared" si="20"/>
        <v>-1093</v>
      </c>
      <c r="BJ33" s="11">
        <f t="shared" si="20"/>
        <v>0</v>
      </c>
      <c r="BK33" s="51">
        <f t="shared" si="20"/>
        <v>-1093</v>
      </c>
      <c r="BM33" s="30">
        <f>BK33-AD33</f>
        <v>-38271</v>
      </c>
    </row>
    <row r="34" spans="1:65" ht="15.75">
      <c r="A34" s="130"/>
      <c r="B34" s="5" t="s">
        <v>127</v>
      </c>
      <c r="C34" s="13">
        <f t="shared" ref="C34:AH34" si="21">C33/C29</f>
        <v>1.3492711526362991E-2</v>
      </c>
      <c r="D34" s="13">
        <f t="shared" si="21"/>
        <v>0.25952028142204875</v>
      </c>
      <c r="E34" s="13">
        <f t="shared" si="21"/>
        <v>-3.353516534699581E-3</v>
      </c>
      <c r="F34" s="13">
        <f t="shared" si="21"/>
        <v>1.3357003973285993E-2</v>
      </c>
      <c r="G34" s="13">
        <f t="shared" si="21"/>
        <v>0.15338120008791853</v>
      </c>
      <c r="H34" s="13" t="e">
        <f t="shared" si="21"/>
        <v>#DIV/0!</v>
      </c>
      <c r="I34" s="13" t="e">
        <f t="shared" si="21"/>
        <v>#DIV/0!</v>
      </c>
      <c r="J34" s="13" t="e">
        <f t="shared" si="21"/>
        <v>#DIV/0!</v>
      </c>
      <c r="K34" s="13">
        <f t="shared" si="21"/>
        <v>-1</v>
      </c>
      <c r="L34" s="13">
        <f t="shared" si="21"/>
        <v>-1</v>
      </c>
      <c r="M34" s="13">
        <f t="shared" si="21"/>
        <v>-4.6927108146736542E-2</v>
      </c>
      <c r="N34" s="13">
        <f t="shared" si="21"/>
        <v>0.8</v>
      </c>
      <c r="O34" s="13">
        <f t="shared" si="21"/>
        <v>0.47088353413654621</v>
      </c>
      <c r="P34" s="13">
        <f t="shared" si="21"/>
        <v>0.2932125149598222</v>
      </c>
      <c r="Q34" s="13" t="e">
        <f t="shared" si="21"/>
        <v>#DIV/0!</v>
      </c>
      <c r="R34" s="13">
        <f t="shared" si="21"/>
        <v>0.29111338100102147</v>
      </c>
      <c r="S34" s="13" t="e">
        <f t="shared" si="21"/>
        <v>#DIV/0!</v>
      </c>
      <c r="T34" s="13" t="e">
        <f t="shared" si="21"/>
        <v>#DIV/0!</v>
      </c>
      <c r="U34" s="13" t="e">
        <f t="shared" si="21"/>
        <v>#DIV/0!</v>
      </c>
      <c r="V34" s="163" t="e">
        <f t="shared" si="21"/>
        <v>#DIV/0!</v>
      </c>
      <c r="W34" s="13" t="e">
        <f t="shared" si="21"/>
        <v>#DIV/0!</v>
      </c>
      <c r="X34" s="13" t="e">
        <f t="shared" si="21"/>
        <v>#DIV/0!</v>
      </c>
      <c r="Y34" s="13">
        <f t="shared" si="21"/>
        <v>-0.38810483870967744</v>
      </c>
      <c r="Z34" s="13">
        <f t="shared" si="21"/>
        <v>-0.9421702404158544</v>
      </c>
      <c r="AA34" s="13">
        <f t="shared" si="21"/>
        <v>-0.69565217391304346</v>
      </c>
      <c r="AB34" s="13" t="e">
        <f t="shared" si="21"/>
        <v>#DIV/0!</v>
      </c>
      <c r="AC34" s="14">
        <f t="shared" si="21"/>
        <v>0.20129819591239512</v>
      </c>
      <c r="AD34" s="13">
        <f t="shared" si="21"/>
        <v>5.306730689626625E-2</v>
      </c>
      <c r="AE34" s="13" t="e">
        <f t="shared" si="21"/>
        <v>#DIV/0!</v>
      </c>
      <c r="AF34" s="13">
        <f t="shared" si="21"/>
        <v>0.694019471488178</v>
      </c>
      <c r="AG34" s="13" t="e">
        <f t="shared" si="21"/>
        <v>#DIV/0!</v>
      </c>
      <c r="AH34" s="13" t="e">
        <f t="shared" si="21"/>
        <v>#DIV/0!</v>
      </c>
      <c r="AI34" s="13" t="e">
        <f t="shared" ref="AI34:BK34" si="22">AI33/AI29</f>
        <v>#DIV/0!</v>
      </c>
      <c r="AJ34" s="13" t="e">
        <f t="shared" si="22"/>
        <v>#DIV/0!</v>
      </c>
      <c r="AK34" s="13">
        <f t="shared" si="22"/>
        <v>-0.13890692618023234</v>
      </c>
      <c r="AL34" s="13">
        <f t="shared" si="22"/>
        <v>0.65346355987639004</v>
      </c>
      <c r="AM34" s="13" t="e">
        <f t="shared" si="22"/>
        <v>#DIV/0!</v>
      </c>
      <c r="AN34" s="13" t="e">
        <f t="shared" si="22"/>
        <v>#DIV/0!</v>
      </c>
      <c r="AO34" s="163">
        <f t="shared" si="22"/>
        <v>-0.6493714601464291</v>
      </c>
      <c r="AP34" s="13">
        <f t="shared" si="22"/>
        <v>-0.63248501300757831</v>
      </c>
      <c r="AQ34" s="14" t="e">
        <f t="shared" si="22"/>
        <v>#DIV/0!</v>
      </c>
      <c r="AR34" s="13" t="e">
        <f t="shared" si="22"/>
        <v>#DIV/0!</v>
      </c>
      <c r="AS34" s="13" t="e">
        <f t="shared" si="22"/>
        <v>#DIV/0!</v>
      </c>
      <c r="AT34" s="13" t="e">
        <f t="shared" si="22"/>
        <v>#DIV/0!</v>
      </c>
      <c r="AU34" s="13" t="e">
        <f t="shared" si="22"/>
        <v>#DIV/0!</v>
      </c>
      <c r="AV34" s="13" t="e">
        <f t="shared" si="22"/>
        <v>#DIV/0!</v>
      </c>
      <c r="AW34" s="13" t="e">
        <f t="shared" si="22"/>
        <v>#DIV/0!</v>
      </c>
      <c r="AX34" s="13" t="e">
        <f t="shared" si="22"/>
        <v>#DIV/0!</v>
      </c>
      <c r="AY34" s="13" t="e">
        <f t="shared" si="22"/>
        <v>#DIV/0!</v>
      </c>
      <c r="AZ34" s="13" t="e">
        <f t="shared" si="22"/>
        <v>#DIV/0!</v>
      </c>
      <c r="BA34" s="13" t="e">
        <f t="shared" si="22"/>
        <v>#DIV/0!</v>
      </c>
      <c r="BB34" s="14">
        <f t="shared" si="22"/>
        <v>0.26491680769424103</v>
      </c>
      <c r="BC34" s="13">
        <f t="shared" si="22"/>
        <v>-0.10064020486555698</v>
      </c>
      <c r="BD34" s="13">
        <f t="shared" si="22"/>
        <v>-0.10064020486555698</v>
      </c>
      <c r="BE34" s="13" t="e">
        <f t="shared" si="22"/>
        <v>#DIV/0!</v>
      </c>
      <c r="BF34" s="13">
        <f t="shared" si="22"/>
        <v>-0.22590989257655925</v>
      </c>
      <c r="BG34" s="13">
        <f t="shared" si="22"/>
        <v>-8.1560283687943269E-2</v>
      </c>
      <c r="BH34" s="163">
        <f t="shared" si="22"/>
        <v>-0.10479176364283563</v>
      </c>
      <c r="BI34" s="46">
        <f t="shared" si="22"/>
        <v>-1.0255284333153185E-3</v>
      </c>
      <c r="BJ34" s="13" t="e">
        <f t="shared" si="22"/>
        <v>#DIV/0!</v>
      </c>
      <c r="BK34" s="52">
        <f t="shared" si="22"/>
        <v>-1.0255284333153185E-3</v>
      </c>
      <c r="BM34" s="14">
        <f>BM33/BM29</f>
        <v>-0.10479176364283563</v>
      </c>
    </row>
    <row r="35" spans="1:65" ht="15.75">
      <c r="A35" s="130"/>
      <c r="B35" s="5" t="s">
        <v>328</v>
      </c>
      <c r="C35" s="128">
        <f>C30/C27</f>
        <v>0.99814121493355834</v>
      </c>
      <c r="D35" s="128">
        <f t="shared" ref="D35:BK35" si="23">D30/D27</f>
        <v>0.99813355355173783</v>
      </c>
      <c r="E35" s="128">
        <f t="shared" si="23"/>
        <v>0.99808759736928032</v>
      </c>
      <c r="F35" s="128">
        <f t="shared" si="23"/>
        <v>0.99814726148593791</v>
      </c>
      <c r="G35" s="128">
        <f t="shared" si="23"/>
        <v>0.9981295967537408</v>
      </c>
      <c r="H35" s="128" t="e">
        <f t="shared" si="23"/>
        <v>#DIV/0!</v>
      </c>
      <c r="I35" s="128" t="e">
        <f t="shared" si="23"/>
        <v>#DIV/0!</v>
      </c>
      <c r="J35" s="128" t="e">
        <f t="shared" si="23"/>
        <v>#DIV/0!</v>
      </c>
      <c r="K35" s="128" t="e">
        <f t="shared" si="23"/>
        <v>#DIV/0!</v>
      </c>
      <c r="L35" s="128" t="e">
        <f t="shared" si="23"/>
        <v>#DIV/0!</v>
      </c>
      <c r="M35" s="128">
        <f t="shared" si="23"/>
        <v>0.9981289759261569</v>
      </c>
      <c r="N35" s="128">
        <f t="shared" si="23"/>
        <v>1</v>
      </c>
      <c r="O35" s="128">
        <f t="shared" si="23"/>
        <v>0.99659863945578231</v>
      </c>
      <c r="P35" s="128">
        <f t="shared" si="23"/>
        <v>0.99802084707745087</v>
      </c>
      <c r="Q35" s="128" t="e">
        <f t="shared" si="23"/>
        <v>#DIV/0!</v>
      </c>
      <c r="R35" s="128">
        <f t="shared" si="23"/>
        <v>0.99763220205209158</v>
      </c>
      <c r="S35" s="128" t="e">
        <f t="shared" si="23"/>
        <v>#DIV/0!</v>
      </c>
      <c r="T35" s="128" t="e">
        <f t="shared" si="23"/>
        <v>#DIV/0!</v>
      </c>
      <c r="U35" s="128" t="e">
        <f t="shared" si="23"/>
        <v>#DIV/0!</v>
      </c>
      <c r="V35" s="178" t="e">
        <f t="shared" si="23"/>
        <v>#DIV/0!</v>
      </c>
      <c r="W35" s="128" t="e">
        <f t="shared" si="23"/>
        <v>#DIV/0!</v>
      </c>
      <c r="X35" s="128" t="e">
        <f t="shared" si="23"/>
        <v>#DIV/0!</v>
      </c>
      <c r="Y35" s="128">
        <f t="shared" si="23"/>
        <v>0.99835526315789469</v>
      </c>
      <c r="Z35" s="128">
        <f t="shared" si="23"/>
        <v>1</v>
      </c>
      <c r="AA35" s="128">
        <f t="shared" si="23"/>
        <v>1</v>
      </c>
      <c r="AB35" s="128" t="e">
        <f>AB30/AB27</f>
        <v>#DIV/0!</v>
      </c>
      <c r="AC35" s="217">
        <f t="shared" si="23"/>
        <v>0.99815049535683797</v>
      </c>
      <c r="AD35" s="128">
        <f t="shared" si="23"/>
        <v>0.99813161494220992</v>
      </c>
      <c r="AE35" s="128" t="e">
        <f t="shared" si="23"/>
        <v>#DIV/0!</v>
      </c>
      <c r="AF35" s="128">
        <f t="shared" si="23"/>
        <v>0.99836065573770494</v>
      </c>
      <c r="AG35" s="128" t="e">
        <f t="shared" si="23"/>
        <v>#DIV/0!</v>
      </c>
      <c r="AH35" s="128" t="e">
        <f t="shared" si="23"/>
        <v>#DIV/0!</v>
      </c>
      <c r="AI35" s="128" t="e">
        <f t="shared" si="23"/>
        <v>#DIV/0!</v>
      </c>
      <c r="AJ35" s="128" t="e">
        <f t="shared" si="23"/>
        <v>#DIV/0!</v>
      </c>
      <c r="AK35" s="128">
        <f t="shared" si="23"/>
        <v>0.99813286068081386</v>
      </c>
      <c r="AL35" s="128">
        <f t="shared" si="23"/>
        <v>0.99813453159041399</v>
      </c>
      <c r="AM35" s="128" t="e">
        <f t="shared" si="23"/>
        <v>#DIV/0!</v>
      </c>
      <c r="AN35" s="128" t="e">
        <f t="shared" si="23"/>
        <v>#DIV/0!</v>
      </c>
      <c r="AO35" s="178">
        <f t="shared" si="23"/>
        <v>0.99819097058360862</v>
      </c>
      <c r="AP35" s="128">
        <f t="shared" si="23"/>
        <v>0.99812613276810125</v>
      </c>
      <c r="AQ35" s="217" t="e">
        <f t="shared" si="23"/>
        <v>#DIV/0!</v>
      </c>
      <c r="AR35" s="128" t="e">
        <f t="shared" si="23"/>
        <v>#DIV/0!</v>
      </c>
      <c r="AS35" s="128" t="e">
        <f t="shared" si="23"/>
        <v>#DIV/0!</v>
      </c>
      <c r="AT35" s="128" t="e">
        <f t="shared" si="23"/>
        <v>#DIV/0!</v>
      </c>
      <c r="AU35" s="128" t="e">
        <f t="shared" si="23"/>
        <v>#DIV/0!</v>
      </c>
      <c r="AV35" s="128" t="e">
        <f t="shared" si="23"/>
        <v>#DIV/0!</v>
      </c>
      <c r="AW35" s="128" t="e">
        <f t="shared" si="23"/>
        <v>#DIV/0!</v>
      </c>
      <c r="AX35" s="128" t="e">
        <f t="shared" si="23"/>
        <v>#DIV/0!</v>
      </c>
      <c r="AY35" s="128" t="e">
        <f t="shared" si="23"/>
        <v>#DIV/0!</v>
      </c>
      <c r="AZ35" s="128" t="e">
        <f t="shared" si="23"/>
        <v>#DIV/0!</v>
      </c>
      <c r="BA35" s="128" t="e">
        <f t="shared" si="23"/>
        <v>#DIV/0!</v>
      </c>
      <c r="BB35" s="217">
        <f t="shared" si="23"/>
        <v>0.99812912353073391</v>
      </c>
      <c r="BC35" s="128">
        <f t="shared" si="23"/>
        <v>0.99829448550312683</v>
      </c>
      <c r="BD35" s="128">
        <f t="shared" si="23"/>
        <v>0.99829448550312683</v>
      </c>
      <c r="BE35" s="128" t="e">
        <f t="shared" si="23"/>
        <v>#DIV/0!</v>
      </c>
      <c r="BF35" s="128">
        <f t="shared" si="23"/>
        <v>0.99813934256770731</v>
      </c>
      <c r="BG35" s="128">
        <f t="shared" si="23"/>
        <v>1</v>
      </c>
      <c r="BH35" s="178">
        <f t="shared" si="23"/>
        <v>0.99814377783951613</v>
      </c>
      <c r="BI35" s="128">
        <f t="shared" si="23"/>
        <v>0.99813534979300411</v>
      </c>
      <c r="BJ35" s="128" t="e">
        <f t="shared" si="23"/>
        <v>#DIV/0!</v>
      </c>
      <c r="BK35" s="128">
        <f t="shared" si="23"/>
        <v>0.99813534979300411</v>
      </c>
      <c r="BM35" s="128">
        <f>BM30/BM27</f>
        <v>0.99814377783951613</v>
      </c>
    </row>
    <row r="36" spans="1:65" s="181" customFormat="1" ht="15.75">
      <c r="A36" s="130"/>
      <c r="B36" s="5" t="s">
        <v>327</v>
      </c>
      <c r="C36" s="11">
        <f>C27-C30</f>
        <v>846</v>
      </c>
      <c r="D36" s="11">
        <f t="shared" ref="D36:BK36" si="24">D27-D30</f>
        <v>391</v>
      </c>
      <c r="E36" s="11">
        <f t="shared" si="24"/>
        <v>41</v>
      </c>
      <c r="F36" s="11">
        <f t="shared" si="24"/>
        <v>89</v>
      </c>
      <c r="G36" s="11">
        <f t="shared" si="24"/>
        <v>118</v>
      </c>
      <c r="H36" s="11">
        <f t="shared" si="24"/>
        <v>0</v>
      </c>
      <c r="I36" s="11">
        <f t="shared" si="24"/>
        <v>0</v>
      </c>
      <c r="J36" s="11">
        <f t="shared" si="24"/>
        <v>0</v>
      </c>
      <c r="K36" s="11">
        <f t="shared" si="24"/>
        <v>0</v>
      </c>
      <c r="L36" s="11">
        <f t="shared" si="24"/>
        <v>0</v>
      </c>
      <c r="M36" s="11">
        <f t="shared" si="24"/>
        <v>15</v>
      </c>
      <c r="N36" s="11">
        <f t="shared" si="24"/>
        <v>0</v>
      </c>
      <c r="O36" s="11">
        <f t="shared" si="24"/>
        <v>5</v>
      </c>
      <c r="P36" s="11">
        <f t="shared" si="24"/>
        <v>15</v>
      </c>
      <c r="Q36" s="11">
        <f t="shared" si="24"/>
        <v>0</v>
      </c>
      <c r="R36" s="11">
        <f t="shared" si="24"/>
        <v>3</v>
      </c>
      <c r="S36" s="11">
        <f t="shared" si="24"/>
        <v>0</v>
      </c>
      <c r="T36" s="11">
        <f t="shared" si="24"/>
        <v>0</v>
      </c>
      <c r="U36" s="11">
        <f t="shared" si="24"/>
        <v>0</v>
      </c>
      <c r="V36" s="11">
        <f t="shared" si="24"/>
        <v>0</v>
      </c>
      <c r="W36" s="11">
        <f t="shared" si="24"/>
        <v>0</v>
      </c>
      <c r="X36" s="11">
        <f t="shared" si="24"/>
        <v>0</v>
      </c>
      <c r="Y36" s="11">
        <f t="shared" si="24"/>
        <v>1</v>
      </c>
      <c r="Z36" s="11">
        <f t="shared" si="24"/>
        <v>0</v>
      </c>
      <c r="AA36" s="11">
        <f t="shared" si="24"/>
        <v>0</v>
      </c>
      <c r="AB36" s="11">
        <f t="shared" si="24"/>
        <v>0</v>
      </c>
      <c r="AC36" s="11">
        <f t="shared" si="24"/>
        <v>-143</v>
      </c>
      <c r="AD36" s="11">
        <f t="shared" si="24"/>
        <v>1381</v>
      </c>
      <c r="AE36" s="11">
        <f t="shared" si="24"/>
        <v>0</v>
      </c>
      <c r="AF36" s="11">
        <f t="shared" si="24"/>
        <v>2</v>
      </c>
      <c r="AG36" s="11">
        <f t="shared" si="24"/>
        <v>0</v>
      </c>
      <c r="AH36" s="11">
        <f t="shared" si="24"/>
        <v>0</v>
      </c>
      <c r="AI36" s="11">
        <f t="shared" si="24"/>
        <v>0</v>
      </c>
      <c r="AJ36" s="11">
        <f t="shared" si="24"/>
        <v>0</v>
      </c>
      <c r="AK36" s="11">
        <f t="shared" si="24"/>
        <v>769</v>
      </c>
      <c r="AL36" s="11">
        <f t="shared" si="24"/>
        <v>137</v>
      </c>
      <c r="AM36" s="11">
        <f t="shared" si="24"/>
        <v>0</v>
      </c>
      <c r="AN36" s="11">
        <f t="shared" si="24"/>
        <v>0</v>
      </c>
      <c r="AO36" s="11">
        <f t="shared" si="24"/>
        <v>23</v>
      </c>
      <c r="AP36" s="11">
        <f t="shared" si="24"/>
        <v>-61</v>
      </c>
      <c r="AQ36" s="11">
        <f t="shared" si="24"/>
        <v>0</v>
      </c>
      <c r="AR36" s="11">
        <f t="shared" si="24"/>
        <v>0</v>
      </c>
      <c r="AS36" s="11">
        <f t="shared" si="24"/>
        <v>0</v>
      </c>
      <c r="AT36" s="11">
        <f t="shared" si="24"/>
        <v>0</v>
      </c>
      <c r="AU36" s="11">
        <f t="shared" si="24"/>
        <v>0</v>
      </c>
      <c r="AV36" s="11">
        <f t="shared" si="24"/>
        <v>0</v>
      </c>
      <c r="AW36" s="11">
        <f t="shared" si="24"/>
        <v>0</v>
      </c>
      <c r="AX36" s="11">
        <f t="shared" si="24"/>
        <v>0</v>
      </c>
      <c r="AY36" s="11">
        <f t="shared" si="24"/>
        <v>0</v>
      </c>
      <c r="AZ36" s="11">
        <f t="shared" si="24"/>
        <v>0</v>
      </c>
      <c r="BA36" s="11">
        <f t="shared" si="24"/>
        <v>0</v>
      </c>
      <c r="BB36" s="11">
        <f t="shared" si="24"/>
        <v>-283</v>
      </c>
      <c r="BC36" s="11">
        <f t="shared" si="24"/>
        <v>6</v>
      </c>
      <c r="BD36" s="11">
        <f t="shared" si="24"/>
        <v>6</v>
      </c>
      <c r="BE36" s="11">
        <f t="shared" si="24"/>
        <v>0</v>
      </c>
      <c r="BF36" s="11">
        <f t="shared" si="24"/>
        <v>9</v>
      </c>
      <c r="BG36" s="11">
        <f t="shared" si="24"/>
        <v>0</v>
      </c>
      <c r="BH36" s="11">
        <f t="shared" si="24"/>
        <v>608</v>
      </c>
      <c r="BI36" s="11">
        <f t="shared" si="24"/>
        <v>1989</v>
      </c>
      <c r="BJ36" s="11">
        <f t="shared" si="24"/>
        <v>0</v>
      </c>
      <c r="BK36" s="11">
        <f t="shared" si="24"/>
        <v>1989</v>
      </c>
      <c r="BL36" s="11">
        <f>BL30-BL27</f>
        <v>1064701</v>
      </c>
      <c r="BM36" s="11">
        <f>BM30-BM27</f>
        <v>-608</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44"/>
      <c r="BJ37" s="5"/>
      <c r="BK37" s="50"/>
    </row>
    <row r="38" spans="1:65" s="179" customFormat="1" ht="15.75">
      <c r="A38" s="264" t="s">
        <v>130</v>
      </c>
      <c r="B38" s="9" t="s">
        <v>326</v>
      </c>
      <c r="C38" s="225">
        <v>1062226</v>
      </c>
      <c r="D38" s="225">
        <v>490155</v>
      </c>
      <c r="E38" s="225">
        <v>48724</v>
      </c>
      <c r="F38" s="225">
        <v>129327</v>
      </c>
      <c r="G38" s="225">
        <v>96115</v>
      </c>
      <c r="H38" s="225">
        <v>0</v>
      </c>
      <c r="I38" s="225">
        <v>0</v>
      </c>
      <c r="J38" s="225">
        <v>0</v>
      </c>
      <c r="K38" s="225">
        <v>380</v>
      </c>
      <c r="L38" s="225">
        <v>39865</v>
      </c>
      <c r="M38" s="225">
        <v>25350</v>
      </c>
      <c r="N38" s="225">
        <v>63</v>
      </c>
      <c r="O38" s="225">
        <v>2137</v>
      </c>
      <c r="P38" s="225">
        <v>33267</v>
      </c>
      <c r="Q38" s="225">
        <v>0</v>
      </c>
      <c r="R38" s="225">
        <v>2770</v>
      </c>
      <c r="S38" s="225">
        <v>0</v>
      </c>
      <c r="T38" s="225">
        <v>0</v>
      </c>
      <c r="U38" s="225">
        <v>0</v>
      </c>
      <c r="V38" s="225">
        <v>105320</v>
      </c>
      <c r="W38" s="225">
        <v>0</v>
      </c>
      <c r="X38" s="225">
        <v>0</v>
      </c>
      <c r="Y38" s="225">
        <v>2753</v>
      </c>
      <c r="Z38" s="225">
        <v>764</v>
      </c>
      <c r="AA38" s="225">
        <v>745</v>
      </c>
      <c r="AB38" s="225">
        <v>0</v>
      </c>
      <c r="AC38" s="225">
        <v>288357</v>
      </c>
      <c r="AD38" s="226">
        <f>SUM(C38:AC38)</f>
        <v>2328318</v>
      </c>
      <c r="AE38" s="225">
        <v>0</v>
      </c>
      <c r="AF38" s="225">
        <v>120</v>
      </c>
      <c r="AG38" s="225">
        <v>0</v>
      </c>
      <c r="AH38" s="225">
        <v>0</v>
      </c>
      <c r="AI38" s="225">
        <v>0</v>
      </c>
      <c r="AJ38" s="225">
        <v>0</v>
      </c>
      <c r="AK38" s="225">
        <v>280968</v>
      </c>
      <c r="AL38" s="225">
        <v>49825</v>
      </c>
      <c r="AM38" s="225">
        <v>0</v>
      </c>
      <c r="AN38" s="225">
        <v>0</v>
      </c>
      <c r="AO38" s="225">
        <v>58379</v>
      </c>
      <c r="AP38" s="225">
        <v>-699492</v>
      </c>
      <c r="AQ38" s="225">
        <v>141655</v>
      </c>
      <c r="AR38" s="225">
        <v>0</v>
      </c>
      <c r="AS38" s="225">
        <v>0</v>
      </c>
      <c r="AT38" s="225">
        <v>0</v>
      </c>
      <c r="AU38" s="225">
        <v>0</v>
      </c>
      <c r="AV38" s="225">
        <v>0</v>
      </c>
      <c r="AW38" s="225">
        <v>0</v>
      </c>
      <c r="AX38" s="225">
        <v>0</v>
      </c>
      <c r="AY38" s="225">
        <v>0</v>
      </c>
      <c r="AZ38" s="225">
        <v>0</v>
      </c>
      <c r="BA38" s="225">
        <v>0</v>
      </c>
      <c r="BB38" s="225">
        <v>307251</v>
      </c>
      <c r="BC38" s="225">
        <v>1500</v>
      </c>
      <c r="BD38" s="225">
        <v>1500</v>
      </c>
      <c r="BE38" s="225">
        <v>0</v>
      </c>
      <c r="BF38" s="225">
        <v>12223</v>
      </c>
      <c r="BG38" s="225">
        <v>10</v>
      </c>
      <c r="BH38" s="229">
        <f>SUM(AE38:BG38)</f>
        <v>153939</v>
      </c>
      <c r="BI38" s="125">
        <f>AD38+BH38</f>
        <v>2482257</v>
      </c>
      <c r="BJ38" s="230">
        <v>1860</v>
      </c>
      <c r="BK38" s="226">
        <f>BI38-BJ38</f>
        <v>2480397</v>
      </c>
      <c r="BM38" s="228">
        <f>BK38-AD38</f>
        <v>152079</v>
      </c>
    </row>
    <row r="39" spans="1:65" s="41" customFormat="1" ht="15.75">
      <c r="A39" s="136"/>
      <c r="B39" s="234" t="s">
        <v>321</v>
      </c>
      <c r="C39" s="342">
        <v>1062226</v>
      </c>
      <c r="D39" s="342">
        <v>490155</v>
      </c>
      <c r="E39" s="342">
        <v>48724</v>
      </c>
      <c r="F39" s="342">
        <v>129327</v>
      </c>
      <c r="G39" s="342">
        <v>96115</v>
      </c>
      <c r="H39" s="342">
        <v>0</v>
      </c>
      <c r="I39" s="342">
        <v>0</v>
      </c>
      <c r="J39" s="342">
        <v>0</v>
      </c>
      <c r="K39" s="342">
        <v>380</v>
      </c>
      <c r="L39" s="342">
        <v>39865</v>
      </c>
      <c r="M39" s="342">
        <v>25350</v>
      </c>
      <c r="N39" s="342">
        <v>63</v>
      </c>
      <c r="O39" s="342">
        <v>2137</v>
      </c>
      <c r="P39" s="342">
        <v>33267</v>
      </c>
      <c r="Q39" s="342">
        <v>0</v>
      </c>
      <c r="R39" s="342">
        <v>2770</v>
      </c>
      <c r="S39" s="342">
        <v>0</v>
      </c>
      <c r="T39" s="342">
        <v>0</v>
      </c>
      <c r="U39" s="342">
        <v>0</v>
      </c>
      <c r="V39" s="342">
        <v>105320</v>
      </c>
      <c r="W39" s="342">
        <v>0</v>
      </c>
      <c r="X39" s="342">
        <v>0</v>
      </c>
      <c r="Y39" s="342">
        <v>2753</v>
      </c>
      <c r="Z39" s="342">
        <v>764</v>
      </c>
      <c r="AA39" s="342">
        <v>745</v>
      </c>
      <c r="AB39" s="342">
        <v>0</v>
      </c>
      <c r="AC39" s="342">
        <v>288357</v>
      </c>
      <c r="AD39" s="123">
        <f>SUM(C39:AC39)</f>
        <v>2328318</v>
      </c>
      <c r="AE39" s="342">
        <v>0</v>
      </c>
      <c r="AF39" s="342">
        <v>120</v>
      </c>
      <c r="AG39" s="342">
        <v>0</v>
      </c>
      <c r="AH39" s="342">
        <v>0</v>
      </c>
      <c r="AI39" s="342">
        <v>0</v>
      </c>
      <c r="AJ39" s="342">
        <v>0</v>
      </c>
      <c r="AK39" s="342">
        <v>280968</v>
      </c>
      <c r="AL39" s="342">
        <v>49825</v>
      </c>
      <c r="AM39" s="342">
        <v>0</v>
      </c>
      <c r="AN39" s="342">
        <v>0</v>
      </c>
      <c r="AO39" s="342">
        <v>58379</v>
      </c>
      <c r="AP39" s="342">
        <v>-699492</v>
      </c>
      <c r="AQ39" s="342">
        <v>141655</v>
      </c>
      <c r="AR39" s="342">
        <v>0</v>
      </c>
      <c r="AS39" s="342">
        <v>0</v>
      </c>
      <c r="AT39" s="342">
        <v>0</v>
      </c>
      <c r="AU39" s="342">
        <v>0</v>
      </c>
      <c r="AV39" s="342">
        <v>0</v>
      </c>
      <c r="AW39" s="342">
        <v>0</v>
      </c>
      <c r="AX39" s="342">
        <v>0</v>
      </c>
      <c r="AY39" s="342">
        <v>0</v>
      </c>
      <c r="AZ39" s="342">
        <v>0</v>
      </c>
      <c r="BA39" s="342">
        <v>0</v>
      </c>
      <c r="BB39" s="342">
        <v>307251</v>
      </c>
      <c r="BC39" s="342">
        <v>1500</v>
      </c>
      <c r="BD39" s="342">
        <v>1500</v>
      </c>
      <c r="BE39" s="342">
        <v>0</v>
      </c>
      <c r="BF39" s="342">
        <v>12223</v>
      </c>
      <c r="BG39" s="342">
        <v>10</v>
      </c>
      <c r="BH39" s="124">
        <f>SUM(AE39:BG39)</f>
        <v>153939</v>
      </c>
      <c r="BI39" s="220">
        <f>AD39+BH39</f>
        <v>2482257</v>
      </c>
      <c r="BJ39" s="343">
        <v>1860</v>
      </c>
      <c r="BK39" s="123">
        <f>BI39-BJ39</f>
        <v>2480397</v>
      </c>
      <c r="BL39" s="41">
        <f>'[1]Upto Month Current'!$E$61</f>
        <v>435800</v>
      </c>
      <c r="BM39" s="218">
        <f>BK39-AD39</f>
        <v>152079</v>
      </c>
    </row>
    <row r="40" spans="1:65" ht="15.75">
      <c r="A40" s="130"/>
      <c r="B40" s="12" t="s">
        <v>322</v>
      </c>
      <c r="C40" s="9">
        <f>IF('Upto Month COPPY'!$E$4="",0,'Upto Month COPPY'!$E$4)</f>
        <v>1046274</v>
      </c>
      <c r="D40" s="9">
        <f>IF('Upto Month COPPY'!$E$5="",0,'Upto Month COPPY'!$E$5)</f>
        <v>394567</v>
      </c>
      <c r="E40" s="9">
        <f>IF('Upto Month COPPY'!$E$6="",0,'Upto Month COPPY'!$E$6)</f>
        <v>47784</v>
      </c>
      <c r="F40" s="9">
        <f>IF('Upto Month COPPY'!$E$7="",0,'Upto Month COPPY'!$E$7)</f>
        <v>125360</v>
      </c>
      <c r="G40" s="9">
        <f>IF('Upto Month COPPY'!$E$8="",0,'Upto Month COPPY'!$E$8)</f>
        <v>89003</v>
      </c>
      <c r="H40" s="9">
        <f>IF('Upto Month COPPY'!$E$9="",0,'Upto Month COPPY'!$E$9)</f>
        <v>0</v>
      </c>
      <c r="I40" s="9">
        <f>IF('Upto Month COPPY'!$E$10="",0,'Upto Month COPPY'!$E$10)</f>
        <v>0</v>
      </c>
      <c r="J40" s="9">
        <f>IF('Upto Month COPPY'!$E$11="",0,'Upto Month COPPY'!$E$11)</f>
        <v>0</v>
      </c>
      <c r="K40" s="9">
        <f>IF('Upto Month COPPY'!$E$12="",0,'Upto Month COPPY'!$E$12)</f>
        <v>2502</v>
      </c>
      <c r="L40" s="9">
        <f>IF('Upto Month COPPY'!$E$13="",0,'Upto Month COPPY'!$E$13)</f>
        <v>28375</v>
      </c>
      <c r="M40" s="9">
        <f>IF('Upto Month COPPY'!$E$14="",0,'Upto Month COPPY'!$E$14)</f>
        <v>23038</v>
      </c>
      <c r="N40" s="9">
        <f>IF('Upto Month COPPY'!$E$15="",0,'Upto Month COPPY'!$E$15)</f>
        <v>0</v>
      </c>
      <c r="O40" s="9">
        <f>IF('Upto Month COPPY'!$E$16="",0,'Upto Month COPPY'!$E$16)</f>
        <v>1784</v>
      </c>
      <c r="P40" s="9">
        <f>IF('Upto Month COPPY'!$E$17="",0,'Upto Month COPPY'!$E$17)</f>
        <v>25350</v>
      </c>
      <c r="Q40" s="9">
        <f>IF('Upto Month COPPY'!$E$18="",0,'Upto Month COPPY'!$E$18)</f>
        <v>0</v>
      </c>
      <c r="R40" s="9">
        <f>IF('Upto Month COPPY'!$E$21="",0,'Upto Month COPPY'!$E$21)</f>
        <v>1890</v>
      </c>
      <c r="S40" s="9">
        <f>IF('Upto Month COPPY'!$E$26="",0,'Upto Month COPPY'!$E$26)</f>
        <v>0</v>
      </c>
      <c r="T40" s="9">
        <f>IF('Upto Month COPPY'!$E$27="",0,'Upto Month COPPY'!$E$27)</f>
        <v>0</v>
      </c>
      <c r="U40" s="9">
        <f>IF('Upto Month COPPY'!$E$30="",0,'Upto Month COPPY'!$E$30)</f>
        <v>0</v>
      </c>
      <c r="V40" s="9">
        <f>IF('Upto Month COPPY'!$E$35="",0,'Upto Month COPPY'!$E$35)</f>
        <v>111842</v>
      </c>
      <c r="W40" s="9">
        <f>IF('Upto Month COPPY'!$E$39="",0,'Upto Month COPPY'!$E$39)</f>
        <v>0</v>
      </c>
      <c r="X40" s="9">
        <f>IF('Upto Month COPPY'!$E$40="",0,'Upto Month COPPY'!$E$40)</f>
        <v>0</v>
      </c>
      <c r="Y40" s="9">
        <f>IF('Upto Month COPPY'!$E$42="",0,'Upto Month COPPY'!$E$42)</f>
        <v>4399</v>
      </c>
      <c r="Z40" s="9">
        <f>IF('Upto Month COPPY'!$E$43="",0,'Upto Month COPPY'!$E$43)</f>
        <v>1676</v>
      </c>
      <c r="AA40" s="9">
        <f>IF('Upto Month COPPY'!$E$44="",0,'Upto Month COPPY'!$E$44)</f>
        <v>1139</v>
      </c>
      <c r="AB40" s="9">
        <f>IF('Upto Month COPPY'!$E$48="",0,'Upto Month COPPY'!$E$48)</f>
        <v>0</v>
      </c>
      <c r="AC40" s="10">
        <f>IF('Upto Month COPPY'!$E$51="",0,'Upto Month COPPY'!$E$51)</f>
        <v>348149</v>
      </c>
      <c r="AD40" s="123">
        <f>SUM(C40:AC40)</f>
        <v>2253132</v>
      </c>
      <c r="AE40" s="9">
        <f>IF('Upto Month COPPY'!$E$19="",0,'Upto Month COPPY'!$E$19)</f>
        <v>0</v>
      </c>
      <c r="AF40" s="9">
        <f>IF('Upto Month COPPY'!$E$20="",0,'Upto Month COPPY'!$E$20)</f>
        <v>821</v>
      </c>
      <c r="AG40" s="9">
        <f>IF('Upto Month COPPY'!$E$22="",0,'Upto Month COPPY'!$E$22)</f>
        <v>2</v>
      </c>
      <c r="AH40" s="9">
        <f>IF('Upto Month COPPY'!$E$23="",0,'Upto Month COPPY'!$E$23)</f>
        <v>0</v>
      </c>
      <c r="AI40" s="9">
        <f>IF('Upto Month COPPY'!$E$24="",0,'Upto Month COPPY'!$E$24)</f>
        <v>0</v>
      </c>
      <c r="AJ40" s="9">
        <f>IF('Upto Month COPPY'!$E$25="",0,'Upto Month COPPY'!$E$25)</f>
        <v>0</v>
      </c>
      <c r="AK40" s="9">
        <f>IF('Upto Month COPPY'!$E$28="",0,'Upto Month COPPY'!$E$28)</f>
        <v>237020</v>
      </c>
      <c r="AL40" s="9">
        <f>IF('Upto Month COPPY'!$E$29="",0,'Upto Month COPPY'!$E$29)</f>
        <v>20666</v>
      </c>
      <c r="AM40" s="9">
        <f>IF('Upto Month COPPY'!$E$31="",0,'Upto Month COPPY'!$E$31)</f>
        <v>0</v>
      </c>
      <c r="AN40" s="9">
        <f>IF('Upto Month COPPY'!$E$32="",0,'Upto Month COPPY'!$E$32)</f>
        <v>0</v>
      </c>
      <c r="AO40" s="9">
        <f>IF('Upto Month COPPY'!$E$33="",0,'Upto Month COPPY'!$E$33)</f>
        <v>45667</v>
      </c>
      <c r="AP40" s="9">
        <f>IF('Upto Month COPPY'!$E$34="",0,'Upto Month COPPY'!$E$34)</f>
        <v>-685377</v>
      </c>
      <c r="AQ40" s="10">
        <f>IF('Upto Month COPPY'!$E$36="",0,'Upto Month COPPY'!$E$36)</f>
        <v>223623</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10">
        <f>IF('Upto Month COPPY'!$E$52="",0,'Upto Month COPPY'!$E$52)</f>
        <v>324989</v>
      </c>
      <c r="BC40" s="9">
        <f>IF('Upto Month COPPY'!$E$53="",0,'Upto Month COPPY'!$E$53)</f>
        <v>1062</v>
      </c>
      <c r="BD40" s="9">
        <f>IF('Upto Month COPPY'!$E$54="",0,'Upto Month COPPY'!$E$54)</f>
        <v>1062</v>
      </c>
      <c r="BE40" s="9">
        <f>IF('Upto Month COPPY'!$E$55="",0,'Upto Month COPPY'!$E$55)</f>
        <v>0</v>
      </c>
      <c r="BF40" s="9">
        <f>IF('Upto Month COPPY'!$E$56="",0,'Upto Month COPPY'!$E$56)</f>
        <v>8967</v>
      </c>
      <c r="BG40" s="9">
        <f>IF('Upto Month COPPY'!$E$58="",0,'Upto Month COPPY'!$E$58)</f>
        <v>0</v>
      </c>
      <c r="BH40" s="9">
        <f>SUM(AE40:BG40)</f>
        <v>178502</v>
      </c>
      <c r="BI40" s="127">
        <f>AD40+BH40</f>
        <v>2431634</v>
      </c>
      <c r="BJ40" s="9">
        <f>IF('Upto Month COPPY'!$E$60="",0,'Upto Month COPPY'!$E$60)</f>
        <v>3035</v>
      </c>
      <c r="BK40" s="9">
        <f>BI40-BJ40</f>
        <v>2428599</v>
      </c>
      <c r="BL40">
        <f>'Upto Month COPPY'!$E$61</f>
        <v>2428598</v>
      </c>
      <c r="BM40" s="30">
        <f>BK40-AD40</f>
        <v>175467</v>
      </c>
    </row>
    <row r="41" spans="1:65" ht="16.5" customHeight="1">
      <c r="A41" s="130"/>
      <c r="B41" s="183" t="s">
        <v>323</v>
      </c>
      <c r="C41" s="9">
        <f>IF('Upto Month Current'!$E$4="",0,'Upto Month Current'!$E$4)</f>
        <v>1060258</v>
      </c>
      <c r="D41" s="9">
        <f>IF('Upto Month Current'!$E$5="",0,'Upto Month Current'!$E$5)</f>
        <v>489246</v>
      </c>
      <c r="E41" s="9">
        <f>IF('Upto Month Current'!$E$6="",0,'Upto Month Current'!$E$6)</f>
        <v>48632</v>
      </c>
      <c r="F41" s="9">
        <f>IF('Upto Month Current'!$E$7="",0,'Upto Month Current'!$E$7)</f>
        <v>129086</v>
      </c>
      <c r="G41" s="9">
        <f>IF('Upto Month Current'!$E$8="",0,'Upto Month Current'!$E$8)</f>
        <v>95936</v>
      </c>
      <c r="H41" s="9">
        <f>IF('Upto Month Current'!$E$9="",0,'Upto Month Current'!$E$9)</f>
        <v>0</v>
      </c>
      <c r="I41" s="9">
        <f>IF('Upto Month Current'!$E$10="",0,'Upto Month Current'!$E$10)</f>
        <v>0</v>
      </c>
      <c r="J41" s="9">
        <f>IF('Upto Month Current'!$E$11="",0,'Upto Month Current'!$E$11)</f>
        <v>0</v>
      </c>
      <c r="K41" s="9">
        <f>IF('Upto Month Current'!$E$12="",0,'Upto Month Current'!$E$12)</f>
        <v>380</v>
      </c>
      <c r="L41" s="9">
        <f>IF('Upto Month Current'!$E$13="",0,'Upto Month Current'!$E$13)</f>
        <v>39790</v>
      </c>
      <c r="M41" s="9">
        <f>IF('Upto Month Current'!$E$14="",0,'Upto Month Current'!$E$14)</f>
        <v>25302</v>
      </c>
      <c r="N41" s="9">
        <f>IF('Upto Month Current'!$E$15="",0,'Upto Month Current'!$E$15)</f>
        <v>63</v>
      </c>
      <c r="O41" s="9">
        <f>IF('Upto Month Current'!$E$16="",0,'Upto Month Current'!$E$16)</f>
        <v>2131</v>
      </c>
      <c r="P41" s="9">
        <f>IF('Upto Month Current'!$E$17="",0,'Upto Month Current'!$E$17)</f>
        <v>33202</v>
      </c>
      <c r="Q41" s="9">
        <f>IF('Upto Month Current'!$E$18="",0,'Upto Month Current'!$E$18)</f>
        <v>0</v>
      </c>
      <c r="R41" s="9">
        <f>IF('Upto Month Current'!$E$21="",0,'Upto Month Current'!$E$21)</f>
        <v>2763</v>
      </c>
      <c r="S41" s="9">
        <f>IF('Upto Month Current'!$E$26="",0,'Upto Month Current'!$E$26)</f>
        <v>0</v>
      </c>
      <c r="T41" s="9">
        <f>IF('Upto Month Current'!$E$27="",0,'Upto Month Current'!$E$27)</f>
        <v>0</v>
      </c>
      <c r="U41" s="9">
        <f>IF('Upto Month Current'!$E$30="",0,'Upto Month Current'!$E$30)</f>
        <v>0</v>
      </c>
      <c r="V41" s="9">
        <f>IF('Upto Month Current'!$E$35="",0,'Upto Month Current'!$E$35)</f>
        <v>100878</v>
      </c>
      <c r="W41" s="9">
        <f>IF('Upto Month Current'!$E$39="",0,'Upto Month Current'!$E$39)</f>
        <v>0</v>
      </c>
      <c r="X41" s="9">
        <f>IF('Upto Month Current'!$E$40="",0,'Upto Month Current'!$E$40)</f>
        <v>0</v>
      </c>
      <c r="Y41" s="9">
        <f>IF('Upto Month Current'!$E$42="",0,'Upto Month Current'!$E$42)</f>
        <v>2748</v>
      </c>
      <c r="Z41" s="9">
        <f>IF('Upto Month Current'!$E$43="",0,'Upto Month Current'!$E$43)</f>
        <v>763</v>
      </c>
      <c r="AA41" s="9">
        <f>IF('Upto Month Current'!$E$44="",0,'Upto Month Current'!$E$44)</f>
        <v>744</v>
      </c>
      <c r="AB41" s="9">
        <f>IF('Upto Month Current'!$E$48="",0,'Upto Month Current'!$E$48)</f>
        <v>0</v>
      </c>
      <c r="AC41" s="10">
        <f>IF('Upto Month Current'!$E$51="",0,'Upto Month Current'!$E$51)</f>
        <v>287824</v>
      </c>
      <c r="AD41" s="123">
        <f>SUM(C41:AC41)</f>
        <v>2319746</v>
      </c>
      <c r="AE41" s="9">
        <f>IF('Upto Month Current'!$E$19="",0,'Upto Month Current'!$E$19)</f>
        <v>0</v>
      </c>
      <c r="AF41" s="9">
        <f>IF('Upto Month Current'!$E$20="",0,'Upto Month Current'!$E$20)</f>
        <v>119</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280447</v>
      </c>
      <c r="AL41" s="9">
        <f>IF('Upto Month Current'!$E$29="",0,'Upto Month Current'!$E$29)</f>
        <v>49729</v>
      </c>
      <c r="AM41" s="9">
        <f>IF('Upto Month Current'!$E$31="",0,'Upto Month Current'!$E$31)</f>
        <v>0</v>
      </c>
      <c r="AN41" s="9">
        <f>IF('Upto Month Current'!$E$32="",0,'Upto Month Current'!$E$32)</f>
        <v>0</v>
      </c>
      <c r="AO41" s="9">
        <f>IF('Upto Month Current'!$E$33="",0,'Upto Month Current'!$E$33)</f>
        <v>58270</v>
      </c>
      <c r="AP41" s="9">
        <f>IF('Upto Month Current'!$E$34="",0,'Upto Month Current'!$E$34)</f>
        <v>-698195</v>
      </c>
      <c r="AQ41" s="10">
        <f>IF('Upto Month Current'!$E$36="",0,'Upto Month Current'!$E$36)</f>
        <v>145640</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10">
        <f>IF('Upto Month Current'!$E$52="",0,'Upto Month Current'!$E$52)</f>
        <v>306681</v>
      </c>
      <c r="BC41" s="9">
        <f>IF('Upto Month Current'!$E$53="",0,'Upto Month Current'!$E$53)</f>
        <v>1496</v>
      </c>
      <c r="BD41" s="9">
        <f>IF('Upto Month Current'!$E$54="",0,'Upto Month Current'!$E$54)</f>
        <v>1496</v>
      </c>
      <c r="BE41" s="9">
        <f>IF('Upto Month Current'!$E$55="",0,'Upto Month Current'!$E$55)</f>
        <v>0</v>
      </c>
      <c r="BF41" s="9">
        <f>IF('Upto Month Current'!$E$56="",0,'Upto Month Current'!$E$56)</f>
        <v>12199</v>
      </c>
      <c r="BG41" s="9">
        <f>IF('Upto Month Current'!$E$58="",0,'Upto Month Current'!$E$58)</f>
        <v>10</v>
      </c>
      <c r="BH41" s="9">
        <f>SUM(AE41:BG41)</f>
        <v>157892</v>
      </c>
      <c r="BI41" s="127">
        <f>AD41+BH41</f>
        <v>2477638</v>
      </c>
      <c r="BJ41" s="9">
        <f>IF('Upto Month Current'!$E$60="",0,'Upto Month Current'!$E$60)</f>
        <v>1859</v>
      </c>
      <c r="BK41" s="51">
        <f>BI41-BJ41</f>
        <v>2475779</v>
      </c>
      <c r="BL41">
        <f>'Upto Month Current'!$E$61</f>
        <v>2475778</v>
      </c>
      <c r="BM41" s="30">
        <f>BK41-AD41</f>
        <v>156033</v>
      </c>
    </row>
    <row r="42" spans="1:65" ht="15.75">
      <c r="A42" s="130"/>
      <c r="B42" s="5" t="s">
        <v>124</v>
      </c>
      <c r="C42" s="11">
        <f t="shared" ref="C42:AH42" si="25">C41-C39</f>
        <v>-1968</v>
      </c>
      <c r="D42" s="11">
        <f t="shared" si="25"/>
        <v>-909</v>
      </c>
      <c r="E42" s="11">
        <f t="shared" si="25"/>
        <v>-92</v>
      </c>
      <c r="F42" s="11">
        <f t="shared" si="25"/>
        <v>-241</v>
      </c>
      <c r="G42" s="11">
        <f t="shared" si="25"/>
        <v>-179</v>
      </c>
      <c r="H42" s="11">
        <f t="shared" si="25"/>
        <v>0</v>
      </c>
      <c r="I42" s="11">
        <f t="shared" si="25"/>
        <v>0</v>
      </c>
      <c r="J42" s="11">
        <f t="shared" si="25"/>
        <v>0</v>
      </c>
      <c r="K42" s="11">
        <f t="shared" si="25"/>
        <v>0</v>
      </c>
      <c r="L42" s="11">
        <f t="shared" si="25"/>
        <v>-75</v>
      </c>
      <c r="M42" s="11">
        <f t="shared" si="25"/>
        <v>-48</v>
      </c>
      <c r="N42" s="11">
        <f t="shared" si="25"/>
        <v>0</v>
      </c>
      <c r="O42" s="11">
        <f t="shared" si="25"/>
        <v>-6</v>
      </c>
      <c r="P42" s="11">
        <f t="shared" si="25"/>
        <v>-65</v>
      </c>
      <c r="Q42" s="11">
        <f t="shared" si="25"/>
        <v>0</v>
      </c>
      <c r="R42" s="11">
        <f t="shared" si="25"/>
        <v>-7</v>
      </c>
      <c r="S42" s="11">
        <f t="shared" si="25"/>
        <v>0</v>
      </c>
      <c r="T42" s="11">
        <f t="shared" si="25"/>
        <v>0</v>
      </c>
      <c r="U42" s="11">
        <f t="shared" si="25"/>
        <v>0</v>
      </c>
      <c r="V42" s="9">
        <f t="shared" si="25"/>
        <v>-4442</v>
      </c>
      <c r="W42" s="11">
        <f t="shared" si="25"/>
        <v>0</v>
      </c>
      <c r="X42" s="11">
        <f t="shared" si="25"/>
        <v>0</v>
      </c>
      <c r="Y42" s="11">
        <f t="shared" si="25"/>
        <v>-5</v>
      </c>
      <c r="Z42" s="11">
        <f t="shared" si="25"/>
        <v>-1</v>
      </c>
      <c r="AA42" s="11">
        <f t="shared" si="25"/>
        <v>-1</v>
      </c>
      <c r="AB42" s="11">
        <f t="shared" si="25"/>
        <v>0</v>
      </c>
      <c r="AC42" s="10">
        <f t="shared" si="25"/>
        <v>-533</v>
      </c>
      <c r="AD42" s="11">
        <f t="shared" si="25"/>
        <v>-8572</v>
      </c>
      <c r="AE42" s="11">
        <f t="shared" si="25"/>
        <v>0</v>
      </c>
      <c r="AF42" s="11">
        <f t="shared" si="25"/>
        <v>-1</v>
      </c>
      <c r="AG42" s="11">
        <f t="shared" si="25"/>
        <v>0</v>
      </c>
      <c r="AH42" s="11">
        <f t="shared" si="25"/>
        <v>0</v>
      </c>
      <c r="AI42" s="11">
        <f t="shared" ref="AI42:BK42" si="26">AI41-AI39</f>
        <v>0</v>
      </c>
      <c r="AJ42" s="11">
        <f t="shared" si="26"/>
        <v>0</v>
      </c>
      <c r="AK42" s="11">
        <f t="shared" si="26"/>
        <v>-521</v>
      </c>
      <c r="AL42" s="11">
        <f t="shared" si="26"/>
        <v>-96</v>
      </c>
      <c r="AM42" s="11">
        <f t="shared" si="26"/>
        <v>0</v>
      </c>
      <c r="AN42" s="11">
        <f t="shared" si="26"/>
        <v>0</v>
      </c>
      <c r="AO42" s="9">
        <f t="shared" si="26"/>
        <v>-109</v>
      </c>
      <c r="AP42" s="11">
        <f t="shared" si="26"/>
        <v>1297</v>
      </c>
      <c r="AQ42" s="10">
        <f t="shared" si="26"/>
        <v>3985</v>
      </c>
      <c r="AR42" s="11">
        <f t="shared" si="26"/>
        <v>0</v>
      </c>
      <c r="AS42" s="11">
        <f t="shared" si="26"/>
        <v>0</v>
      </c>
      <c r="AT42" s="11">
        <f t="shared" si="26"/>
        <v>0</v>
      </c>
      <c r="AU42" s="11">
        <f t="shared" si="26"/>
        <v>0</v>
      </c>
      <c r="AV42" s="11">
        <f t="shared" si="26"/>
        <v>0</v>
      </c>
      <c r="AW42" s="11">
        <f t="shared" si="26"/>
        <v>0</v>
      </c>
      <c r="AX42" s="11">
        <f t="shared" si="26"/>
        <v>0</v>
      </c>
      <c r="AY42" s="11">
        <f t="shared" si="26"/>
        <v>0</v>
      </c>
      <c r="AZ42" s="11">
        <f t="shared" si="26"/>
        <v>0</v>
      </c>
      <c r="BA42" s="11">
        <f t="shared" si="26"/>
        <v>0</v>
      </c>
      <c r="BB42" s="10">
        <f t="shared" si="26"/>
        <v>-570</v>
      </c>
      <c r="BC42" s="11">
        <f t="shared" si="26"/>
        <v>-4</v>
      </c>
      <c r="BD42" s="11">
        <f t="shared" si="26"/>
        <v>-4</v>
      </c>
      <c r="BE42" s="11">
        <f t="shared" si="26"/>
        <v>0</v>
      </c>
      <c r="BF42" s="11">
        <f t="shared" si="26"/>
        <v>-24</v>
      </c>
      <c r="BG42" s="11">
        <f t="shared" si="26"/>
        <v>0</v>
      </c>
      <c r="BH42" s="9">
        <f t="shared" si="26"/>
        <v>3953</v>
      </c>
      <c r="BI42" s="45">
        <f t="shared" si="26"/>
        <v>-4619</v>
      </c>
      <c r="BJ42" s="11">
        <f t="shared" si="26"/>
        <v>-1</v>
      </c>
      <c r="BK42" s="51">
        <f t="shared" si="26"/>
        <v>-4618</v>
      </c>
      <c r="BM42" s="30">
        <f>BK42-AD42</f>
        <v>3954</v>
      </c>
    </row>
    <row r="43" spans="1:65" ht="15.75">
      <c r="A43" s="130"/>
      <c r="B43" s="5" t="s">
        <v>125</v>
      </c>
      <c r="C43" s="13">
        <f t="shared" ref="C43:AH43" si="27">C42/C39</f>
        <v>-1.8527130761250431E-3</v>
      </c>
      <c r="D43" s="13">
        <f t="shared" si="27"/>
        <v>-1.8545154083912231E-3</v>
      </c>
      <c r="E43" s="13">
        <f t="shared" si="27"/>
        <v>-1.8881865199901486E-3</v>
      </c>
      <c r="F43" s="13">
        <f t="shared" si="27"/>
        <v>-1.8634933153943106E-3</v>
      </c>
      <c r="G43" s="13">
        <f t="shared" si="27"/>
        <v>-1.8623523903657077E-3</v>
      </c>
      <c r="H43" s="13" t="e">
        <f t="shared" si="27"/>
        <v>#DIV/0!</v>
      </c>
      <c r="I43" s="13" t="e">
        <f t="shared" si="27"/>
        <v>#DIV/0!</v>
      </c>
      <c r="J43" s="13" t="e">
        <f t="shared" si="27"/>
        <v>#DIV/0!</v>
      </c>
      <c r="K43" s="13">
        <f t="shared" si="27"/>
        <v>0</v>
      </c>
      <c r="L43" s="13">
        <f t="shared" si="27"/>
        <v>-1.881349554747272E-3</v>
      </c>
      <c r="M43" s="13">
        <f t="shared" si="27"/>
        <v>-1.893491124260355E-3</v>
      </c>
      <c r="N43" s="13">
        <f t="shared" si="27"/>
        <v>0</v>
      </c>
      <c r="O43" s="13">
        <f t="shared" si="27"/>
        <v>-2.8076743097800653E-3</v>
      </c>
      <c r="P43" s="13">
        <f t="shared" si="27"/>
        <v>-1.9538882375928096E-3</v>
      </c>
      <c r="Q43" s="13" t="e">
        <f t="shared" si="27"/>
        <v>#DIV/0!</v>
      </c>
      <c r="R43" s="13">
        <f t="shared" si="27"/>
        <v>-2.5270758122743681E-3</v>
      </c>
      <c r="S43" s="13" t="e">
        <f t="shared" si="27"/>
        <v>#DIV/0!</v>
      </c>
      <c r="T43" s="13" t="e">
        <f t="shared" si="27"/>
        <v>#DIV/0!</v>
      </c>
      <c r="U43" s="13" t="e">
        <f t="shared" si="27"/>
        <v>#DIV/0!</v>
      </c>
      <c r="V43" s="163">
        <f t="shared" si="27"/>
        <v>-4.2176224838587163E-2</v>
      </c>
      <c r="W43" s="13" t="e">
        <f t="shared" si="27"/>
        <v>#DIV/0!</v>
      </c>
      <c r="X43" s="13" t="e">
        <f t="shared" si="27"/>
        <v>#DIV/0!</v>
      </c>
      <c r="Y43" s="13">
        <f t="shared" si="27"/>
        <v>-1.8162005085361425E-3</v>
      </c>
      <c r="Z43" s="13">
        <f t="shared" si="27"/>
        <v>-1.3089005235602095E-3</v>
      </c>
      <c r="AA43" s="13">
        <f t="shared" si="27"/>
        <v>-1.3422818791946308E-3</v>
      </c>
      <c r="AB43" s="13" t="e">
        <f t="shared" si="27"/>
        <v>#DIV/0!</v>
      </c>
      <c r="AC43" s="14">
        <f t="shared" si="27"/>
        <v>-1.848403194651075E-3</v>
      </c>
      <c r="AD43" s="13">
        <f t="shared" si="27"/>
        <v>-3.6816276814421399E-3</v>
      </c>
      <c r="AE43" s="13" t="e">
        <f t="shared" si="27"/>
        <v>#DIV/0!</v>
      </c>
      <c r="AF43" s="13">
        <f t="shared" si="27"/>
        <v>-8.3333333333333332E-3</v>
      </c>
      <c r="AG43" s="13" t="e">
        <f t="shared" si="27"/>
        <v>#DIV/0!</v>
      </c>
      <c r="AH43" s="13" t="e">
        <f t="shared" si="27"/>
        <v>#DIV/0!</v>
      </c>
      <c r="AI43" s="13" t="e">
        <f t="shared" ref="AI43:BK43" si="28">AI42/AI39</f>
        <v>#DIV/0!</v>
      </c>
      <c r="AJ43" s="13" t="e">
        <f t="shared" si="28"/>
        <v>#DIV/0!</v>
      </c>
      <c r="AK43" s="13">
        <f t="shared" si="28"/>
        <v>-1.8543036929472396E-3</v>
      </c>
      <c r="AL43" s="13">
        <f t="shared" si="28"/>
        <v>-1.9267436026091319E-3</v>
      </c>
      <c r="AM43" s="13" t="e">
        <f t="shared" si="28"/>
        <v>#DIV/0!</v>
      </c>
      <c r="AN43" s="13" t="e">
        <f t="shared" si="28"/>
        <v>#DIV/0!</v>
      </c>
      <c r="AO43" s="163">
        <f t="shared" si="28"/>
        <v>-1.8671097483684202E-3</v>
      </c>
      <c r="AP43" s="13">
        <f t="shared" si="28"/>
        <v>-1.8542027642918003E-3</v>
      </c>
      <c r="AQ43" s="14">
        <f t="shared" si="28"/>
        <v>2.8131728495287847E-2</v>
      </c>
      <c r="AR43" s="13" t="e">
        <f t="shared" si="28"/>
        <v>#DIV/0!</v>
      </c>
      <c r="AS43" s="13" t="e">
        <f t="shared" si="28"/>
        <v>#DIV/0!</v>
      </c>
      <c r="AT43" s="13" t="e">
        <f t="shared" si="28"/>
        <v>#DIV/0!</v>
      </c>
      <c r="AU43" s="13" t="e">
        <f t="shared" si="28"/>
        <v>#DIV/0!</v>
      </c>
      <c r="AV43" s="13" t="e">
        <f t="shared" si="28"/>
        <v>#DIV/0!</v>
      </c>
      <c r="AW43" s="13" t="e">
        <f t="shared" si="28"/>
        <v>#DIV/0!</v>
      </c>
      <c r="AX43" s="13" t="e">
        <f t="shared" si="28"/>
        <v>#DIV/0!</v>
      </c>
      <c r="AY43" s="13" t="e">
        <f t="shared" si="28"/>
        <v>#DIV/0!</v>
      </c>
      <c r="AZ43" s="13" t="e">
        <f t="shared" si="28"/>
        <v>#DIV/0!</v>
      </c>
      <c r="BA43" s="13" t="e">
        <f t="shared" si="28"/>
        <v>#DIV/0!</v>
      </c>
      <c r="BB43" s="14">
        <f t="shared" si="28"/>
        <v>-1.8551607643262349E-3</v>
      </c>
      <c r="BC43" s="13">
        <f t="shared" si="28"/>
        <v>-2.6666666666666666E-3</v>
      </c>
      <c r="BD43" s="13">
        <f t="shared" si="28"/>
        <v>-2.6666666666666666E-3</v>
      </c>
      <c r="BE43" s="13" t="e">
        <f t="shared" si="28"/>
        <v>#DIV/0!</v>
      </c>
      <c r="BF43" s="13">
        <f t="shared" si="28"/>
        <v>-1.9635114129100874E-3</v>
      </c>
      <c r="BG43" s="13">
        <f t="shared" si="28"/>
        <v>0</v>
      </c>
      <c r="BH43" s="163">
        <f t="shared" si="28"/>
        <v>2.5679002721857358E-2</v>
      </c>
      <c r="BI43" s="46">
        <f t="shared" si="28"/>
        <v>-1.8608065160053936E-3</v>
      </c>
      <c r="BJ43" s="13">
        <f t="shared" si="28"/>
        <v>-5.3763440860215054E-4</v>
      </c>
      <c r="BK43" s="52">
        <f t="shared" si="28"/>
        <v>-1.8617987362506889E-3</v>
      </c>
      <c r="BM43" s="163">
        <f>BM42/BM39</f>
        <v>2.599964492138954E-2</v>
      </c>
    </row>
    <row r="44" spans="1:65" ht="15.75">
      <c r="A44" s="130"/>
      <c r="B44" s="5" t="s">
        <v>126</v>
      </c>
      <c r="C44" s="11">
        <f>C41-C40</f>
        <v>13984</v>
      </c>
      <c r="D44" s="11">
        <f t="shared" ref="D44:BK44" si="29">D41-D40</f>
        <v>94679</v>
      </c>
      <c r="E44" s="11">
        <f t="shared" si="29"/>
        <v>848</v>
      </c>
      <c r="F44" s="11">
        <f t="shared" si="29"/>
        <v>3726</v>
      </c>
      <c r="G44" s="11">
        <f t="shared" si="29"/>
        <v>6933</v>
      </c>
      <c r="H44" s="11">
        <f t="shared" si="29"/>
        <v>0</v>
      </c>
      <c r="I44" s="11">
        <f t="shared" si="29"/>
        <v>0</v>
      </c>
      <c r="J44" s="11">
        <f t="shared" si="29"/>
        <v>0</v>
      </c>
      <c r="K44" s="11">
        <f t="shared" si="29"/>
        <v>-2122</v>
      </c>
      <c r="L44" s="11">
        <f t="shared" si="29"/>
        <v>11415</v>
      </c>
      <c r="M44" s="11">
        <f t="shared" si="29"/>
        <v>2264</v>
      </c>
      <c r="N44" s="11">
        <f t="shared" si="29"/>
        <v>63</v>
      </c>
      <c r="O44" s="11">
        <f t="shared" si="29"/>
        <v>347</v>
      </c>
      <c r="P44" s="11">
        <f t="shared" si="29"/>
        <v>7852</v>
      </c>
      <c r="Q44" s="11">
        <f t="shared" si="29"/>
        <v>0</v>
      </c>
      <c r="R44" s="11">
        <f t="shared" si="29"/>
        <v>873</v>
      </c>
      <c r="S44" s="11">
        <f t="shared" si="29"/>
        <v>0</v>
      </c>
      <c r="T44" s="11">
        <f t="shared" si="29"/>
        <v>0</v>
      </c>
      <c r="U44" s="11">
        <f>U41-U40</f>
        <v>0</v>
      </c>
      <c r="V44" s="9">
        <f t="shared" si="29"/>
        <v>-10964</v>
      </c>
      <c r="W44" s="11">
        <f t="shared" si="29"/>
        <v>0</v>
      </c>
      <c r="X44" s="11">
        <f t="shared" si="29"/>
        <v>0</v>
      </c>
      <c r="Y44" s="11">
        <f t="shared" si="29"/>
        <v>-1651</v>
      </c>
      <c r="Z44" s="11">
        <f t="shared" si="29"/>
        <v>-913</v>
      </c>
      <c r="AA44" s="11">
        <f t="shared" si="29"/>
        <v>-395</v>
      </c>
      <c r="AB44" s="11">
        <f>AB41-AB40</f>
        <v>0</v>
      </c>
      <c r="AC44" s="10">
        <f>AC41-AC40</f>
        <v>-60325</v>
      </c>
      <c r="AD44" s="11">
        <f>AD41-AD40</f>
        <v>66614</v>
      </c>
      <c r="AE44" s="11">
        <f t="shared" si="29"/>
        <v>0</v>
      </c>
      <c r="AF44" s="11">
        <f t="shared" si="29"/>
        <v>-702</v>
      </c>
      <c r="AG44" s="11">
        <f t="shared" si="29"/>
        <v>-2</v>
      </c>
      <c r="AH44" s="11">
        <f t="shared" si="29"/>
        <v>0</v>
      </c>
      <c r="AI44" s="11">
        <f t="shared" si="29"/>
        <v>0</v>
      </c>
      <c r="AJ44" s="11">
        <f t="shared" si="29"/>
        <v>0</v>
      </c>
      <c r="AK44" s="11">
        <f t="shared" si="29"/>
        <v>43427</v>
      </c>
      <c r="AL44" s="11">
        <f t="shared" si="29"/>
        <v>29063</v>
      </c>
      <c r="AM44" s="11">
        <f t="shared" si="29"/>
        <v>0</v>
      </c>
      <c r="AN44" s="11">
        <f t="shared" si="29"/>
        <v>0</v>
      </c>
      <c r="AO44" s="9">
        <f t="shared" si="29"/>
        <v>12603</v>
      </c>
      <c r="AP44" s="11">
        <f t="shared" si="29"/>
        <v>-12818</v>
      </c>
      <c r="AQ44" s="10">
        <f t="shared" si="29"/>
        <v>-77983</v>
      </c>
      <c r="AR44" s="11">
        <f t="shared" si="29"/>
        <v>0</v>
      </c>
      <c r="AS44" s="11">
        <f t="shared" si="29"/>
        <v>0</v>
      </c>
      <c r="AT44" s="11">
        <f t="shared" si="29"/>
        <v>0</v>
      </c>
      <c r="AU44" s="11">
        <f t="shared" si="29"/>
        <v>0</v>
      </c>
      <c r="AV44" s="11">
        <f t="shared" si="29"/>
        <v>0</v>
      </c>
      <c r="AW44" s="11">
        <f t="shared" si="29"/>
        <v>0</v>
      </c>
      <c r="AX44" s="11">
        <f t="shared" si="29"/>
        <v>0</v>
      </c>
      <c r="AY44" s="11">
        <f t="shared" si="29"/>
        <v>0</v>
      </c>
      <c r="AZ44" s="11">
        <f t="shared" si="29"/>
        <v>0</v>
      </c>
      <c r="BA44" s="11">
        <f t="shared" si="29"/>
        <v>0</v>
      </c>
      <c r="BB44" s="10">
        <f t="shared" si="29"/>
        <v>-18308</v>
      </c>
      <c r="BC44" s="11">
        <f t="shared" si="29"/>
        <v>434</v>
      </c>
      <c r="BD44" s="11">
        <f t="shared" si="29"/>
        <v>434</v>
      </c>
      <c r="BE44" s="11">
        <f t="shared" si="29"/>
        <v>0</v>
      </c>
      <c r="BF44" s="11">
        <f t="shared" si="29"/>
        <v>3232</v>
      </c>
      <c r="BG44" s="11">
        <f t="shared" si="29"/>
        <v>10</v>
      </c>
      <c r="BH44" s="9">
        <f t="shared" si="29"/>
        <v>-20610</v>
      </c>
      <c r="BI44" s="45">
        <f t="shared" si="29"/>
        <v>46004</v>
      </c>
      <c r="BJ44" s="11">
        <f t="shared" si="29"/>
        <v>-1176</v>
      </c>
      <c r="BK44" s="51">
        <f t="shared" si="29"/>
        <v>47180</v>
      </c>
      <c r="BM44" s="30">
        <f>BK44-AD44</f>
        <v>-19434</v>
      </c>
    </row>
    <row r="45" spans="1:65" ht="15.75">
      <c r="A45" s="130"/>
      <c r="B45" s="5" t="s">
        <v>127</v>
      </c>
      <c r="C45" s="13">
        <f t="shared" ref="C45:AH45" si="30">C44/C40</f>
        <v>1.3365523753815922E-2</v>
      </c>
      <c r="D45" s="13">
        <f t="shared" si="30"/>
        <v>0.23995671204130098</v>
      </c>
      <c r="E45" s="13">
        <f t="shared" si="30"/>
        <v>1.7746526033818853E-2</v>
      </c>
      <c r="F45" s="13">
        <f t="shared" si="30"/>
        <v>2.9722399489470325E-2</v>
      </c>
      <c r="G45" s="13">
        <f t="shared" si="30"/>
        <v>7.7896250688179056E-2</v>
      </c>
      <c r="H45" s="13" t="e">
        <f t="shared" si="30"/>
        <v>#DIV/0!</v>
      </c>
      <c r="I45" s="13" t="e">
        <f t="shared" si="30"/>
        <v>#DIV/0!</v>
      </c>
      <c r="J45" s="13" t="e">
        <f t="shared" si="30"/>
        <v>#DIV/0!</v>
      </c>
      <c r="K45" s="13">
        <f t="shared" si="30"/>
        <v>-0.84812150279776177</v>
      </c>
      <c r="L45" s="13">
        <f t="shared" si="30"/>
        <v>0.40229074889867844</v>
      </c>
      <c r="M45" s="13">
        <f t="shared" si="30"/>
        <v>9.8272419480857715E-2</v>
      </c>
      <c r="N45" s="13" t="e">
        <f t="shared" si="30"/>
        <v>#DIV/0!</v>
      </c>
      <c r="O45" s="13">
        <f t="shared" si="30"/>
        <v>0.19450672645739911</v>
      </c>
      <c r="P45" s="13">
        <f t="shared" si="30"/>
        <v>0.30974358974358973</v>
      </c>
      <c r="Q45" s="13" t="e">
        <f t="shared" si="30"/>
        <v>#DIV/0!</v>
      </c>
      <c r="R45" s="13">
        <f t="shared" si="30"/>
        <v>0.46190476190476193</v>
      </c>
      <c r="S45" s="13" t="e">
        <f t="shared" si="30"/>
        <v>#DIV/0!</v>
      </c>
      <c r="T45" s="13" t="e">
        <f t="shared" si="30"/>
        <v>#DIV/0!</v>
      </c>
      <c r="U45" s="13" t="e">
        <f t="shared" si="30"/>
        <v>#DIV/0!</v>
      </c>
      <c r="V45" s="163">
        <f t="shared" si="30"/>
        <v>-9.8031151088142199E-2</v>
      </c>
      <c r="W45" s="13" t="e">
        <f t="shared" si="30"/>
        <v>#DIV/0!</v>
      </c>
      <c r="X45" s="13" t="e">
        <f t="shared" si="30"/>
        <v>#DIV/0!</v>
      </c>
      <c r="Y45" s="13">
        <f t="shared" si="30"/>
        <v>-0.37531257103887244</v>
      </c>
      <c r="Z45" s="13">
        <f t="shared" si="30"/>
        <v>-0.54474940334128874</v>
      </c>
      <c r="AA45" s="13">
        <f t="shared" si="30"/>
        <v>-0.34679543459174716</v>
      </c>
      <c r="AB45" s="13" t="e">
        <f t="shared" si="30"/>
        <v>#DIV/0!</v>
      </c>
      <c r="AC45" s="14">
        <f t="shared" si="30"/>
        <v>-0.17327351220310844</v>
      </c>
      <c r="AD45" s="13">
        <f t="shared" si="30"/>
        <v>2.9565067648056127E-2</v>
      </c>
      <c r="AE45" s="13" t="e">
        <f t="shared" si="30"/>
        <v>#DIV/0!</v>
      </c>
      <c r="AF45" s="13">
        <f t="shared" si="30"/>
        <v>-0.85505481120584648</v>
      </c>
      <c r="AG45" s="13">
        <f t="shared" si="30"/>
        <v>-1</v>
      </c>
      <c r="AH45" s="13" t="e">
        <f t="shared" si="30"/>
        <v>#DIV/0!</v>
      </c>
      <c r="AI45" s="13" t="e">
        <f t="shared" ref="AI45:BK45" si="31">AI44/AI40</f>
        <v>#DIV/0!</v>
      </c>
      <c r="AJ45" s="13" t="e">
        <f t="shared" si="31"/>
        <v>#DIV/0!</v>
      </c>
      <c r="AK45" s="13">
        <f t="shared" si="31"/>
        <v>0.18322082524681463</v>
      </c>
      <c r="AL45" s="13">
        <f t="shared" si="31"/>
        <v>1.4063195586954418</v>
      </c>
      <c r="AM45" s="13" t="e">
        <f t="shared" si="31"/>
        <v>#DIV/0!</v>
      </c>
      <c r="AN45" s="13" t="e">
        <f t="shared" si="31"/>
        <v>#DIV/0!</v>
      </c>
      <c r="AO45" s="163">
        <f t="shared" si="31"/>
        <v>0.27597608776578275</v>
      </c>
      <c r="AP45" s="13">
        <f t="shared" si="31"/>
        <v>1.8702115769860968E-2</v>
      </c>
      <c r="AQ45" s="14">
        <f t="shared" si="31"/>
        <v>-0.34872531000836227</v>
      </c>
      <c r="AR45" s="13" t="e">
        <f t="shared" si="31"/>
        <v>#DIV/0!</v>
      </c>
      <c r="AS45" s="13" t="e">
        <f t="shared" si="31"/>
        <v>#DIV/0!</v>
      </c>
      <c r="AT45" s="13" t="e">
        <f t="shared" si="31"/>
        <v>#DIV/0!</v>
      </c>
      <c r="AU45" s="13" t="e">
        <f t="shared" si="31"/>
        <v>#DIV/0!</v>
      </c>
      <c r="AV45" s="13" t="e">
        <f t="shared" si="31"/>
        <v>#DIV/0!</v>
      </c>
      <c r="AW45" s="13" t="e">
        <f t="shared" si="31"/>
        <v>#DIV/0!</v>
      </c>
      <c r="AX45" s="13" t="e">
        <f t="shared" si="31"/>
        <v>#DIV/0!</v>
      </c>
      <c r="AY45" s="13" t="e">
        <f t="shared" si="31"/>
        <v>#DIV/0!</v>
      </c>
      <c r="AZ45" s="13" t="e">
        <f t="shared" si="31"/>
        <v>#DIV/0!</v>
      </c>
      <c r="BA45" s="13" t="e">
        <f t="shared" si="31"/>
        <v>#DIV/0!</v>
      </c>
      <c r="BB45" s="14">
        <f t="shared" si="31"/>
        <v>-5.6334214388794698E-2</v>
      </c>
      <c r="BC45" s="13">
        <f t="shared" si="31"/>
        <v>0.40866290018832391</v>
      </c>
      <c r="BD45" s="13">
        <f t="shared" si="31"/>
        <v>0.40866290018832391</v>
      </c>
      <c r="BE45" s="13" t="e">
        <f t="shared" si="31"/>
        <v>#DIV/0!</v>
      </c>
      <c r="BF45" s="13">
        <f t="shared" si="31"/>
        <v>0.36043269766923164</v>
      </c>
      <c r="BG45" s="13" t="e">
        <f t="shared" si="31"/>
        <v>#DIV/0!</v>
      </c>
      <c r="BH45" s="163">
        <f t="shared" si="31"/>
        <v>-0.11546089119449642</v>
      </c>
      <c r="BI45" s="46">
        <f t="shared" si="31"/>
        <v>1.891896560090869E-2</v>
      </c>
      <c r="BJ45" s="13">
        <f t="shared" si="31"/>
        <v>-0.38747940691927513</v>
      </c>
      <c r="BK45" s="52">
        <f t="shared" si="31"/>
        <v>1.9426838271777269E-2</v>
      </c>
      <c r="BM45" s="14">
        <f>BM44/BM40</f>
        <v>-0.11075586862486964</v>
      </c>
    </row>
    <row r="46" spans="1:65" ht="15.75">
      <c r="A46" s="130"/>
      <c r="B46" s="5" t="s">
        <v>328</v>
      </c>
      <c r="C46" s="128">
        <f>C41/C38</f>
        <v>0.998147286923875</v>
      </c>
      <c r="D46" s="128">
        <f t="shared" ref="D46:BK46" si="32">D41/D38</f>
        <v>0.99814548459160879</v>
      </c>
      <c r="E46" s="128">
        <f t="shared" si="32"/>
        <v>0.99811181348000988</v>
      </c>
      <c r="F46" s="128">
        <f t="shared" si="32"/>
        <v>0.99813650668460574</v>
      </c>
      <c r="G46" s="128">
        <f t="shared" si="32"/>
        <v>0.9981376476096343</v>
      </c>
      <c r="H46" s="128" t="e">
        <f t="shared" si="32"/>
        <v>#DIV/0!</v>
      </c>
      <c r="I46" s="128" t="e">
        <f t="shared" si="32"/>
        <v>#DIV/0!</v>
      </c>
      <c r="J46" s="128" t="e">
        <f t="shared" si="32"/>
        <v>#DIV/0!</v>
      </c>
      <c r="K46" s="128">
        <f t="shared" si="32"/>
        <v>1</v>
      </c>
      <c r="L46" s="128">
        <f t="shared" si="32"/>
        <v>0.99811865044525272</v>
      </c>
      <c r="M46" s="128">
        <f t="shared" si="32"/>
        <v>0.9981065088757396</v>
      </c>
      <c r="N46" s="128">
        <f t="shared" si="32"/>
        <v>1</v>
      </c>
      <c r="O46" s="128">
        <f t="shared" si="32"/>
        <v>0.99719232569021998</v>
      </c>
      <c r="P46" s="128">
        <f t="shared" si="32"/>
        <v>0.99804611176240721</v>
      </c>
      <c r="Q46" s="128" t="e">
        <f t="shared" si="32"/>
        <v>#DIV/0!</v>
      </c>
      <c r="R46" s="128">
        <f t="shared" si="32"/>
        <v>0.9974729241877256</v>
      </c>
      <c r="S46" s="128" t="e">
        <f t="shared" si="32"/>
        <v>#DIV/0!</v>
      </c>
      <c r="T46" s="128" t="e">
        <f t="shared" si="32"/>
        <v>#DIV/0!</v>
      </c>
      <c r="U46" s="128" t="e">
        <f t="shared" si="32"/>
        <v>#DIV/0!</v>
      </c>
      <c r="V46" s="178">
        <f t="shared" si="32"/>
        <v>0.95782377516141282</v>
      </c>
      <c r="W46" s="128" t="e">
        <f t="shared" si="32"/>
        <v>#DIV/0!</v>
      </c>
      <c r="X46" s="128" t="e">
        <f t="shared" si="32"/>
        <v>#DIV/0!</v>
      </c>
      <c r="Y46" s="128">
        <f t="shared" si="32"/>
        <v>0.99818379949146385</v>
      </c>
      <c r="Z46" s="128">
        <f t="shared" si="32"/>
        <v>0.99869109947643975</v>
      </c>
      <c r="AA46" s="128">
        <f t="shared" si="32"/>
        <v>0.99865771812080539</v>
      </c>
      <c r="AB46" s="128" t="e">
        <f>AB41/AB38</f>
        <v>#DIV/0!</v>
      </c>
      <c r="AC46" s="217">
        <f t="shared" si="32"/>
        <v>0.99815159680534893</v>
      </c>
      <c r="AD46" s="128">
        <f t="shared" si="32"/>
        <v>0.99631837231855791</v>
      </c>
      <c r="AE46" s="128" t="e">
        <f t="shared" si="32"/>
        <v>#DIV/0!</v>
      </c>
      <c r="AF46" s="128">
        <f t="shared" si="32"/>
        <v>0.9916666666666667</v>
      </c>
      <c r="AG46" s="128" t="e">
        <f t="shared" si="32"/>
        <v>#DIV/0!</v>
      </c>
      <c r="AH46" s="128" t="e">
        <f t="shared" si="32"/>
        <v>#DIV/0!</v>
      </c>
      <c r="AI46" s="128" t="e">
        <f t="shared" si="32"/>
        <v>#DIV/0!</v>
      </c>
      <c r="AJ46" s="128" t="e">
        <f t="shared" si="32"/>
        <v>#DIV/0!</v>
      </c>
      <c r="AK46" s="128">
        <f t="shared" si="32"/>
        <v>0.99814569630705274</v>
      </c>
      <c r="AL46" s="128">
        <f t="shared" si="32"/>
        <v>0.99807325639739086</v>
      </c>
      <c r="AM46" s="128" t="e">
        <f t="shared" si="32"/>
        <v>#DIV/0!</v>
      </c>
      <c r="AN46" s="128" t="e">
        <f t="shared" si="32"/>
        <v>#DIV/0!</v>
      </c>
      <c r="AO46" s="178">
        <f t="shared" si="32"/>
        <v>0.99813289025163154</v>
      </c>
      <c r="AP46" s="128">
        <f t="shared" si="32"/>
        <v>0.99814579723570818</v>
      </c>
      <c r="AQ46" s="217">
        <f t="shared" si="32"/>
        <v>1.0281317284952878</v>
      </c>
      <c r="AR46" s="128" t="e">
        <f t="shared" si="32"/>
        <v>#DIV/0!</v>
      </c>
      <c r="AS46" s="128" t="e">
        <f t="shared" si="32"/>
        <v>#DIV/0!</v>
      </c>
      <c r="AT46" s="128" t="e">
        <f t="shared" si="32"/>
        <v>#DIV/0!</v>
      </c>
      <c r="AU46" s="128" t="e">
        <f t="shared" si="32"/>
        <v>#DIV/0!</v>
      </c>
      <c r="AV46" s="128" t="e">
        <f t="shared" si="32"/>
        <v>#DIV/0!</v>
      </c>
      <c r="AW46" s="128" t="e">
        <f t="shared" si="32"/>
        <v>#DIV/0!</v>
      </c>
      <c r="AX46" s="128" t="e">
        <f t="shared" si="32"/>
        <v>#DIV/0!</v>
      </c>
      <c r="AY46" s="128" t="e">
        <f t="shared" si="32"/>
        <v>#DIV/0!</v>
      </c>
      <c r="AZ46" s="128" t="e">
        <f t="shared" si="32"/>
        <v>#DIV/0!</v>
      </c>
      <c r="BA46" s="128" t="e">
        <f t="shared" si="32"/>
        <v>#DIV/0!</v>
      </c>
      <c r="BB46" s="217">
        <f t="shared" si="32"/>
        <v>0.99814483923567376</v>
      </c>
      <c r="BC46" s="128">
        <f t="shared" si="32"/>
        <v>0.99733333333333329</v>
      </c>
      <c r="BD46" s="128">
        <f t="shared" si="32"/>
        <v>0.99733333333333329</v>
      </c>
      <c r="BE46" s="128" t="e">
        <f t="shared" si="32"/>
        <v>#DIV/0!</v>
      </c>
      <c r="BF46" s="128">
        <f t="shared" si="32"/>
        <v>0.99803648858708993</v>
      </c>
      <c r="BG46" s="128">
        <f t="shared" si="32"/>
        <v>1</v>
      </c>
      <c r="BH46" s="178">
        <f t="shared" si="32"/>
        <v>1.0256790027218574</v>
      </c>
      <c r="BI46" s="128">
        <f t="shared" si="32"/>
        <v>0.9981391934839946</v>
      </c>
      <c r="BJ46" s="128">
        <f t="shared" si="32"/>
        <v>0.99946236559139789</v>
      </c>
      <c r="BK46" s="128">
        <f t="shared" si="32"/>
        <v>0.9981382012637493</v>
      </c>
      <c r="BM46" s="128">
        <f>BM41/BM38</f>
        <v>1.0259996449213895</v>
      </c>
    </row>
    <row r="47" spans="1:65" s="181" customFormat="1" ht="15.75">
      <c r="A47" s="130"/>
      <c r="B47" s="5" t="s">
        <v>327</v>
      </c>
      <c r="C47" s="11">
        <f>C38-C41</f>
        <v>1968</v>
      </c>
      <c r="D47" s="11">
        <f t="shared" ref="D47:BK47" si="33">D38-D41</f>
        <v>909</v>
      </c>
      <c r="E47" s="11">
        <f t="shared" si="33"/>
        <v>92</v>
      </c>
      <c r="F47" s="11">
        <f t="shared" si="33"/>
        <v>241</v>
      </c>
      <c r="G47" s="11">
        <f t="shared" si="33"/>
        <v>179</v>
      </c>
      <c r="H47" s="11">
        <f t="shared" si="33"/>
        <v>0</v>
      </c>
      <c r="I47" s="11">
        <f t="shared" si="33"/>
        <v>0</v>
      </c>
      <c r="J47" s="11">
        <f t="shared" si="33"/>
        <v>0</v>
      </c>
      <c r="K47" s="11">
        <f t="shared" si="33"/>
        <v>0</v>
      </c>
      <c r="L47" s="11">
        <f t="shared" si="33"/>
        <v>75</v>
      </c>
      <c r="M47" s="11">
        <f t="shared" si="33"/>
        <v>48</v>
      </c>
      <c r="N47" s="11">
        <f t="shared" si="33"/>
        <v>0</v>
      </c>
      <c r="O47" s="11">
        <f t="shared" si="33"/>
        <v>6</v>
      </c>
      <c r="P47" s="11">
        <f t="shared" si="33"/>
        <v>65</v>
      </c>
      <c r="Q47" s="11">
        <f t="shared" si="33"/>
        <v>0</v>
      </c>
      <c r="R47" s="11">
        <f t="shared" si="33"/>
        <v>7</v>
      </c>
      <c r="S47" s="11">
        <f t="shared" si="33"/>
        <v>0</v>
      </c>
      <c r="T47" s="11">
        <f t="shared" si="33"/>
        <v>0</v>
      </c>
      <c r="U47" s="11">
        <f t="shared" si="33"/>
        <v>0</v>
      </c>
      <c r="V47" s="11">
        <f t="shared" si="33"/>
        <v>4442</v>
      </c>
      <c r="W47" s="11">
        <f t="shared" si="33"/>
        <v>0</v>
      </c>
      <c r="X47" s="11">
        <f t="shared" si="33"/>
        <v>0</v>
      </c>
      <c r="Y47" s="11">
        <f t="shared" si="33"/>
        <v>5</v>
      </c>
      <c r="Z47" s="11">
        <f t="shared" si="33"/>
        <v>1</v>
      </c>
      <c r="AA47" s="11">
        <f t="shared" si="33"/>
        <v>1</v>
      </c>
      <c r="AB47" s="11">
        <f t="shared" si="33"/>
        <v>0</v>
      </c>
      <c r="AC47" s="11">
        <f t="shared" si="33"/>
        <v>533</v>
      </c>
      <c r="AD47" s="11">
        <f t="shared" si="33"/>
        <v>8572</v>
      </c>
      <c r="AE47" s="11">
        <f t="shared" si="33"/>
        <v>0</v>
      </c>
      <c r="AF47" s="11">
        <f t="shared" si="33"/>
        <v>1</v>
      </c>
      <c r="AG47" s="11">
        <f t="shared" si="33"/>
        <v>0</v>
      </c>
      <c r="AH47" s="11">
        <f t="shared" si="33"/>
        <v>0</v>
      </c>
      <c r="AI47" s="11">
        <f t="shared" si="33"/>
        <v>0</v>
      </c>
      <c r="AJ47" s="11">
        <f t="shared" si="33"/>
        <v>0</v>
      </c>
      <c r="AK47" s="11">
        <f t="shared" si="33"/>
        <v>521</v>
      </c>
      <c r="AL47" s="11">
        <f t="shared" si="33"/>
        <v>96</v>
      </c>
      <c r="AM47" s="11">
        <f t="shared" si="33"/>
        <v>0</v>
      </c>
      <c r="AN47" s="11">
        <f t="shared" si="33"/>
        <v>0</v>
      </c>
      <c r="AO47" s="11">
        <f t="shared" si="33"/>
        <v>109</v>
      </c>
      <c r="AP47" s="11">
        <f t="shared" si="33"/>
        <v>-1297</v>
      </c>
      <c r="AQ47" s="11">
        <f t="shared" si="33"/>
        <v>-3985</v>
      </c>
      <c r="AR47" s="11">
        <f t="shared" si="33"/>
        <v>0</v>
      </c>
      <c r="AS47" s="11">
        <f t="shared" si="33"/>
        <v>0</v>
      </c>
      <c r="AT47" s="11">
        <f t="shared" si="33"/>
        <v>0</v>
      </c>
      <c r="AU47" s="11">
        <f t="shared" si="33"/>
        <v>0</v>
      </c>
      <c r="AV47" s="11">
        <f t="shared" si="33"/>
        <v>0</v>
      </c>
      <c r="AW47" s="11">
        <f t="shared" si="33"/>
        <v>0</v>
      </c>
      <c r="AX47" s="11">
        <f t="shared" si="33"/>
        <v>0</v>
      </c>
      <c r="AY47" s="11">
        <f t="shared" si="33"/>
        <v>0</v>
      </c>
      <c r="AZ47" s="11">
        <f t="shared" si="33"/>
        <v>0</v>
      </c>
      <c r="BA47" s="11">
        <f t="shared" si="33"/>
        <v>0</v>
      </c>
      <c r="BB47" s="11">
        <f t="shared" si="33"/>
        <v>570</v>
      </c>
      <c r="BC47" s="11">
        <f t="shared" si="33"/>
        <v>4</v>
      </c>
      <c r="BD47" s="11">
        <f t="shared" si="33"/>
        <v>4</v>
      </c>
      <c r="BE47" s="11">
        <f t="shared" si="33"/>
        <v>0</v>
      </c>
      <c r="BF47" s="11">
        <f t="shared" si="33"/>
        <v>24</v>
      </c>
      <c r="BG47" s="11">
        <f t="shared" si="33"/>
        <v>0</v>
      </c>
      <c r="BH47" s="11">
        <f t="shared" si="33"/>
        <v>-3953</v>
      </c>
      <c r="BI47" s="11">
        <f t="shared" si="33"/>
        <v>4619</v>
      </c>
      <c r="BJ47" s="11">
        <f t="shared" si="33"/>
        <v>1</v>
      </c>
      <c r="BK47" s="11">
        <f t="shared" si="33"/>
        <v>4618</v>
      </c>
      <c r="BL47" s="11">
        <f>BL41-BL38</f>
        <v>2475778</v>
      </c>
      <c r="BM47" s="11">
        <f>BM41-BM38</f>
        <v>3954</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44"/>
      <c r="BJ48" s="5"/>
      <c r="BK48" s="50"/>
    </row>
    <row r="49" spans="1:65" s="179" customFormat="1" ht="15.75">
      <c r="A49" s="264" t="s">
        <v>131</v>
      </c>
      <c r="B49" s="9" t="s">
        <v>326</v>
      </c>
      <c r="C49" s="225">
        <v>1398859</v>
      </c>
      <c r="D49" s="225">
        <v>644586</v>
      </c>
      <c r="E49" s="225">
        <v>64227</v>
      </c>
      <c r="F49" s="225">
        <v>118031</v>
      </c>
      <c r="G49" s="225">
        <v>113135</v>
      </c>
      <c r="H49" s="225">
        <v>0</v>
      </c>
      <c r="I49" s="225">
        <v>0</v>
      </c>
      <c r="J49" s="225">
        <v>7492</v>
      </c>
      <c r="K49" s="225">
        <v>556</v>
      </c>
      <c r="L49" s="225">
        <v>23598</v>
      </c>
      <c r="M49" s="225">
        <v>26334</v>
      </c>
      <c r="N49" s="225">
        <v>14</v>
      </c>
      <c r="O49" s="225">
        <v>3262</v>
      </c>
      <c r="P49" s="225">
        <v>114970</v>
      </c>
      <c r="Q49" s="225">
        <v>0</v>
      </c>
      <c r="R49" s="225">
        <v>3917</v>
      </c>
      <c r="S49" s="225">
        <v>0</v>
      </c>
      <c r="T49" s="225">
        <v>0</v>
      </c>
      <c r="U49" s="225">
        <v>0</v>
      </c>
      <c r="V49" s="225">
        <v>0</v>
      </c>
      <c r="W49" s="225">
        <v>0</v>
      </c>
      <c r="X49" s="225">
        <v>0</v>
      </c>
      <c r="Y49" s="225">
        <v>7318</v>
      </c>
      <c r="Z49" s="225">
        <v>2001</v>
      </c>
      <c r="AA49" s="225">
        <v>1870</v>
      </c>
      <c r="AB49" s="225">
        <v>0</v>
      </c>
      <c r="AC49" s="225">
        <v>0</v>
      </c>
      <c r="AD49" s="226">
        <f>SUM(C49:AC49)</f>
        <v>2530170</v>
      </c>
      <c r="AE49" s="225">
        <v>381</v>
      </c>
      <c r="AF49" s="225">
        <v>12701</v>
      </c>
      <c r="AG49" s="225">
        <v>7902</v>
      </c>
      <c r="AH49" s="225">
        <v>0</v>
      </c>
      <c r="AI49" s="225">
        <v>0</v>
      </c>
      <c r="AJ49" s="225">
        <v>0</v>
      </c>
      <c r="AK49" s="225">
        <v>236082</v>
      </c>
      <c r="AL49" s="225">
        <v>189971</v>
      </c>
      <c r="AM49" s="225">
        <v>0</v>
      </c>
      <c r="AN49" s="225">
        <v>0</v>
      </c>
      <c r="AO49" s="225">
        <v>355133</v>
      </c>
      <c r="AP49" s="225">
        <v>24625</v>
      </c>
      <c r="AQ49" s="225">
        <v>0</v>
      </c>
      <c r="AR49" s="225">
        <v>0</v>
      </c>
      <c r="AS49" s="225">
        <v>0</v>
      </c>
      <c r="AT49" s="225">
        <v>0</v>
      </c>
      <c r="AU49" s="225">
        <v>0</v>
      </c>
      <c r="AV49" s="225">
        <v>0</v>
      </c>
      <c r="AW49" s="225">
        <v>0</v>
      </c>
      <c r="AX49" s="225">
        <v>0</v>
      </c>
      <c r="AY49" s="225">
        <v>0</v>
      </c>
      <c r="AZ49" s="225">
        <v>0</v>
      </c>
      <c r="BA49" s="225">
        <v>0</v>
      </c>
      <c r="BB49" s="225">
        <v>0</v>
      </c>
      <c r="BC49" s="225">
        <v>18523</v>
      </c>
      <c r="BD49" s="225">
        <v>18523</v>
      </c>
      <c r="BE49" s="225">
        <v>0</v>
      </c>
      <c r="BF49" s="225">
        <v>18606</v>
      </c>
      <c r="BG49" s="225">
        <v>496958</v>
      </c>
      <c r="BH49" s="229">
        <f>SUM(AE49:BG49)</f>
        <v>1379405</v>
      </c>
      <c r="BI49" s="125">
        <f>AD49+BH49</f>
        <v>3909575</v>
      </c>
      <c r="BJ49" s="230">
        <v>46768</v>
      </c>
      <c r="BK49" s="266">
        <f>BI49-BJ49</f>
        <v>3862807</v>
      </c>
      <c r="BM49" s="228">
        <f>BK49-AD49</f>
        <v>1332637</v>
      </c>
    </row>
    <row r="50" spans="1:65" s="41" customFormat="1" ht="15.75">
      <c r="A50" s="346" t="s">
        <v>131</v>
      </c>
      <c r="B50" s="234" t="s">
        <v>321</v>
      </c>
      <c r="C50" s="342">
        <v>1398859</v>
      </c>
      <c r="D50" s="342">
        <v>644586</v>
      </c>
      <c r="E50" s="342">
        <v>64227</v>
      </c>
      <c r="F50" s="342">
        <v>118031</v>
      </c>
      <c r="G50" s="342">
        <v>113135</v>
      </c>
      <c r="H50" s="342">
        <v>0</v>
      </c>
      <c r="I50" s="342">
        <v>0</v>
      </c>
      <c r="J50" s="342">
        <v>7492</v>
      </c>
      <c r="K50" s="342">
        <v>556</v>
      </c>
      <c r="L50" s="342">
        <v>23598</v>
      </c>
      <c r="M50" s="342">
        <v>26334</v>
      </c>
      <c r="N50" s="342">
        <v>14</v>
      </c>
      <c r="O50" s="342">
        <v>3262</v>
      </c>
      <c r="P50" s="342">
        <v>114970</v>
      </c>
      <c r="Q50" s="342">
        <v>0</v>
      </c>
      <c r="R50" s="342">
        <v>3917</v>
      </c>
      <c r="S50" s="342">
        <v>0</v>
      </c>
      <c r="T50" s="342">
        <v>0</v>
      </c>
      <c r="U50" s="342">
        <v>0</v>
      </c>
      <c r="V50" s="342">
        <v>0</v>
      </c>
      <c r="W50" s="342">
        <v>0</v>
      </c>
      <c r="X50" s="342">
        <v>0</v>
      </c>
      <c r="Y50" s="342">
        <v>7318</v>
      </c>
      <c r="Z50" s="342">
        <v>2001</v>
      </c>
      <c r="AA50" s="342">
        <v>1870</v>
      </c>
      <c r="AB50" s="342">
        <v>0</v>
      </c>
      <c r="AC50" s="342">
        <v>0</v>
      </c>
      <c r="AD50" s="123">
        <f>SUM(C50:AC50)</f>
        <v>2530170</v>
      </c>
      <c r="AE50" s="342">
        <v>381</v>
      </c>
      <c r="AF50" s="342">
        <v>12701</v>
      </c>
      <c r="AG50" s="342">
        <v>7902</v>
      </c>
      <c r="AH50" s="342">
        <v>0</v>
      </c>
      <c r="AI50" s="342">
        <v>0</v>
      </c>
      <c r="AJ50" s="342">
        <v>0</v>
      </c>
      <c r="AK50" s="342">
        <v>236082</v>
      </c>
      <c r="AL50" s="342">
        <v>189971</v>
      </c>
      <c r="AM50" s="342">
        <v>0</v>
      </c>
      <c r="AN50" s="342">
        <v>0</v>
      </c>
      <c r="AO50" s="342">
        <v>355133</v>
      </c>
      <c r="AP50" s="342">
        <v>24625</v>
      </c>
      <c r="AQ50" s="342">
        <v>0</v>
      </c>
      <c r="AR50" s="342">
        <v>0</v>
      </c>
      <c r="AS50" s="342">
        <v>0</v>
      </c>
      <c r="AT50" s="342">
        <v>0</v>
      </c>
      <c r="AU50" s="342">
        <v>0</v>
      </c>
      <c r="AV50" s="342">
        <v>0</v>
      </c>
      <c r="AW50" s="342">
        <v>0</v>
      </c>
      <c r="AX50" s="342">
        <v>0</v>
      </c>
      <c r="AY50" s="342">
        <v>0</v>
      </c>
      <c r="AZ50" s="342">
        <v>0</v>
      </c>
      <c r="BA50" s="342">
        <v>0</v>
      </c>
      <c r="BB50" s="342">
        <v>0</v>
      </c>
      <c r="BC50" s="342">
        <v>18523</v>
      </c>
      <c r="BD50" s="342">
        <v>18523</v>
      </c>
      <c r="BE50" s="342">
        <v>0</v>
      </c>
      <c r="BF50" s="342">
        <v>18606</v>
      </c>
      <c r="BG50" s="342">
        <v>496958</v>
      </c>
      <c r="BH50" s="124">
        <f>SUM(AE50:BG50)</f>
        <v>1379405</v>
      </c>
      <c r="BI50" s="220">
        <f>AD50+BH50</f>
        <v>3909575</v>
      </c>
      <c r="BJ50" s="343">
        <v>46768</v>
      </c>
      <c r="BK50" s="347">
        <f>BI50-BJ50</f>
        <v>3862807</v>
      </c>
      <c r="BM50" s="218">
        <f>BK50-AD50</f>
        <v>1332637</v>
      </c>
    </row>
    <row r="51" spans="1:65" ht="15.75">
      <c r="A51" s="130"/>
      <c r="B51" s="12" t="s">
        <v>322</v>
      </c>
      <c r="C51" s="9">
        <f>IF('Upto Month COPPY'!$F$4="",0,'Upto Month COPPY'!$F$4)</f>
        <v>1341275</v>
      </c>
      <c r="D51" s="9">
        <f>IF('Upto Month COPPY'!$F$5="",0,'Upto Month COPPY'!$F$5)</f>
        <v>504493</v>
      </c>
      <c r="E51" s="9">
        <f>IF('Upto Month COPPY'!$F$6="",0,'Upto Month COPPY'!$F$6)</f>
        <v>62133</v>
      </c>
      <c r="F51" s="9">
        <f>IF('Upto Month COPPY'!$F$7="",0,'Upto Month COPPY'!$F$7)</f>
        <v>109389</v>
      </c>
      <c r="G51" s="9">
        <f>IF('Upto Month COPPY'!$F$8="",0,'Upto Month COPPY'!$F$8)</f>
        <v>100085</v>
      </c>
      <c r="H51" s="9">
        <f>IF('Upto Month COPPY'!$F$9="",0,'Upto Month COPPY'!$F$9)</f>
        <v>0</v>
      </c>
      <c r="I51" s="9">
        <f>IF('Upto Month COPPY'!$F$10="",0,'Upto Month COPPY'!$F$10)</f>
        <v>0</v>
      </c>
      <c r="J51" s="9">
        <f>IF('Upto Month COPPY'!$F$11="",0,'Upto Month COPPY'!$F$11)</f>
        <v>5375</v>
      </c>
      <c r="K51" s="9">
        <f>IF('Upto Month COPPY'!$F$12="",0,'Upto Month COPPY'!$F$12)</f>
        <v>1202</v>
      </c>
      <c r="L51" s="9">
        <f>IF('Upto Month COPPY'!$F$13="",0,'Upto Month COPPY'!$F$13)</f>
        <v>15839</v>
      </c>
      <c r="M51" s="9">
        <f>IF('Upto Month COPPY'!$F$14="",0,'Upto Month COPPY'!$F$14)</f>
        <v>22973</v>
      </c>
      <c r="N51" s="9">
        <f>IF('Upto Month COPPY'!$F$15="",0,'Upto Month COPPY'!$F$15)</f>
        <v>13</v>
      </c>
      <c r="O51" s="9">
        <f>IF('Upto Month COPPY'!$F$16="",0,'Upto Month COPPY'!$F$16)</f>
        <v>2187</v>
      </c>
      <c r="P51" s="9">
        <f>IF('Upto Month COPPY'!$F$17="",0,'Upto Month COPPY'!$F$17)</f>
        <v>93024</v>
      </c>
      <c r="Q51" s="9">
        <f>IF('Upto Month COPPY'!$F$18="",0,'Upto Month COPPY'!$F$18)</f>
        <v>0</v>
      </c>
      <c r="R51" s="9">
        <f>IF('Upto Month COPPY'!$F$21="",0,'Upto Month COPPY'!$F$21)</f>
        <v>2803</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8164</v>
      </c>
      <c r="Z51" s="9">
        <f>IF('Upto Month COPPY'!$F$43="",0,'Upto Month COPPY'!$F$43)</f>
        <v>3830</v>
      </c>
      <c r="AA51" s="9">
        <f>IF('Upto Month COPPY'!$F$44="",0,'Upto Month COPPY'!$F$44)</f>
        <v>1644</v>
      </c>
      <c r="AB51" s="9">
        <f>IF('Upto Month COPPY'!$F$48="",0,'Upto Month COPPY'!$F$48)</f>
        <v>0</v>
      </c>
      <c r="AC51" s="10">
        <f>IF('Upto Month COPPY'!$F$51="",0,'Upto Month COPPY'!$F$51)</f>
        <v>0</v>
      </c>
      <c r="AD51" s="123">
        <f>SUM(C51:AC51)</f>
        <v>2274429</v>
      </c>
      <c r="AE51" s="9">
        <f>IF('Upto Month COPPY'!$F$19="",0,'Upto Month COPPY'!$F$19)</f>
        <v>336</v>
      </c>
      <c r="AF51" s="9">
        <f>IF('Upto Month COPPY'!$F$20="",0,'Upto Month COPPY'!$F$20)</f>
        <v>8505</v>
      </c>
      <c r="AG51" s="9">
        <f>IF('Upto Month COPPY'!$F$22="",0,'Upto Month COPPY'!$F$22)</f>
        <v>183</v>
      </c>
      <c r="AH51" s="9">
        <f>IF('Upto Month COPPY'!$F$23="",0,'Upto Month COPPY'!$F$23)</f>
        <v>0</v>
      </c>
      <c r="AI51" s="9">
        <f>IF('Upto Month COPPY'!$F$24="",0,'Upto Month COPPY'!$F$24)</f>
        <v>0</v>
      </c>
      <c r="AJ51" s="9">
        <f>IF('Upto Month COPPY'!$F$25="",0,'Upto Month COPPY'!$F$25)</f>
        <v>90</v>
      </c>
      <c r="AK51" s="9">
        <f>IF('Upto Month COPPY'!$F$28="",0,'Upto Month COPPY'!$F$28)</f>
        <v>275336</v>
      </c>
      <c r="AL51" s="9">
        <f>IF('Upto Month COPPY'!$F$29="",0,'Upto Month COPPY'!$F$29)</f>
        <v>175269</v>
      </c>
      <c r="AM51" s="9">
        <f>IF('Upto Month COPPY'!$F$31="",0,'Upto Month COPPY'!$F$31)</f>
        <v>0</v>
      </c>
      <c r="AN51" s="9">
        <f>IF('Upto Month COPPY'!$F$32="",0,'Upto Month COPPY'!$F$32)</f>
        <v>0</v>
      </c>
      <c r="AO51" s="9">
        <f>IF('Upto Month COPPY'!$F$33="",0,'Upto Month COPPY'!$F$33)</f>
        <v>396984</v>
      </c>
      <c r="AP51" s="9">
        <f>IF('Upto Month COPPY'!$F$34="",0,'Upto Month COPPY'!$F$34)</f>
        <v>49999</v>
      </c>
      <c r="AQ51" s="10">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8</v>
      </c>
      <c r="AX51" s="9">
        <f>IF('Upto Month COPPY'!$F$46="",0,'Upto Month COPPY'!$F$46)</f>
        <v>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15359</v>
      </c>
      <c r="BD51" s="9">
        <f>IF('Upto Month COPPY'!$F$54="",0,'Upto Month COPPY'!$F$54)</f>
        <v>15185</v>
      </c>
      <c r="BE51" s="9">
        <f>IF('Upto Month COPPY'!$F$55="",0,'Upto Month COPPY'!$F$55)</f>
        <v>0</v>
      </c>
      <c r="BF51" s="9">
        <f>IF('Upto Month COPPY'!$F$56="",0,'Upto Month COPPY'!$F$56)</f>
        <v>40670</v>
      </c>
      <c r="BG51" s="9">
        <f>IF('Upto Month COPPY'!$F$58="",0,'Upto Month COPPY'!$F$58)</f>
        <v>787739</v>
      </c>
      <c r="BH51" s="9">
        <f>SUM(AE51:BG51)</f>
        <v>1765663</v>
      </c>
      <c r="BI51" s="127">
        <f>AD51+BH51</f>
        <v>4040092</v>
      </c>
      <c r="BJ51" s="9">
        <f>IF('Upto Month COPPY'!$F$60="",0,'Upto Month COPPY'!$F$60)</f>
        <v>22522</v>
      </c>
      <c r="BK51" s="51">
        <f>BI51-BJ51</f>
        <v>4017570</v>
      </c>
      <c r="BL51">
        <f>'Upto Month COPPY'!$F$61</f>
        <v>4017568</v>
      </c>
      <c r="BM51" s="30">
        <f>BK51-AD51</f>
        <v>1743141</v>
      </c>
    </row>
    <row r="52" spans="1:65" ht="15.75" customHeight="1">
      <c r="A52" s="130"/>
      <c r="B52" s="183" t="s">
        <v>323</v>
      </c>
      <c r="C52" s="9">
        <f>IF('Upto Month Current'!$F$4="",0,'Upto Month Current'!$F$4)</f>
        <v>1396270</v>
      </c>
      <c r="D52" s="9">
        <f>IF('Upto Month Current'!$F$5="",0,'Upto Month Current'!$F$5)</f>
        <v>643400</v>
      </c>
      <c r="E52" s="9">
        <f>IF('Upto Month Current'!$F$6="",0,'Upto Month Current'!$F$6)</f>
        <v>64110</v>
      </c>
      <c r="F52" s="9">
        <f>IF('Upto Month Current'!$F$7="",0,'Upto Month Current'!$F$7)</f>
        <v>117814</v>
      </c>
      <c r="G52" s="9">
        <f>IF('Upto Month Current'!$F$8="",0,'Upto Month Current'!$F$8)</f>
        <v>112928</v>
      </c>
      <c r="H52" s="9">
        <f>IF('Upto Month Current'!$F$9="",0,'Upto Month Current'!$F$9)</f>
        <v>0</v>
      </c>
      <c r="I52" s="9">
        <f>IF('Upto Month Current'!$F$10="",0,'Upto Month Current'!$F$10)</f>
        <v>0</v>
      </c>
      <c r="J52" s="9">
        <f>IF('Upto Month Current'!$F$11="",0,'Upto Month Current'!$F$11)</f>
        <v>7478</v>
      </c>
      <c r="K52" s="9">
        <f>IF('Upto Month Current'!$F$12="",0,'Upto Month Current'!$F$12)</f>
        <v>556</v>
      </c>
      <c r="L52" s="9">
        <f>IF('Upto Month Current'!$F$13="",0,'Upto Month Current'!$F$13)</f>
        <v>23554</v>
      </c>
      <c r="M52" s="9">
        <f>IF('Upto Month Current'!$F$14="",0,'Upto Month Current'!$F$14)</f>
        <v>26284</v>
      </c>
      <c r="N52" s="9">
        <f>IF('Upto Month Current'!$F$15="",0,'Upto Month Current'!$F$15)</f>
        <v>14</v>
      </c>
      <c r="O52" s="9">
        <f>IF('Upto Month Current'!$F$16="",0,'Upto Month Current'!$F$16)</f>
        <v>3255</v>
      </c>
      <c r="P52" s="9">
        <f>IF('Upto Month Current'!$F$17="",0,'Upto Month Current'!$F$17)</f>
        <v>114759</v>
      </c>
      <c r="Q52" s="9">
        <f>IF('Upto Month Current'!$F$18="",0,'Upto Month Current'!$F$18)</f>
        <v>0</v>
      </c>
      <c r="R52" s="9">
        <f>IF('Upto Month Current'!$F$21="",0,'Upto Month Current'!$F$21)</f>
        <v>3908</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7305</v>
      </c>
      <c r="Z52" s="9">
        <f>IF('Upto Month Current'!$F$43="",0,'Upto Month Current'!$F$43)</f>
        <v>1998</v>
      </c>
      <c r="AA52" s="9">
        <f>IF('Upto Month Current'!$F$44="",0,'Upto Month Current'!$F$44)</f>
        <v>1867</v>
      </c>
      <c r="AB52" s="9">
        <f>IF('Upto Month Current'!$F$48="",0,'Upto Month Current'!$F$48)</f>
        <v>0</v>
      </c>
      <c r="AC52" s="10">
        <f>IF('Upto Month Current'!$F$51="",0,'Upto Month Current'!$F$51)</f>
        <v>0</v>
      </c>
      <c r="AD52" s="123">
        <f>SUM(C52:AC52)</f>
        <v>2525500</v>
      </c>
      <c r="AE52" s="9">
        <f>IF('Upto Month Current'!$F$19="",0,'Upto Month Current'!$F$19)</f>
        <v>381</v>
      </c>
      <c r="AF52" s="9">
        <f>IF('Upto Month Current'!$F$20="",0,'Upto Month Current'!$F$20)</f>
        <v>12678</v>
      </c>
      <c r="AG52" s="9">
        <f>IF('Upto Month Current'!$F$22="",0,'Upto Month Current'!$F$22)</f>
        <v>7884</v>
      </c>
      <c r="AH52" s="9">
        <f>IF('Upto Month Current'!$F$23="",0,'Upto Month Current'!$F$23)</f>
        <v>0</v>
      </c>
      <c r="AI52" s="9">
        <f>IF('Upto Month Current'!$F$24="",0,'Upto Month Current'!$F$24)</f>
        <v>0</v>
      </c>
      <c r="AJ52" s="9">
        <f>IF('Upto Month Current'!$F$25="",0,'Upto Month Current'!$F$25)</f>
        <v>0</v>
      </c>
      <c r="AK52" s="9">
        <f>IF('Upto Month Current'!$F$28="",0,'Upto Month Current'!$F$28)</f>
        <v>235644</v>
      </c>
      <c r="AL52" s="9">
        <f>IF('Upto Month Current'!$F$29="",0,'Upto Month Current'!$F$29)</f>
        <v>189617</v>
      </c>
      <c r="AM52" s="9">
        <f>IF('Upto Month Current'!$F$31="",0,'Upto Month Current'!$F$31)</f>
        <v>0</v>
      </c>
      <c r="AN52" s="9">
        <f>IF('Upto Month Current'!$F$32="",0,'Upto Month Current'!$F$32)</f>
        <v>0</v>
      </c>
      <c r="AO52" s="9">
        <f>IF('Upto Month Current'!$F$33="",0,'Upto Month Current'!$F$33)</f>
        <v>354478</v>
      </c>
      <c r="AP52" s="9">
        <f>IF('Upto Month Current'!$F$34="",0,'Upto Month Current'!$F$34)</f>
        <v>24579</v>
      </c>
      <c r="AQ52" s="10">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18488</v>
      </c>
      <c r="BD52" s="9">
        <f>IF('Upto Month Current'!$F$54="",0,'Upto Month Current'!$F$54)</f>
        <v>18488</v>
      </c>
      <c r="BE52" s="9">
        <f>IF('Upto Month Current'!$F$55="",0,'Upto Month Current'!$F$55)</f>
        <v>0</v>
      </c>
      <c r="BF52" s="9">
        <f>IF('Upto Month Current'!$F$56="",0,'Upto Month Current'!$F$56)</f>
        <v>18575</v>
      </c>
      <c r="BG52" s="9">
        <f>IF('Upto Month Current'!$F$58="",0,'Upto Month Current'!$F$58)</f>
        <v>496041</v>
      </c>
      <c r="BH52" s="9">
        <f>SUM(AE52:BG52)</f>
        <v>1376853</v>
      </c>
      <c r="BI52" s="127">
        <f>AD52+BH52</f>
        <v>3902353</v>
      </c>
      <c r="BJ52" s="9">
        <f>IF('Upto Month Current'!$F$60="",0,'Upto Month Current'!$F$60)</f>
        <v>46767</v>
      </c>
      <c r="BK52" s="51">
        <f>BI52-BJ52</f>
        <v>3855586</v>
      </c>
      <c r="BL52">
        <f>'Upto Month Current'!$F$61</f>
        <v>3855584</v>
      </c>
      <c r="BM52" s="30">
        <f>BK52-AD52</f>
        <v>1330086</v>
      </c>
    </row>
    <row r="53" spans="1:65" ht="15.75">
      <c r="A53" s="130"/>
      <c r="B53" s="5" t="s">
        <v>124</v>
      </c>
      <c r="C53" s="11">
        <f>C52-C50</f>
        <v>-2589</v>
      </c>
      <c r="D53" s="11">
        <f>D52-D50</f>
        <v>-1186</v>
      </c>
      <c r="E53" s="11">
        <f>E52-F50</f>
        <v>-53921</v>
      </c>
      <c r="F53" s="11">
        <f>F52-G50</f>
        <v>4679</v>
      </c>
      <c r="G53" s="11">
        <f>G52-H50</f>
        <v>112928</v>
      </c>
      <c r="H53" s="11">
        <f>H52-I50</f>
        <v>0</v>
      </c>
      <c r="I53" s="11">
        <f t="shared" ref="I53:AN53" si="34">I52-I50</f>
        <v>0</v>
      </c>
      <c r="J53" s="11">
        <f t="shared" si="34"/>
        <v>-14</v>
      </c>
      <c r="K53" s="11">
        <f t="shared" si="34"/>
        <v>0</v>
      </c>
      <c r="L53" s="11">
        <f t="shared" si="34"/>
        <v>-44</v>
      </c>
      <c r="M53" s="11">
        <f t="shared" si="34"/>
        <v>-50</v>
      </c>
      <c r="N53" s="11">
        <f t="shared" si="34"/>
        <v>0</v>
      </c>
      <c r="O53" s="11">
        <f t="shared" si="34"/>
        <v>-7</v>
      </c>
      <c r="P53" s="11">
        <f t="shared" si="34"/>
        <v>-211</v>
      </c>
      <c r="Q53" s="11">
        <f t="shared" si="34"/>
        <v>0</v>
      </c>
      <c r="R53" s="11">
        <f t="shared" si="34"/>
        <v>-9</v>
      </c>
      <c r="S53" s="11">
        <f t="shared" si="34"/>
        <v>0</v>
      </c>
      <c r="T53" s="11">
        <f t="shared" si="34"/>
        <v>0</v>
      </c>
      <c r="U53" s="11">
        <f t="shared" si="34"/>
        <v>0</v>
      </c>
      <c r="V53" s="9">
        <f t="shared" si="34"/>
        <v>0</v>
      </c>
      <c r="W53" s="11">
        <f t="shared" si="34"/>
        <v>0</v>
      </c>
      <c r="X53" s="11">
        <f t="shared" si="34"/>
        <v>0</v>
      </c>
      <c r="Y53" s="11">
        <f t="shared" si="34"/>
        <v>-13</v>
      </c>
      <c r="Z53" s="11">
        <f t="shared" si="34"/>
        <v>-3</v>
      </c>
      <c r="AA53" s="11">
        <f t="shared" si="34"/>
        <v>-3</v>
      </c>
      <c r="AB53" s="11">
        <f t="shared" si="34"/>
        <v>0</v>
      </c>
      <c r="AC53" s="10">
        <f t="shared" si="34"/>
        <v>0</v>
      </c>
      <c r="AD53" s="11">
        <f t="shared" si="34"/>
        <v>-4670</v>
      </c>
      <c r="AE53" s="11">
        <f t="shared" si="34"/>
        <v>0</v>
      </c>
      <c r="AF53" s="11">
        <f t="shared" si="34"/>
        <v>-23</v>
      </c>
      <c r="AG53" s="11">
        <f t="shared" si="34"/>
        <v>-18</v>
      </c>
      <c r="AH53" s="11">
        <f t="shared" si="34"/>
        <v>0</v>
      </c>
      <c r="AI53" s="11">
        <f t="shared" si="34"/>
        <v>0</v>
      </c>
      <c r="AJ53" s="11">
        <f t="shared" si="34"/>
        <v>0</v>
      </c>
      <c r="AK53" s="11">
        <f t="shared" si="34"/>
        <v>-438</v>
      </c>
      <c r="AL53" s="11">
        <f t="shared" si="34"/>
        <v>-354</v>
      </c>
      <c r="AM53" s="11">
        <f t="shared" si="34"/>
        <v>0</v>
      </c>
      <c r="AN53" s="11">
        <f t="shared" si="34"/>
        <v>0</v>
      </c>
      <c r="AO53" s="9">
        <f t="shared" ref="AO53:BK53" si="35">AO52-AO50</f>
        <v>-655</v>
      </c>
      <c r="AP53" s="11">
        <f t="shared" si="35"/>
        <v>-46</v>
      </c>
      <c r="AQ53" s="10">
        <f t="shared" si="35"/>
        <v>0</v>
      </c>
      <c r="AR53" s="11">
        <f t="shared" si="35"/>
        <v>0</v>
      </c>
      <c r="AS53" s="11">
        <f t="shared" si="35"/>
        <v>0</v>
      </c>
      <c r="AT53" s="11">
        <f t="shared" si="35"/>
        <v>0</v>
      </c>
      <c r="AU53" s="11">
        <f t="shared" si="35"/>
        <v>0</v>
      </c>
      <c r="AV53" s="11">
        <f t="shared" si="35"/>
        <v>0</v>
      </c>
      <c r="AW53" s="11">
        <f t="shared" si="35"/>
        <v>0</v>
      </c>
      <c r="AX53" s="11">
        <f t="shared" si="35"/>
        <v>0</v>
      </c>
      <c r="AY53" s="11">
        <f t="shared" si="35"/>
        <v>0</v>
      </c>
      <c r="AZ53" s="11">
        <f t="shared" si="35"/>
        <v>0</v>
      </c>
      <c r="BA53" s="11">
        <f t="shared" si="35"/>
        <v>0</v>
      </c>
      <c r="BB53" s="10">
        <f t="shared" si="35"/>
        <v>0</v>
      </c>
      <c r="BC53" s="11">
        <f t="shared" si="35"/>
        <v>-35</v>
      </c>
      <c r="BD53" s="11">
        <f t="shared" si="35"/>
        <v>-35</v>
      </c>
      <c r="BE53" s="11">
        <f t="shared" si="35"/>
        <v>0</v>
      </c>
      <c r="BF53" s="11">
        <f t="shared" si="35"/>
        <v>-31</v>
      </c>
      <c r="BG53" s="11">
        <f t="shared" si="35"/>
        <v>-917</v>
      </c>
      <c r="BH53" s="9">
        <f t="shared" si="35"/>
        <v>-2552</v>
      </c>
      <c r="BI53" s="45">
        <f t="shared" si="35"/>
        <v>-7222</v>
      </c>
      <c r="BJ53" s="11">
        <f t="shared" si="35"/>
        <v>-1</v>
      </c>
      <c r="BK53" s="51">
        <f t="shared" si="35"/>
        <v>-7221</v>
      </c>
      <c r="BM53" s="30">
        <f>BK53-AD53</f>
        <v>-2551</v>
      </c>
    </row>
    <row r="54" spans="1:65" ht="15.75">
      <c r="A54" s="130"/>
      <c r="B54" s="5" t="s">
        <v>125</v>
      </c>
      <c r="C54" s="13">
        <f>C53/C50</f>
        <v>-1.8507941114865758E-3</v>
      </c>
      <c r="D54" s="13">
        <f>D53/D50</f>
        <v>-1.8399406750999867E-3</v>
      </c>
      <c r="E54" s="13">
        <f>E53/F50</f>
        <v>-0.45683761045826943</v>
      </c>
      <c r="F54" s="13">
        <f>F53/G50</f>
        <v>4.135767004021744E-2</v>
      </c>
      <c r="G54" s="13" t="e">
        <f>G53/H50</f>
        <v>#DIV/0!</v>
      </c>
      <c r="H54" s="13" t="e">
        <f>H53/I50</f>
        <v>#DIV/0!</v>
      </c>
      <c r="I54" s="13" t="e">
        <f t="shared" ref="I54:AN54" si="36">I53/I50</f>
        <v>#DIV/0!</v>
      </c>
      <c r="J54" s="13">
        <f t="shared" si="36"/>
        <v>-1.8686599038974907E-3</v>
      </c>
      <c r="K54" s="13">
        <f t="shared" si="36"/>
        <v>0</v>
      </c>
      <c r="L54" s="13">
        <f t="shared" si="36"/>
        <v>-1.8645647936265785E-3</v>
      </c>
      <c r="M54" s="13">
        <f t="shared" si="36"/>
        <v>-1.898686109212425E-3</v>
      </c>
      <c r="N54" s="13">
        <f t="shared" si="36"/>
        <v>0</v>
      </c>
      <c r="O54" s="13">
        <f t="shared" si="36"/>
        <v>-2.1459227467811159E-3</v>
      </c>
      <c r="P54" s="13">
        <f t="shared" si="36"/>
        <v>-1.8352613725319648E-3</v>
      </c>
      <c r="Q54" s="13" t="e">
        <f t="shared" si="36"/>
        <v>#DIV/0!</v>
      </c>
      <c r="R54" s="13">
        <f t="shared" si="36"/>
        <v>-2.297676793464386E-3</v>
      </c>
      <c r="S54" s="13" t="e">
        <f t="shared" si="36"/>
        <v>#DIV/0!</v>
      </c>
      <c r="T54" s="13" t="e">
        <f t="shared" si="36"/>
        <v>#DIV/0!</v>
      </c>
      <c r="U54" s="13" t="e">
        <f t="shared" si="36"/>
        <v>#DIV/0!</v>
      </c>
      <c r="V54" s="163" t="e">
        <f t="shared" si="36"/>
        <v>#DIV/0!</v>
      </c>
      <c r="W54" s="13" t="e">
        <f t="shared" si="36"/>
        <v>#DIV/0!</v>
      </c>
      <c r="X54" s="13" t="e">
        <f t="shared" si="36"/>
        <v>#DIV/0!</v>
      </c>
      <c r="Y54" s="13">
        <f t="shared" si="36"/>
        <v>-1.7764416507242415E-3</v>
      </c>
      <c r="Z54" s="13">
        <f t="shared" si="36"/>
        <v>-1.4992503748125937E-3</v>
      </c>
      <c r="AA54" s="13">
        <f t="shared" si="36"/>
        <v>-1.6042780748663102E-3</v>
      </c>
      <c r="AB54" s="13" t="e">
        <f t="shared" si="36"/>
        <v>#DIV/0!</v>
      </c>
      <c r="AC54" s="14" t="e">
        <f t="shared" si="36"/>
        <v>#DIV/0!</v>
      </c>
      <c r="AD54" s="13">
        <f t="shared" si="36"/>
        <v>-1.8457257812716141E-3</v>
      </c>
      <c r="AE54" s="13">
        <f t="shared" si="36"/>
        <v>0</v>
      </c>
      <c r="AF54" s="13">
        <f t="shared" si="36"/>
        <v>-1.8108810329895283E-3</v>
      </c>
      <c r="AG54" s="13">
        <f t="shared" si="36"/>
        <v>-2.2779043280182231E-3</v>
      </c>
      <c r="AH54" s="13" t="e">
        <f t="shared" si="36"/>
        <v>#DIV/0!</v>
      </c>
      <c r="AI54" s="13" t="e">
        <f t="shared" si="36"/>
        <v>#DIV/0!</v>
      </c>
      <c r="AJ54" s="13" t="e">
        <f t="shared" si="36"/>
        <v>#DIV/0!</v>
      </c>
      <c r="AK54" s="13">
        <f t="shared" si="36"/>
        <v>-1.8552875695732839E-3</v>
      </c>
      <c r="AL54" s="13">
        <f t="shared" si="36"/>
        <v>-1.8634423148796396E-3</v>
      </c>
      <c r="AM54" s="13" t="e">
        <f t="shared" si="36"/>
        <v>#DIV/0!</v>
      </c>
      <c r="AN54" s="13" t="e">
        <f t="shared" si="36"/>
        <v>#DIV/0!</v>
      </c>
      <c r="AO54" s="163">
        <f t="shared" ref="AO54:BK54" si="37">AO53/AO50</f>
        <v>-1.8443794296784586E-3</v>
      </c>
      <c r="AP54" s="13">
        <f t="shared" si="37"/>
        <v>-1.8680203045685279E-3</v>
      </c>
      <c r="AQ54" s="14" t="e">
        <f t="shared" si="37"/>
        <v>#DIV/0!</v>
      </c>
      <c r="AR54" s="13" t="e">
        <f t="shared" si="37"/>
        <v>#DIV/0!</v>
      </c>
      <c r="AS54" s="13" t="e">
        <f t="shared" si="37"/>
        <v>#DIV/0!</v>
      </c>
      <c r="AT54" s="13" t="e">
        <f t="shared" si="37"/>
        <v>#DIV/0!</v>
      </c>
      <c r="AU54" s="13" t="e">
        <f t="shared" si="37"/>
        <v>#DIV/0!</v>
      </c>
      <c r="AV54" s="13" t="e">
        <f t="shared" si="37"/>
        <v>#DIV/0!</v>
      </c>
      <c r="AW54" s="13" t="e">
        <f t="shared" si="37"/>
        <v>#DIV/0!</v>
      </c>
      <c r="AX54" s="13" t="e">
        <f t="shared" si="37"/>
        <v>#DIV/0!</v>
      </c>
      <c r="AY54" s="13" t="e">
        <f t="shared" si="37"/>
        <v>#DIV/0!</v>
      </c>
      <c r="AZ54" s="13" t="e">
        <f t="shared" si="37"/>
        <v>#DIV/0!</v>
      </c>
      <c r="BA54" s="13" t="e">
        <f t="shared" si="37"/>
        <v>#DIV/0!</v>
      </c>
      <c r="BB54" s="14" t="e">
        <f t="shared" si="37"/>
        <v>#DIV/0!</v>
      </c>
      <c r="BC54" s="13">
        <f t="shared" si="37"/>
        <v>-1.8895427306591804E-3</v>
      </c>
      <c r="BD54" s="13">
        <f t="shared" si="37"/>
        <v>-1.8895427306591804E-3</v>
      </c>
      <c r="BE54" s="13" t="e">
        <f t="shared" si="37"/>
        <v>#DIV/0!</v>
      </c>
      <c r="BF54" s="13">
        <f t="shared" si="37"/>
        <v>-1.6661292056325916E-3</v>
      </c>
      <c r="BG54" s="13">
        <f t="shared" si="37"/>
        <v>-1.8452263571569429E-3</v>
      </c>
      <c r="BH54" s="163">
        <f t="shared" si="37"/>
        <v>-1.8500730387377166E-3</v>
      </c>
      <c r="BI54" s="46">
        <f t="shared" si="37"/>
        <v>-1.8472596126177397E-3</v>
      </c>
      <c r="BJ54" s="13">
        <f t="shared" si="37"/>
        <v>-2.1382141635306192E-5</v>
      </c>
      <c r="BK54" s="52">
        <f t="shared" si="37"/>
        <v>-1.8693659817847488E-3</v>
      </c>
      <c r="BM54" s="163">
        <f>BM53/BM50</f>
        <v>-1.9142497169146587E-3</v>
      </c>
    </row>
    <row r="55" spans="1:65" ht="15.75">
      <c r="A55" s="130"/>
      <c r="B55" s="5" t="s">
        <v>126</v>
      </c>
      <c r="C55" s="11">
        <f>C52-C51</f>
        <v>54995</v>
      </c>
      <c r="D55" s="11">
        <f t="shared" ref="D55:BK55" si="38">D52-D51</f>
        <v>138907</v>
      </c>
      <c r="E55" s="11">
        <f t="shared" si="38"/>
        <v>1977</v>
      </c>
      <c r="F55" s="11">
        <f t="shared" si="38"/>
        <v>8425</v>
      </c>
      <c r="G55" s="11">
        <f t="shared" si="38"/>
        <v>12843</v>
      </c>
      <c r="H55" s="11">
        <f t="shared" si="38"/>
        <v>0</v>
      </c>
      <c r="I55" s="11">
        <f t="shared" si="38"/>
        <v>0</v>
      </c>
      <c r="J55" s="11">
        <f t="shared" si="38"/>
        <v>2103</v>
      </c>
      <c r="K55" s="11">
        <f t="shared" si="38"/>
        <v>-646</v>
      </c>
      <c r="L55" s="11">
        <f t="shared" si="38"/>
        <v>7715</v>
      </c>
      <c r="M55" s="11">
        <f t="shared" si="38"/>
        <v>3311</v>
      </c>
      <c r="N55" s="11">
        <f t="shared" si="38"/>
        <v>1</v>
      </c>
      <c r="O55" s="11">
        <f t="shared" si="38"/>
        <v>1068</v>
      </c>
      <c r="P55" s="11">
        <f t="shared" si="38"/>
        <v>21735</v>
      </c>
      <c r="Q55" s="11">
        <f t="shared" si="38"/>
        <v>0</v>
      </c>
      <c r="R55" s="11">
        <f t="shared" si="38"/>
        <v>1105</v>
      </c>
      <c r="S55" s="11">
        <f t="shared" si="38"/>
        <v>0</v>
      </c>
      <c r="T55" s="11">
        <f t="shared" si="38"/>
        <v>0</v>
      </c>
      <c r="U55" s="11">
        <f>U52-U51</f>
        <v>0</v>
      </c>
      <c r="V55" s="9">
        <f t="shared" si="38"/>
        <v>0</v>
      </c>
      <c r="W55" s="11">
        <f t="shared" si="38"/>
        <v>0</v>
      </c>
      <c r="X55" s="11">
        <f t="shared" si="38"/>
        <v>0</v>
      </c>
      <c r="Y55" s="11">
        <f t="shared" si="38"/>
        <v>-859</v>
      </c>
      <c r="Z55" s="11">
        <f t="shared" si="38"/>
        <v>-1832</v>
      </c>
      <c r="AA55" s="11">
        <f t="shared" si="38"/>
        <v>223</v>
      </c>
      <c r="AB55" s="11">
        <f>AB52-AB51</f>
        <v>0</v>
      </c>
      <c r="AC55" s="10">
        <f>AC52-AC51</f>
        <v>0</v>
      </c>
      <c r="AD55" s="11">
        <f>AD52-AD51</f>
        <v>251071</v>
      </c>
      <c r="AE55" s="11">
        <f t="shared" si="38"/>
        <v>45</v>
      </c>
      <c r="AF55" s="11">
        <f t="shared" si="38"/>
        <v>4173</v>
      </c>
      <c r="AG55" s="11">
        <f t="shared" si="38"/>
        <v>7701</v>
      </c>
      <c r="AH55" s="11">
        <f t="shared" si="38"/>
        <v>0</v>
      </c>
      <c r="AI55" s="11">
        <f t="shared" si="38"/>
        <v>0</v>
      </c>
      <c r="AJ55" s="11">
        <f t="shared" si="38"/>
        <v>-90</v>
      </c>
      <c r="AK55" s="11">
        <f t="shared" si="38"/>
        <v>-39692</v>
      </c>
      <c r="AL55" s="11">
        <f t="shared" si="38"/>
        <v>14348</v>
      </c>
      <c r="AM55" s="11">
        <f t="shared" si="38"/>
        <v>0</v>
      </c>
      <c r="AN55" s="11">
        <f t="shared" si="38"/>
        <v>0</v>
      </c>
      <c r="AO55" s="9">
        <f t="shared" si="38"/>
        <v>-42506</v>
      </c>
      <c r="AP55" s="11">
        <f t="shared" si="38"/>
        <v>-25420</v>
      </c>
      <c r="AQ55" s="10">
        <f t="shared" si="38"/>
        <v>0</v>
      </c>
      <c r="AR55" s="11">
        <f t="shared" si="38"/>
        <v>0</v>
      </c>
      <c r="AS55" s="11">
        <f t="shared" si="38"/>
        <v>0</v>
      </c>
      <c r="AT55" s="11">
        <f t="shared" si="38"/>
        <v>0</v>
      </c>
      <c r="AU55" s="11">
        <f t="shared" si="38"/>
        <v>0</v>
      </c>
      <c r="AV55" s="11">
        <f t="shared" si="38"/>
        <v>0</v>
      </c>
      <c r="AW55" s="11">
        <f t="shared" si="38"/>
        <v>-8</v>
      </c>
      <c r="AX55" s="11">
        <f t="shared" si="38"/>
        <v>0</v>
      </c>
      <c r="AY55" s="11">
        <f t="shared" si="38"/>
        <v>0</v>
      </c>
      <c r="AZ55" s="11">
        <f t="shared" si="38"/>
        <v>0</v>
      </c>
      <c r="BA55" s="11">
        <f t="shared" si="38"/>
        <v>0</v>
      </c>
      <c r="BB55" s="10">
        <f t="shared" si="38"/>
        <v>0</v>
      </c>
      <c r="BC55" s="11">
        <f t="shared" si="38"/>
        <v>3129</v>
      </c>
      <c r="BD55" s="11">
        <f t="shared" si="38"/>
        <v>3303</v>
      </c>
      <c r="BE55" s="11">
        <f t="shared" si="38"/>
        <v>0</v>
      </c>
      <c r="BF55" s="11">
        <f t="shared" si="38"/>
        <v>-22095</v>
      </c>
      <c r="BG55" s="11">
        <f t="shared" si="38"/>
        <v>-291698</v>
      </c>
      <c r="BH55" s="9">
        <f t="shared" si="38"/>
        <v>-388810</v>
      </c>
      <c r="BI55" s="45">
        <f t="shared" si="38"/>
        <v>-137739</v>
      </c>
      <c r="BJ55" s="11">
        <f t="shared" si="38"/>
        <v>24245</v>
      </c>
      <c r="BK55" s="51">
        <f t="shared" si="38"/>
        <v>-161984</v>
      </c>
      <c r="BM55" s="30">
        <f>BK55-AD55</f>
        <v>-413055</v>
      </c>
    </row>
    <row r="56" spans="1:65" ht="15.75">
      <c r="A56" s="130"/>
      <c r="B56" s="5" t="s">
        <v>127</v>
      </c>
      <c r="C56" s="13">
        <f t="shared" ref="C56:AH56" si="39">C55/C51</f>
        <v>4.1002031648990696E-2</v>
      </c>
      <c r="D56" s="13">
        <f t="shared" si="39"/>
        <v>0.27533979658786145</v>
      </c>
      <c r="E56" s="13">
        <f t="shared" si="39"/>
        <v>3.1818840229829559E-2</v>
      </c>
      <c r="F56" s="13">
        <f t="shared" si="39"/>
        <v>7.7018713033303168E-2</v>
      </c>
      <c r="G56" s="13">
        <f t="shared" si="39"/>
        <v>0.12832092721186991</v>
      </c>
      <c r="H56" s="13" t="e">
        <f t="shared" si="39"/>
        <v>#DIV/0!</v>
      </c>
      <c r="I56" s="13" t="e">
        <f t="shared" si="39"/>
        <v>#DIV/0!</v>
      </c>
      <c r="J56" s="13">
        <f t="shared" si="39"/>
        <v>0.39125581395348835</v>
      </c>
      <c r="K56" s="13">
        <f t="shared" si="39"/>
        <v>-0.53743760399334439</v>
      </c>
      <c r="L56" s="13">
        <f t="shared" si="39"/>
        <v>0.48708883136561654</v>
      </c>
      <c r="M56" s="13">
        <f t="shared" si="39"/>
        <v>0.14412571279327907</v>
      </c>
      <c r="N56" s="13">
        <f t="shared" si="39"/>
        <v>7.6923076923076927E-2</v>
      </c>
      <c r="O56" s="13">
        <f t="shared" si="39"/>
        <v>0.48834019204389573</v>
      </c>
      <c r="P56" s="13">
        <f t="shared" si="39"/>
        <v>0.23364938080495357</v>
      </c>
      <c r="Q56" s="13" t="e">
        <f t="shared" si="39"/>
        <v>#DIV/0!</v>
      </c>
      <c r="R56" s="13">
        <f t="shared" si="39"/>
        <v>0.39422047805922228</v>
      </c>
      <c r="S56" s="13" t="e">
        <f t="shared" si="39"/>
        <v>#DIV/0!</v>
      </c>
      <c r="T56" s="13" t="e">
        <f t="shared" si="39"/>
        <v>#DIV/0!</v>
      </c>
      <c r="U56" s="13" t="e">
        <f t="shared" si="39"/>
        <v>#DIV/0!</v>
      </c>
      <c r="V56" s="163" t="e">
        <f t="shared" si="39"/>
        <v>#DIV/0!</v>
      </c>
      <c r="W56" s="13" t="e">
        <f t="shared" si="39"/>
        <v>#DIV/0!</v>
      </c>
      <c r="X56" s="13" t="e">
        <f t="shared" si="39"/>
        <v>#DIV/0!</v>
      </c>
      <c r="Y56" s="13">
        <f t="shared" si="39"/>
        <v>-0.10521803037726604</v>
      </c>
      <c r="Z56" s="13">
        <f t="shared" si="39"/>
        <v>-0.47832898172323762</v>
      </c>
      <c r="AA56" s="13">
        <f t="shared" si="39"/>
        <v>0.13564476885644769</v>
      </c>
      <c r="AB56" s="13" t="e">
        <f t="shared" si="39"/>
        <v>#DIV/0!</v>
      </c>
      <c r="AC56" s="14" t="e">
        <f t="shared" si="39"/>
        <v>#DIV/0!</v>
      </c>
      <c r="AD56" s="13">
        <f t="shared" si="39"/>
        <v>0.11038858544276388</v>
      </c>
      <c r="AE56" s="13">
        <f t="shared" si="39"/>
        <v>0.13392857142857142</v>
      </c>
      <c r="AF56" s="13">
        <f t="shared" si="39"/>
        <v>0.49065255731922397</v>
      </c>
      <c r="AG56" s="13">
        <f t="shared" si="39"/>
        <v>42.081967213114751</v>
      </c>
      <c r="AH56" s="13" t="e">
        <f t="shared" si="39"/>
        <v>#DIV/0!</v>
      </c>
      <c r="AI56" s="13" t="e">
        <f t="shared" ref="AI56:BK56" si="40">AI55/AI51</f>
        <v>#DIV/0!</v>
      </c>
      <c r="AJ56" s="13">
        <f t="shared" si="40"/>
        <v>-1</v>
      </c>
      <c r="AK56" s="13">
        <f t="shared" si="40"/>
        <v>-0.1441584100880379</v>
      </c>
      <c r="AL56" s="13">
        <f t="shared" si="40"/>
        <v>8.1862736707575212E-2</v>
      </c>
      <c r="AM56" s="13" t="e">
        <f t="shared" si="40"/>
        <v>#DIV/0!</v>
      </c>
      <c r="AN56" s="13" t="e">
        <f t="shared" si="40"/>
        <v>#DIV/0!</v>
      </c>
      <c r="AO56" s="163">
        <f t="shared" si="40"/>
        <v>-0.10707232533301091</v>
      </c>
      <c r="AP56" s="13">
        <f t="shared" si="40"/>
        <v>-0.50841016820336404</v>
      </c>
      <c r="AQ56" s="14" t="e">
        <f t="shared" si="40"/>
        <v>#DIV/0!</v>
      </c>
      <c r="AR56" s="13" t="e">
        <f t="shared" si="40"/>
        <v>#DIV/0!</v>
      </c>
      <c r="AS56" s="13" t="e">
        <f t="shared" si="40"/>
        <v>#DIV/0!</v>
      </c>
      <c r="AT56" s="13" t="e">
        <f t="shared" si="40"/>
        <v>#DIV/0!</v>
      </c>
      <c r="AU56" s="13" t="e">
        <f t="shared" si="40"/>
        <v>#DIV/0!</v>
      </c>
      <c r="AV56" s="13" t="e">
        <f t="shared" si="40"/>
        <v>#DIV/0!</v>
      </c>
      <c r="AW56" s="13">
        <f t="shared" si="40"/>
        <v>-1</v>
      </c>
      <c r="AX56" s="13" t="e">
        <f t="shared" si="40"/>
        <v>#DIV/0!</v>
      </c>
      <c r="AY56" s="13" t="e">
        <f t="shared" si="40"/>
        <v>#DIV/0!</v>
      </c>
      <c r="AZ56" s="13" t="e">
        <f t="shared" si="40"/>
        <v>#DIV/0!</v>
      </c>
      <c r="BA56" s="13" t="e">
        <f t="shared" si="40"/>
        <v>#DIV/0!</v>
      </c>
      <c r="BB56" s="14" t="e">
        <f t="shared" si="40"/>
        <v>#DIV/0!</v>
      </c>
      <c r="BC56" s="13">
        <f t="shared" si="40"/>
        <v>0.20372420079432255</v>
      </c>
      <c r="BD56" s="13">
        <f t="shared" si="40"/>
        <v>0.21751728679618043</v>
      </c>
      <c r="BE56" s="13" t="e">
        <f t="shared" si="40"/>
        <v>#DIV/0!</v>
      </c>
      <c r="BF56" s="13">
        <f t="shared" si="40"/>
        <v>-0.54327514138185395</v>
      </c>
      <c r="BG56" s="13">
        <f t="shared" si="40"/>
        <v>-0.37029777629392474</v>
      </c>
      <c r="BH56" s="163">
        <f t="shared" si="40"/>
        <v>-0.22020623414547397</v>
      </c>
      <c r="BI56" s="46">
        <f t="shared" si="40"/>
        <v>-3.4093035505132062E-2</v>
      </c>
      <c r="BJ56" s="13">
        <f t="shared" si="40"/>
        <v>1.0765029748690169</v>
      </c>
      <c r="BK56" s="52">
        <f t="shared" si="40"/>
        <v>-4.0318899235109777E-2</v>
      </c>
      <c r="BM56" s="14">
        <f>BM55/BM51</f>
        <v>-0.23696017705968708</v>
      </c>
    </row>
    <row r="57" spans="1:65" ht="15.75">
      <c r="A57" s="130"/>
      <c r="B57" s="5" t="s">
        <v>328</v>
      </c>
      <c r="C57" s="128">
        <f>C52/C49</f>
        <v>0.99814920588851341</v>
      </c>
      <c r="D57" s="128">
        <f t="shared" ref="D57:BK57" si="41">D52/D49</f>
        <v>0.99816005932490004</v>
      </c>
      <c r="E57" s="128">
        <f t="shared" si="41"/>
        <v>0.99817833621374186</v>
      </c>
      <c r="F57" s="128">
        <f t="shared" si="41"/>
        <v>0.99816149994492975</v>
      </c>
      <c r="G57" s="128">
        <f t="shared" si="41"/>
        <v>0.99817032748486323</v>
      </c>
      <c r="H57" s="128" t="e">
        <f t="shared" si="41"/>
        <v>#DIV/0!</v>
      </c>
      <c r="I57" s="128" t="e">
        <f t="shared" si="41"/>
        <v>#DIV/0!</v>
      </c>
      <c r="J57" s="128">
        <f t="shared" si="41"/>
        <v>0.99813134009610249</v>
      </c>
      <c r="K57" s="128">
        <f t="shared" si="41"/>
        <v>1</v>
      </c>
      <c r="L57" s="128">
        <f t="shared" si="41"/>
        <v>0.99813543520637338</v>
      </c>
      <c r="M57" s="128">
        <f t="shared" si="41"/>
        <v>0.9981013138907876</v>
      </c>
      <c r="N57" s="128">
        <f t="shared" si="41"/>
        <v>1</v>
      </c>
      <c r="O57" s="128">
        <f t="shared" si="41"/>
        <v>0.99785407725321884</v>
      </c>
      <c r="P57" s="128">
        <f t="shared" si="41"/>
        <v>0.99816473862746802</v>
      </c>
      <c r="Q57" s="128" t="e">
        <f t="shared" si="41"/>
        <v>#DIV/0!</v>
      </c>
      <c r="R57" s="128">
        <f t="shared" si="41"/>
        <v>0.99770232320653562</v>
      </c>
      <c r="S57" s="128" t="e">
        <f t="shared" si="41"/>
        <v>#DIV/0!</v>
      </c>
      <c r="T57" s="128" t="e">
        <f t="shared" si="41"/>
        <v>#DIV/0!</v>
      </c>
      <c r="U57" s="128" t="e">
        <f t="shared" si="41"/>
        <v>#DIV/0!</v>
      </c>
      <c r="V57" s="178" t="e">
        <f t="shared" si="41"/>
        <v>#DIV/0!</v>
      </c>
      <c r="W57" s="128" t="e">
        <f t="shared" si="41"/>
        <v>#DIV/0!</v>
      </c>
      <c r="X57" s="128" t="e">
        <f t="shared" si="41"/>
        <v>#DIV/0!</v>
      </c>
      <c r="Y57" s="128">
        <f t="shared" si="41"/>
        <v>0.99822355834927579</v>
      </c>
      <c r="Z57" s="128">
        <f t="shared" si="41"/>
        <v>0.99850074962518742</v>
      </c>
      <c r="AA57" s="128">
        <f t="shared" si="41"/>
        <v>0.99839572192513371</v>
      </c>
      <c r="AB57" s="128" t="e">
        <f>AB52/AB49</f>
        <v>#DIV/0!</v>
      </c>
      <c r="AC57" s="217" t="e">
        <f t="shared" si="41"/>
        <v>#DIV/0!</v>
      </c>
      <c r="AD57" s="128">
        <f t="shared" si="41"/>
        <v>0.99815427421872838</v>
      </c>
      <c r="AE57" s="128">
        <f t="shared" si="41"/>
        <v>1</v>
      </c>
      <c r="AF57" s="128">
        <f t="shared" si="41"/>
        <v>0.99818911896701046</v>
      </c>
      <c r="AG57" s="128">
        <f t="shared" si="41"/>
        <v>0.99772209567198178</v>
      </c>
      <c r="AH57" s="128" t="e">
        <f t="shared" si="41"/>
        <v>#DIV/0!</v>
      </c>
      <c r="AI57" s="128" t="e">
        <f t="shared" si="41"/>
        <v>#DIV/0!</v>
      </c>
      <c r="AJ57" s="128" t="e">
        <f t="shared" si="41"/>
        <v>#DIV/0!</v>
      </c>
      <c r="AK57" s="128">
        <f t="shared" si="41"/>
        <v>0.99814471243042668</v>
      </c>
      <c r="AL57" s="128">
        <f t="shared" si="41"/>
        <v>0.99813655768512033</v>
      </c>
      <c r="AM57" s="128" t="e">
        <f t="shared" si="41"/>
        <v>#DIV/0!</v>
      </c>
      <c r="AN57" s="128" t="e">
        <f t="shared" si="41"/>
        <v>#DIV/0!</v>
      </c>
      <c r="AO57" s="178">
        <f t="shared" si="41"/>
        <v>0.99815562057032159</v>
      </c>
      <c r="AP57" s="128">
        <f t="shared" si="41"/>
        <v>0.99813197969543144</v>
      </c>
      <c r="AQ57" s="217" t="e">
        <f t="shared" si="41"/>
        <v>#DIV/0!</v>
      </c>
      <c r="AR57" s="128" t="e">
        <f t="shared" si="41"/>
        <v>#DIV/0!</v>
      </c>
      <c r="AS57" s="128" t="e">
        <f t="shared" si="41"/>
        <v>#DIV/0!</v>
      </c>
      <c r="AT57" s="128" t="e">
        <f t="shared" si="41"/>
        <v>#DIV/0!</v>
      </c>
      <c r="AU57" s="128" t="e">
        <f t="shared" si="41"/>
        <v>#DIV/0!</v>
      </c>
      <c r="AV57" s="128" t="e">
        <f t="shared" si="41"/>
        <v>#DIV/0!</v>
      </c>
      <c r="AW57" s="128" t="e">
        <f t="shared" si="41"/>
        <v>#DIV/0!</v>
      </c>
      <c r="AX57" s="128" t="e">
        <f t="shared" si="41"/>
        <v>#DIV/0!</v>
      </c>
      <c r="AY57" s="128" t="e">
        <f t="shared" si="41"/>
        <v>#DIV/0!</v>
      </c>
      <c r="AZ57" s="128" t="e">
        <f t="shared" si="41"/>
        <v>#DIV/0!</v>
      </c>
      <c r="BA57" s="128" t="e">
        <f t="shared" si="41"/>
        <v>#DIV/0!</v>
      </c>
      <c r="BB57" s="217" t="e">
        <f t="shared" si="41"/>
        <v>#DIV/0!</v>
      </c>
      <c r="BC57" s="128">
        <f t="shared" si="41"/>
        <v>0.99811045726934078</v>
      </c>
      <c r="BD57" s="128">
        <f t="shared" si="41"/>
        <v>0.99811045726934078</v>
      </c>
      <c r="BE57" s="128" t="e">
        <f t="shared" si="41"/>
        <v>#DIV/0!</v>
      </c>
      <c r="BF57" s="128">
        <f t="shared" si="41"/>
        <v>0.99833387079436742</v>
      </c>
      <c r="BG57" s="128">
        <f t="shared" si="41"/>
        <v>0.99815477364284311</v>
      </c>
      <c r="BH57" s="178">
        <f t="shared" si="41"/>
        <v>0.99814992696126226</v>
      </c>
      <c r="BI57" s="128">
        <f t="shared" si="41"/>
        <v>0.99815274038738222</v>
      </c>
      <c r="BJ57" s="128">
        <f t="shared" si="41"/>
        <v>0.99997861785836473</v>
      </c>
      <c r="BK57" s="128">
        <f t="shared" si="41"/>
        <v>0.99813063401821522</v>
      </c>
      <c r="BM57" s="128">
        <f>BM52/BM49</f>
        <v>0.99808575028308533</v>
      </c>
    </row>
    <row r="58" spans="1:65" s="181" customFormat="1" ht="15.75">
      <c r="A58" s="130"/>
      <c r="B58" s="5" t="s">
        <v>327</v>
      </c>
      <c r="C58" s="11">
        <f>C49-C52</f>
        <v>2589</v>
      </c>
      <c r="D58" s="11">
        <f t="shared" ref="D58:BM58" si="42">D52-D49</f>
        <v>-1186</v>
      </c>
      <c r="E58" s="11">
        <f t="shared" si="42"/>
        <v>-117</v>
      </c>
      <c r="F58" s="11">
        <f t="shared" si="42"/>
        <v>-217</v>
      </c>
      <c r="G58" s="11">
        <f t="shared" si="42"/>
        <v>-207</v>
      </c>
      <c r="H58" s="11">
        <f t="shared" si="42"/>
        <v>0</v>
      </c>
      <c r="I58" s="11">
        <f t="shared" si="42"/>
        <v>0</v>
      </c>
      <c r="J58" s="11">
        <f t="shared" si="42"/>
        <v>-14</v>
      </c>
      <c r="K58" s="11">
        <f t="shared" si="42"/>
        <v>0</v>
      </c>
      <c r="L58" s="11">
        <f t="shared" si="42"/>
        <v>-44</v>
      </c>
      <c r="M58" s="11">
        <f t="shared" si="42"/>
        <v>-50</v>
      </c>
      <c r="N58" s="11">
        <f t="shared" si="42"/>
        <v>0</v>
      </c>
      <c r="O58" s="11">
        <f t="shared" si="42"/>
        <v>-7</v>
      </c>
      <c r="P58" s="11">
        <f t="shared" si="42"/>
        <v>-211</v>
      </c>
      <c r="Q58" s="11">
        <f t="shared" si="42"/>
        <v>0</v>
      </c>
      <c r="R58" s="11">
        <f t="shared" si="42"/>
        <v>-9</v>
      </c>
      <c r="S58" s="11">
        <f t="shared" si="42"/>
        <v>0</v>
      </c>
      <c r="T58" s="11">
        <f t="shared" si="42"/>
        <v>0</v>
      </c>
      <c r="U58" s="11">
        <f t="shared" si="42"/>
        <v>0</v>
      </c>
      <c r="V58" s="9">
        <f t="shared" si="42"/>
        <v>0</v>
      </c>
      <c r="W58" s="11">
        <f t="shared" si="42"/>
        <v>0</v>
      </c>
      <c r="X58" s="11">
        <f t="shared" si="42"/>
        <v>0</v>
      </c>
      <c r="Y58" s="11">
        <f t="shared" si="42"/>
        <v>-13</v>
      </c>
      <c r="Z58" s="11">
        <f t="shared" si="42"/>
        <v>-3</v>
      </c>
      <c r="AA58" s="11">
        <f t="shared" si="42"/>
        <v>-3</v>
      </c>
      <c r="AB58" s="11">
        <f>AB52-AB49</f>
        <v>0</v>
      </c>
      <c r="AC58" s="10">
        <f t="shared" si="42"/>
        <v>0</v>
      </c>
      <c r="AD58" s="11">
        <f t="shared" si="42"/>
        <v>-4670</v>
      </c>
      <c r="AE58" s="11">
        <f t="shared" si="42"/>
        <v>0</v>
      </c>
      <c r="AF58" s="11">
        <f t="shared" si="42"/>
        <v>-23</v>
      </c>
      <c r="AG58" s="11">
        <f t="shared" si="42"/>
        <v>-18</v>
      </c>
      <c r="AH58" s="11">
        <f t="shared" si="42"/>
        <v>0</v>
      </c>
      <c r="AI58" s="11">
        <f t="shared" si="42"/>
        <v>0</v>
      </c>
      <c r="AJ58" s="11">
        <f t="shared" si="42"/>
        <v>0</v>
      </c>
      <c r="AK58" s="11">
        <f t="shared" si="42"/>
        <v>-438</v>
      </c>
      <c r="AL58" s="11">
        <f t="shared" si="42"/>
        <v>-354</v>
      </c>
      <c r="AM58" s="11">
        <f t="shared" si="42"/>
        <v>0</v>
      </c>
      <c r="AN58" s="11">
        <f t="shared" si="42"/>
        <v>0</v>
      </c>
      <c r="AO58" s="9">
        <f t="shared" si="42"/>
        <v>-655</v>
      </c>
      <c r="AP58" s="11">
        <f t="shared" si="42"/>
        <v>-46</v>
      </c>
      <c r="AQ58" s="10">
        <f t="shared" si="42"/>
        <v>0</v>
      </c>
      <c r="AR58" s="11">
        <f t="shared" si="42"/>
        <v>0</v>
      </c>
      <c r="AS58" s="11">
        <f t="shared" si="42"/>
        <v>0</v>
      </c>
      <c r="AT58" s="11">
        <f t="shared" si="42"/>
        <v>0</v>
      </c>
      <c r="AU58" s="11">
        <f t="shared" si="42"/>
        <v>0</v>
      </c>
      <c r="AV58" s="11">
        <f t="shared" si="42"/>
        <v>0</v>
      </c>
      <c r="AW58" s="11">
        <f t="shared" si="42"/>
        <v>0</v>
      </c>
      <c r="AX58" s="11">
        <f t="shared" si="42"/>
        <v>0</v>
      </c>
      <c r="AY58" s="11">
        <f t="shared" si="42"/>
        <v>0</v>
      </c>
      <c r="AZ58" s="11">
        <f t="shared" si="42"/>
        <v>0</v>
      </c>
      <c r="BA58" s="11">
        <f t="shared" si="42"/>
        <v>0</v>
      </c>
      <c r="BB58" s="10">
        <f t="shared" si="42"/>
        <v>0</v>
      </c>
      <c r="BC58" s="11">
        <f t="shared" si="42"/>
        <v>-35</v>
      </c>
      <c r="BD58" s="11">
        <f t="shared" si="42"/>
        <v>-35</v>
      </c>
      <c r="BE58" s="11">
        <f t="shared" si="42"/>
        <v>0</v>
      </c>
      <c r="BF58" s="11">
        <f t="shared" si="42"/>
        <v>-31</v>
      </c>
      <c r="BG58" s="11">
        <f t="shared" si="42"/>
        <v>-917</v>
      </c>
      <c r="BH58" s="11">
        <f t="shared" si="42"/>
        <v>-2552</v>
      </c>
      <c r="BI58" s="11">
        <f t="shared" si="42"/>
        <v>-7222</v>
      </c>
      <c r="BJ58" s="11">
        <f t="shared" si="42"/>
        <v>-1</v>
      </c>
      <c r="BK58" s="11">
        <f t="shared" si="42"/>
        <v>-7221</v>
      </c>
      <c r="BL58" s="11">
        <f t="shared" si="42"/>
        <v>3855584</v>
      </c>
      <c r="BM58" s="11">
        <f t="shared" si="42"/>
        <v>-2551</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44"/>
      <c r="BJ59" s="5"/>
      <c r="BK59" s="50"/>
    </row>
    <row r="60" spans="1:65" s="179" customFormat="1" ht="15.75">
      <c r="A60" s="264" t="s">
        <v>132</v>
      </c>
      <c r="B60" s="9" t="s">
        <v>326</v>
      </c>
      <c r="C60" s="225">
        <v>2594253</v>
      </c>
      <c r="D60" s="225">
        <v>1499482</v>
      </c>
      <c r="E60" s="225">
        <v>106076</v>
      </c>
      <c r="F60" s="225">
        <v>474979</v>
      </c>
      <c r="G60" s="225">
        <v>207915</v>
      </c>
      <c r="H60" s="225">
        <v>0</v>
      </c>
      <c r="I60" s="225">
        <v>0</v>
      </c>
      <c r="J60" s="225">
        <v>1257499</v>
      </c>
      <c r="K60" s="225">
        <v>27424</v>
      </c>
      <c r="L60" s="225">
        <v>152414</v>
      </c>
      <c r="M60" s="225">
        <v>179214</v>
      </c>
      <c r="N60" s="225">
        <v>228</v>
      </c>
      <c r="O60" s="225">
        <v>6379</v>
      </c>
      <c r="P60" s="225">
        <v>5589</v>
      </c>
      <c r="Q60" s="225">
        <v>0</v>
      </c>
      <c r="R60" s="225">
        <v>7699</v>
      </c>
      <c r="S60" s="225"/>
      <c r="T60" s="225"/>
      <c r="U60" s="225"/>
      <c r="V60" s="225"/>
      <c r="W60" s="225"/>
      <c r="X60" s="225"/>
      <c r="Y60" s="225">
        <v>1593</v>
      </c>
      <c r="Z60" s="225">
        <v>464</v>
      </c>
      <c r="AA60" s="225">
        <v>481</v>
      </c>
      <c r="AB60" s="225">
        <v>0</v>
      </c>
      <c r="AC60" s="225">
        <v>0</v>
      </c>
      <c r="AD60" s="226">
        <f>SUM(C60:AC60)</f>
        <v>6521689</v>
      </c>
      <c r="AE60" s="225">
        <v>0</v>
      </c>
      <c r="AF60" s="225">
        <v>0</v>
      </c>
      <c r="AG60" s="225">
        <v>3734</v>
      </c>
      <c r="AH60" s="225">
        <v>0</v>
      </c>
      <c r="AI60" s="225">
        <v>0</v>
      </c>
      <c r="AJ60" s="225">
        <v>0</v>
      </c>
      <c r="AK60" s="225">
        <v>82005</v>
      </c>
      <c r="AL60" s="225">
        <v>37026</v>
      </c>
      <c r="AM60" s="225">
        <v>438301</v>
      </c>
      <c r="AN60" s="225">
        <v>165385</v>
      </c>
      <c r="AO60" s="225">
        <v>622618</v>
      </c>
      <c r="AP60" s="225">
        <v>28406</v>
      </c>
      <c r="AQ60" s="225">
        <v>0</v>
      </c>
      <c r="AR60" s="225">
        <v>0</v>
      </c>
      <c r="AS60" s="225">
        <v>0</v>
      </c>
      <c r="AT60" s="225">
        <v>0</v>
      </c>
      <c r="AU60" s="225">
        <v>0</v>
      </c>
      <c r="AV60" s="225">
        <v>0</v>
      </c>
      <c r="AW60" s="225">
        <v>0</v>
      </c>
      <c r="AX60" s="225">
        <v>0</v>
      </c>
      <c r="AY60" s="225">
        <v>0</v>
      </c>
      <c r="AZ60" s="225">
        <v>0</v>
      </c>
      <c r="BA60" s="225">
        <v>0</v>
      </c>
      <c r="BB60" s="225">
        <v>0</v>
      </c>
      <c r="BC60" s="225">
        <v>14085</v>
      </c>
      <c r="BD60" s="225">
        <v>14085</v>
      </c>
      <c r="BE60" s="225">
        <v>0</v>
      </c>
      <c r="BF60" s="225">
        <v>22469</v>
      </c>
      <c r="BG60" s="225">
        <v>0</v>
      </c>
      <c r="BH60" s="229">
        <f>SUM(AE60:BG60)</f>
        <v>1428114</v>
      </c>
      <c r="BI60" s="125">
        <f>AD60+BH60</f>
        <v>7949803</v>
      </c>
      <c r="BJ60" s="230">
        <v>0</v>
      </c>
      <c r="BK60" s="226">
        <f>BI60-BJ60</f>
        <v>7949803</v>
      </c>
      <c r="BM60" s="228">
        <f>BK60-AD60</f>
        <v>1428114</v>
      </c>
    </row>
    <row r="61" spans="1:65" s="41" customFormat="1" ht="15.75">
      <c r="A61" s="136"/>
      <c r="B61" s="234" t="s">
        <v>321</v>
      </c>
      <c r="C61" s="342">
        <v>2594253</v>
      </c>
      <c r="D61" s="342">
        <v>1499482</v>
      </c>
      <c r="E61" s="342">
        <v>106076</v>
      </c>
      <c r="F61" s="342">
        <v>474979</v>
      </c>
      <c r="G61" s="342">
        <v>207915</v>
      </c>
      <c r="H61" s="342">
        <v>0</v>
      </c>
      <c r="I61" s="342">
        <v>0</v>
      </c>
      <c r="J61" s="342">
        <v>1257499</v>
      </c>
      <c r="K61" s="342">
        <v>27424</v>
      </c>
      <c r="L61" s="342">
        <v>152414</v>
      </c>
      <c r="M61" s="342">
        <v>179214</v>
      </c>
      <c r="N61" s="342">
        <v>228</v>
      </c>
      <c r="O61" s="342">
        <v>6379</v>
      </c>
      <c r="P61" s="342">
        <v>5589</v>
      </c>
      <c r="Q61" s="342">
        <v>0</v>
      </c>
      <c r="R61" s="342">
        <v>7699</v>
      </c>
      <c r="S61" s="342"/>
      <c r="T61" s="342"/>
      <c r="U61" s="342"/>
      <c r="V61" s="342"/>
      <c r="W61" s="342"/>
      <c r="X61" s="342"/>
      <c r="Y61" s="342">
        <v>1593</v>
      </c>
      <c r="Z61" s="342">
        <v>464</v>
      </c>
      <c r="AA61" s="342">
        <v>481</v>
      </c>
      <c r="AB61" s="342">
        <v>0</v>
      </c>
      <c r="AC61" s="342">
        <v>0</v>
      </c>
      <c r="AD61" s="123">
        <f>SUM(C61:AC61)</f>
        <v>6521689</v>
      </c>
      <c r="AE61" s="342">
        <v>0</v>
      </c>
      <c r="AF61" s="342">
        <v>0</v>
      </c>
      <c r="AG61" s="342">
        <v>3734</v>
      </c>
      <c r="AH61" s="342">
        <v>0</v>
      </c>
      <c r="AI61" s="342">
        <v>0</v>
      </c>
      <c r="AJ61" s="342">
        <v>0</v>
      </c>
      <c r="AK61" s="342">
        <v>82005</v>
      </c>
      <c r="AL61" s="342">
        <v>37026</v>
      </c>
      <c r="AM61" s="342">
        <v>438301</v>
      </c>
      <c r="AN61" s="342">
        <v>165385</v>
      </c>
      <c r="AO61" s="342">
        <v>622618</v>
      </c>
      <c r="AP61" s="342">
        <v>28406</v>
      </c>
      <c r="AQ61" s="342">
        <v>0</v>
      </c>
      <c r="AR61" s="342">
        <v>0</v>
      </c>
      <c r="AS61" s="342">
        <v>0</v>
      </c>
      <c r="AT61" s="342">
        <v>0</v>
      </c>
      <c r="AU61" s="342">
        <v>0</v>
      </c>
      <c r="AV61" s="342">
        <v>0</v>
      </c>
      <c r="AW61" s="342">
        <v>0</v>
      </c>
      <c r="AX61" s="342">
        <v>0</v>
      </c>
      <c r="AY61" s="342">
        <v>0</v>
      </c>
      <c r="AZ61" s="342">
        <v>0</v>
      </c>
      <c r="BA61" s="342">
        <v>0</v>
      </c>
      <c r="BB61" s="342">
        <v>0</v>
      </c>
      <c r="BC61" s="342">
        <v>14085</v>
      </c>
      <c r="BD61" s="342">
        <v>14085</v>
      </c>
      <c r="BE61" s="342">
        <v>0</v>
      </c>
      <c r="BF61" s="342">
        <v>22469</v>
      </c>
      <c r="BG61" s="342">
        <v>0</v>
      </c>
      <c r="BH61" s="124">
        <f>SUM(AE61:BG61)</f>
        <v>1428114</v>
      </c>
      <c r="BI61" s="220">
        <f>AD61+BH61</f>
        <v>7949803</v>
      </c>
      <c r="BJ61" s="343">
        <v>0</v>
      </c>
      <c r="BK61" s="123">
        <f>BI61-BJ61</f>
        <v>7949803</v>
      </c>
      <c r="BL61" s="41">
        <f>'[1]Upto Month Current'!$G$61</f>
        <v>856580</v>
      </c>
      <c r="BM61" s="218">
        <f>BK61-AD61</f>
        <v>1428114</v>
      </c>
    </row>
    <row r="62" spans="1:65" ht="15.75">
      <c r="A62" s="130"/>
      <c r="B62" s="12" t="s">
        <v>322</v>
      </c>
      <c r="C62" s="9">
        <f>IF('Upto Month COPPY'!$G$4="",0,'Upto Month COPPY'!$G$4)</f>
        <v>2590571</v>
      </c>
      <c r="D62" s="9">
        <f>IF('Upto Month COPPY'!$G$5="",0,'Upto Month COPPY'!$G$5)</f>
        <v>1225778</v>
      </c>
      <c r="E62" s="9">
        <f>IF('Upto Month COPPY'!$G$6="",0,'Upto Month COPPY'!$G$6)</f>
        <v>97679</v>
      </c>
      <c r="F62" s="9">
        <f>IF('Upto Month COPPY'!$G$7="",0,'Upto Month COPPY'!$G$7)</f>
        <v>465060</v>
      </c>
      <c r="G62" s="9">
        <f>IF('Upto Month COPPY'!$G$8="",0,'Upto Month COPPY'!$G$8)</f>
        <v>186434</v>
      </c>
      <c r="H62" s="9">
        <f>IF('Upto Month COPPY'!$G$9="",0,'Upto Month COPPY'!$G$9)</f>
        <v>0</v>
      </c>
      <c r="I62" s="9">
        <f>IF('Upto Month COPPY'!$G$10="",0,'Upto Month COPPY'!$G$10)</f>
        <v>0</v>
      </c>
      <c r="J62" s="9">
        <f>IF('Upto Month COPPY'!$G$11="",0,'Upto Month COPPY'!$G$11)</f>
        <v>1037286</v>
      </c>
      <c r="K62" s="9">
        <f>IF('Upto Month COPPY'!$G$12="",0,'Upto Month COPPY'!$G$12)</f>
        <v>11663</v>
      </c>
      <c r="L62" s="9">
        <f>IF('Upto Month COPPY'!$G$13="",0,'Upto Month COPPY'!$G$13)</f>
        <v>90672</v>
      </c>
      <c r="M62" s="9">
        <f>IF('Upto Month COPPY'!$G$14="",0,'Upto Month COPPY'!$G$14)</f>
        <v>167570</v>
      </c>
      <c r="N62" s="9">
        <f>IF('Upto Month COPPY'!$G$15="",0,'Upto Month COPPY'!$G$15)</f>
        <v>158</v>
      </c>
      <c r="O62" s="9">
        <f>IF('Upto Month COPPY'!$G$16="",0,'Upto Month COPPY'!$G$16)</f>
        <v>2243</v>
      </c>
      <c r="P62" s="9">
        <f>IF('Upto Month COPPY'!$G$17="",0,'Upto Month COPPY'!$G$17)</f>
        <v>3646</v>
      </c>
      <c r="Q62" s="9">
        <f>IF('Upto Month COPPY'!$G$18="",0,'Upto Month COPPY'!$G$18)</f>
        <v>0</v>
      </c>
      <c r="R62" s="9">
        <f>IF('Upto Month COPPY'!$G$21="",0,'Upto Month COPPY'!$G$21)</f>
        <v>11946</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2516</v>
      </c>
      <c r="Z62" s="9">
        <f>IF('Upto Month COPPY'!$G$43="",0,'Upto Month COPPY'!$G$43)</f>
        <v>1179</v>
      </c>
      <c r="AA62" s="9">
        <f>IF('Upto Month COPPY'!$G$44="",0,'Upto Month COPPY'!$G$44)</f>
        <v>1086</v>
      </c>
      <c r="AB62" s="9">
        <f>IF('Upto Month COPPY'!$G$48="",0,'Upto Month COPPY'!$G$48)</f>
        <v>24</v>
      </c>
      <c r="AC62" s="10">
        <f>IF('Upto Month COPPY'!$G$51="",0,'Upto Month COPPY'!$G$51)</f>
        <v>0</v>
      </c>
      <c r="AD62" s="123">
        <f>SUM(C62:AC62)</f>
        <v>5895511</v>
      </c>
      <c r="AE62" s="9">
        <f>IF('Upto Month COPPY'!$G$19="",0,'Upto Month COPPY'!$G$19)</f>
        <v>7</v>
      </c>
      <c r="AF62" s="9">
        <f>IF('Upto Month COPPY'!$G$20="",0,'Upto Month COPPY'!$G$20)</f>
        <v>0</v>
      </c>
      <c r="AG62" s="9">
        <f>IF('Upto Month COPPY'!$G$22="",0,'Upto Month COPPY'!$G$22)</f>
        <v>1412</v>
      </c>
      <c r="AH62" s="9">
        <f>IF('Upto Month COPPY'!$G$23="",0,'Upto Month COPPY'!$G$23)</f>
        <v>0</v>
      </c>
      <c r="AI62" s="9">
        <f>IF('Upto Month COPPY'!$G$24="",0,'Upto Month COPPY'!$G$24)</f>
        <v>0</v>
      </c>
      <c r="AJ62" s="9">
        <f>IF('Upto Month COPPY'!$G$25="",0,'Upto Month COPPY'!$G$25)</f>
        <v>3</v>
      </c>
      <c r="AK62" s="9">
        <f>IF('Upto Month COPPY'!$G$28="",0,'Upto Month COPPY'!$G$28)</f>
        <v>106268</v>
      </c>
      <c r="AL62" s="9">
        <f>IF('Upto Month COPPY'!$G$29="",0,'Upto Month COPPY'!$G$29)</f>
        <v>25213</v>
      </c>
      <c r="AM62" s="9">
        <f>IF('Upto Month COPPY'!$G$31="",0,'Upto Month COPPY'!$G$31)</f>
        <v>573296</v>
      </c>
      <c r="AN62" s="9">
        <f>IF('Upto Month COPPY'!$G$32="",0,'Upto Month COPPY'!$G$32)</f>
        <v>84907</v>
      </c>
      <c r="AO62" s="9">
        <f>IF('Upto Month COPPY'!$G$33="",0,'Upto Month COPPY'!$G$33)</f>
        <v>584851</v>
      </c>
      <c r="AP62" s="9">
        <f>IF('Upto Month COPPY'!$G$34="",0,'Upto Month COPPY'!$G$34)</f>
        <v>0</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15</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21688</v>
      </c>
      <c r="BD62" s="9">
        <f>IF('Upto Month COPPY'!$G$54="",0,'Upto Month COPPY'!$G$54)</f>
        <v>21688</v>
      </c>
      <c r="BE62" s="9">
        <f>IF('Upto Month COPPY'!$G$55="",0,'Upto Month COPPY'!$G$55)</f>
        <v>0</v>
      </c>
      <c r="BF62" s="9">
        <f>IF('Upto Month COPPY'!$G$56="",0,'Upto Month COPPY'!$G$56)</f>
        <v>61049</v>
      </c>
      <c r="BG62" s="9">
        <f>IF('Upto Month COPPY'!$G$58="",0,'Upto Month COPPY'!$G$58)</f>
        <v>8736</v>
      </c>
      <c r="BH62" s="9">
        <f>SUM(AE62:BG62)</f>
        <v>1489133</v>
      </c>
      <c r="BI62" s="127">
        <f>AD62+BH62</f>
        <v>7384644</v>
      </c>
      <c r="BJ62" s="9">
        <f>-IF('Upto Month COPPY'!$G$60="",0,'Upto Month COPPY'!$G$60)</f>
        <v>0</v>
      </c>
      <c r="BK62" s="51">
        <f>BI62-BJ62</f>
        <v>7384644</v>
      </c>
      <c r="BL62">
        <f>'Upto Month COPPY'!$G$61</f>
        <v>7384644</v>
      </c>
      <c r="BM62" s="30">
        <f>BK62-AD62</f>
        <v>1489133</v>
      </c>
    </row>
    <row r="63" spans="1:65" ht="17.25" customHeight="1">
      <c r="A63" s="130"/>
      <c r="B63" s="183" t="s">
        <v>323</v>
      </c>
      <c r="C63" s="9">
        <f>IF('Upto Month Current'!$G$4="",0,'Upto Month Current'!$G$4)</f>
        <v>2589438</v>
      </c>
      <c r="D63" s="9">
        <f>IF('Upto Month Current'!$G$5="",0,'Upto Month Current'!$G$5)</f>
        <v>1496700</v>
      </c>
      <c r="E63" s="9">
        <f>IF('Upto Month Current'!$G$6="",0,'Upto Month Current'!$G$6)</f>
        <v>105880</v>
      </c>
      <c r="F63" s="9">
        <f>IF('Upto Month Current'!$G$7="",0,'Upto Month Current'!$G$7)</f>
        <v>474098</v>
      </c>
      <c r="G63" s="9">
        <f>IF('Upto Month Current'!$G$8="",0,'Upto Month Current'!$G$8)</f>
        <v>207528</v>
      </c>
      <c r="H63" s="9">
        <f>IF('Upto Month Current'!$G$9="",0,'Upto Month Current'!$G$9)</f>
        <v>0</v>
      </c>
      <c r="I63" s="9">
        <f>IF('Upto Month Current'!$G$10="",0,'Upto Month Current'!$G$10)</f>
        <v>0</v>
      </c>
      <c r="J63" s="9">
        <f>IF('Upto Month Current'!$G$11="",0,'Upto Month Current'!$G$11)</f>
        <v>1255163</v>
      </c>
      <c r="K63" s="9">
        <f>IF('Upto Month Current'!$G$12="",0,'Upto Month Current'!$G$12)</f>
        <v>27374</v>
      </c>
      <c r="L63" s="9">
        <f>IF('Upto Month Current'!$G$13="",0,'Upto Month Current'!$G$13)</f>
        <v>152129</v>
      </c>
      <c r="M63" s="9">
        <f>IF('Upto Month Current'!$G$14="",0,'Upto Month Current'!$G$14)</f>
        <v>178883</v>
      </c>
      <c r="N63" s="9">
        <f>IF('Upto Month Current'!$G$15="",0,'Upto Month Current'!$G$15)</f>
        <v>228</v>
      </c>
      <c r="O63" s="9">
        <f>IF('Upto Month Current'!$G$16="",0,'Upto Month Current'!$G$16)</f>
        <v>6366</v>
      </c>
      <c r="P63" s="9">
        <f>IF('Upto Month Current'!$G$17="",0,'Upto Month Current'!$G$17)</f>
        <v>5579</v>
      </c>
      <c r="Q63" s="9">
        <f>IF('Upto Month Current'!$G$18="",0,'Upto Month Current'!$G$18)</f>
        <v>0</v>
      </c>
      <c r="R63" s="9">
        <f>IF('Upto Month Current'!$G$21="",0,'Upto Month Current'!$G$21)</f>
        <v>7685</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1591</v>
      </c>
      <c r="Z63" s="9">
        <f>IF('Upto Month Current'!$G$43="",0,'Upto Month Current'!$G$43)</f>
        <v>465</v>
      </c>
      <c r="AA63" s="9">
        <f>IF('Upto Month Current'!$G$44="",0,'Upto Month Current'!$G$44)</f>
        <v>480</v>
      </c>
      <c r="AB63" s="9">
        <f>IF('Upto Month Current'!$G$48="",0,'Upto Month Current'!$G$48)</f>
        <v>0</v>
      </c>
      <c r="AC63" s="10">
        <f>IF('Upto Month Current'!$G$51="",0,'Upto Month Current'!$G$51)</f>
        <v>0</v>
      </c>
      <c r="AD63" s="123">
        <f>SUM(C63:AC63)</f>
        <v>6509587</v>
      </c>
      <c r="AE63" s="9">
        <f>IF('Upto Month Current'!$G$19="",0,'Upto Month Current'!$G$19)</f>
        <v>0</v>
      </c>
      <c r="AF63" s="9">
        <f>IF('Upto Month Current'!$G$20="",0,'Upto Month Current'!$G$20)</f>
        <v>0</v>
      </c>
      <c r="AG63" s="9">
        <f>IF('Upto Month Current'!$G$22="",0,'Upto Month Current'!$G$22)</f>
        <v>3725</v>
      </c>
      <c r="AH63" s="9">
        <f>IF('Upto Month Current'!$G$23="",0,'Upto Month Current'!$G$23)</f>
        <v>0</v>
      </c>
      <c r="AI63" s="9">
        <f>IF('Upto Month Current'!$G$24="",0,'Upto Month Current'!$G$24)</f>
        <v>0</v>
      </c>
      <c r="AJ63" s="9">
        <f>IF('Upto Month Current'!$G$25="",0,'Upto Month Current'!$G$25)</f>
        <v>0</v>
      </c>
      <c r="AK63" s="9">
        <f>IF('Upto Month Current'!$G$28="",0,'Upto Month Current'!$G$28)</f>
        <v>81854</v>
      </c>
      <c r="AL63" s="9">
        <f>IF('Upto Month Current'!$G$29="",0,'Upto Month Current'!$G$29)</f>
        <v>36956</v>
      </c>
      <c r="AM63" s="9">
        <f>IF('Upto Month Current'!$G$31="",0,'Upto Month Current'!$G$31)</f>
        <v>437488</v>
      </c>
      <c r="AN63" s="9">
        <f>IF('Upto Month Current'!$G$32="",0,'Upto Month Current'!$G$32)</f>
        <v>165076</v>
      </c>
      <c r="AO63" s="9">
        <f>IF('Upto Month Current'!$G$33="",0,'Upto Month Current'!$G$33)</f>
        <v>621460</v>
      </c>
      <c r="AP63" s="9">
        <f>IF('Upto Month Current'!$G$34="",0,'Upto Month Current'!$G$34)</f>
        <v>28353</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14057</v>
      </c>
      <c r="BD63" s="9">
        <f>IF('Upto Month Current'!$G$54="",0,'Upto Month Current'!$G$54)</f>
        <v>14057</v>
      </c>
      <c r="BE63" s="9">
        <f>IF('Upto Month Current'!$G$55="",0,'Upto Month Current'!$G$55)</f>
        <v>0</v>
      </c>
      <c r="BF63" s="9">
        <f>IF('Upto Month Current'!$G$56="",0,'Upto Month Current'!$G$56)</f>
        <v>22428</v>
      </c>
      <c r="BG63" s="9">
        <f>IF('Upto Month Current'!$G$58="",0,'Upto Month Current'!$G$58)</f>
        <v>0</v>
      </c>
      <c r="BH63" s="9">
        <f>SUM(AE63:BG63)</f>
        <v>1425454</v>
      </c>
      <c r="BI63" s="127">
        <f>AD63+BH63</f>
        <v>7935041</v>
      </c>
      <c r="BJ63" s="9">
        <f>IF('Upto Month Current'!$G$60="",0,'Upto Month Current'!$G$60)</f>
        <v>0</v>
      </c>
      <c r="BK63" s="51">
        <f>BI63-BJ63</f>
        <v>7935041</v>
      </c>
      <c r="BL63">
        <f>'Upto Month Current'!$G$61</f>
        <v>7935044</v>
      </c>
      <c r="BM63" s="30">
        <f>BK63-AD63</f>
        <v>1425454</v>
      </c>
    </row>
    <row r="64" spans="1:65" ht="15.75">
      <c r="A64" s="130"/>
      <c r="B64" s="5" t="s">
        <v>124</v>
      </c>
      <c r="C64" s="11">
        <f t="shared" ref="C64:AH64" si="43">C63-C61</f>
        <v>-4815</v>
      </c>
      <c r="D64" s="11">
        <f t="shared" si="43"/>
        <v>-2782</v>
      </c>
      <c r="E64" s="11">
        <f t="shared" si="43"/>
        <v>-196</v>
      </c>
      <c r="F64" s="11">
        <f t="shared" si="43"/>
        <v>-881</v>
      </c>
      <c r="G64" s="11">
        <f t="shared" si="43"/>
        <v>-387</v>
      </c>
      <c r="H64" s="11">
        <f t="shared" si="43"/>
        <v>0</v>
      </c>
      <c r="I64" s="11">
        <f t="shared" si="43"/>
        <v>0</v>
      </c>
      <c r="J64" s="11">
        <f t="shared" si="43"/>
        <v>-2336</v>
      </c>
      <c r="K64" s="11">
        <f t="shared" si="43"/>
        <v>-50</v>
      </c>
      <c r="L64" s="11">
        <f t="shared" si="43"/>
        <v>-285</v>
      </c>
      <c r="M64" s="11">
        <f t="shared" si="43"/>
        <v>-331</v>
      </c>
      <c r="N64" s="11">
        <f t="shared" si="43"/>
        <v>0</v>
      </c>
      <c r="O64" s="11">
        <f t="shared" si="43"/>
        <v>-13</v>
      </c>
      <c r="P64" s="11">
        <f t="shared" si="43"/>
        <v>-10</v>
      </c>
      <c r="Q64" s="11">
        <f t="shared" si="43"/>
        <v>0</v>
      </c>
      <c r="R64" s="11">
        <f t="shared" si="43"/>
        <v>-14</v>
      </c>
      <c r="S64" s="11">
        <f t="shared" si="43"/>
        <v>0</v>
      </c>
      <c r="T64" s="11">
        <f t="shared" si="43"/>
        <v>0</v>
      </c>
      <c r="U64" s="11">
        <f t="shared" si="43"/>
        <v>0</v>
      </c>
      <c r="V64" s="9">
        <f t="shared" si="43"/>
        <v>0</v>
      </c>
      <c r="W64" s="11">
        <f t="shared" si="43"/>
        <v>0</v>
      </c>
      <c r="X64" s="11">
        <f t="shared" si="43"/>
        <v>0</v>
      </c>
      <c r="Y64" s="11">
        <f t="shared" si="43"/>
        <v>-2</v>
      </c>
      <c r="Z64" s="11">
        <f t="shared" si="43"/>
        <v>1</v>
      </c>
      <c r="AA64" s="11">
        <f t="shared" si="43"/>
        <v>-1</v>
      </c>
      <c r="AB64" s="11">
        <f t="shared" si="43"/>
        <v>0</v>
      </c>
      <c r="AC64" s="10">
        <f t="shared" si="43"/>
        <v>0</v>
      </c>
      <c r="AD64" s="11">
        <f t="shared" si="43"/>
        <v>-12102</v>
      </c>
      <c r="AE64" s="11">
        <f t="shared" si="43"/>
        <v>0</v>
      </c>
      <c r="AF64" s="11">
        <f t="shared" si="43"/>
        <v>0</v>
      </c>
      <c r="AG64" s="11">
        <f t="shared" si="43"/>
        <v>-9</v>
      </c>
      <c r="AH64" s="11">
        <f t="shared" si="43"/>
        <v>0</v>
      </c>
      <c r="AI64" s="11">
        <f t="shared" ref="AI64:BK64" si="44">AI63-AI61</f>
        <v>0</v>
      </c>
      <c r="AJ64" s="11">
        <f t="shared" si="44"/>
        <v>0</v>
      </c>
      <c r="AK64" s="11">
        <f t="shared" si="44"/>
        <v>-151</v>
      </c>
      <c r="AL64" s="11">
        <f t="shared" si="44"/>
        <v>-70</v>
      </c>
      <c r="AM64" s="11">
        <f t="shared" si="44"/>
        <v>-813</v>
      </c>
      <c r="AN64" s="11">
        <f t="shared" si="44"/>
        <v>-309</v>
      </c>
      <c r="AO64" s="9">
        <f t="shared" si="44"/>
        <v>-1158</v>
      </c>
      <c r="AP64" s="11">
        <f t="shared" si="44"/>
        <v>-53</v>
      </c>
      <c r="AQ64" s="10">
        <f t="shared" si="44"/>
        <v>0</v>
      </c>
      <c r="AR64" s="11">
        <f t="shared" si="44"/>
        <v>0</v>
      </c>
      <c r="AS64" s="11">
        <f t="shared" si="44"/>
        <v>0</v>
      </c>
      <c r="AT64" s="11">
        <f t="shared" si="44"/>
        <v>0</v>
      </c>
      <c r="AU64" s="11">
        <f t="shared" si="44"/>
        <v>0</v>
      </c>
      <c r="AV64" s="11">
        <f t="shared" si="44"/>
        <v>0</v>
      </c>
      <c r="AW64" s="11">
        <f t="shared" si="44"/>
        <v>0</v>
      </c>
      <c r="AX64" s="11">
        <f t="shared" si="44"/>
        <v>0</v>
      </c>
      <c r="AY64" s="11">
        <f t="shared" si="44"/>
        <v>0</v>
      </c>
      <c r="AZ64" s="11">
        <f t="shared" si="44"/>
        <v>0</v>
      </c>
      <c r="BA64" s="11">
        <f t="shared" si="44"/>
        <v>0</v>
      </c>
      <c r="BB64" s="10">
        <f t="shared" si="44"/>
        <v>0</v>
      </c>
      <c r="BC64" s="11">
        <f t="shared" si="44"/>
        <v>-28</v>
      </c>
      <c r="BD64" s="11">
        <f t="shared" si="44"/>
        <v>-28</v>
      </c>
      <c r="BE64" s="11">
        <f t="shared" si="44"/>
        <v>0</v>
      </c>
      <c r="BF64" s="11">
        <f t="shared" si="44"/>
        <v>-41</v>
      </c>
      <c r="BG64" s="11">
        <f t="shared" si="44"/>
        <v>0</v>
      </c>
      <c r="BH64" s="9">
        <f t="shared" si="44"/>
        <v>-2660</v>
      </c>
      <c r="BI64" s="45">
        <f t="shared" si="44"/>
        <v>-14762</v>
      </c>
      <c r="BJ64" s="11">
        <f t="shared" si="44"/>
        <v>0</v>
      </c>
      <c r="BK64" s="51">
        <f t="shared" si="44"/>
        <v>-14762</v>
      </c>
      <c r="BM64" s="30">
        <f>BK64-AD64</f>
        <v>-2660</v>
      </c>
    </row>
    <row r="65" spans="1:65" ht="15.75">
      <c r="A65" s="131"/>
      <c r="B65" s="16" t="s">
        <v>125</v>
      </c>
      <c r="C65" s="13">
        <f t="shared" ref="C65:AH65" si="45">C64/C61</f>
        <v>-1.8560256073713705E-3</v>
      </c>
      <c r="D65" s="13">
        <f t="shared" si="45"/>
        <v>-1.8553073661437751E-3</v>
      </c>
      <c r="E65" s="13">
        <f t="shared" si="45"/>
        <v>-1.847731814925148E-3</v>
      </c>
      <c r="F65" s="13">
        <f t="shared" si="45"/>
        <v>-1.8548188446226043E-3</v>
      </c>
      <c r="G65" s="13">
        <f t="shared" si="45"/>
        <v>-1.861337565832191E-3</v>
      </c>
      <c r="H65" s="13" t="e">
        <f t="shared" si="45"/>
        <v>#DIV/0!</v>
      </c>
      <c r="I65" s="13" t="e">
        <f t="shared" si="45"/>
        <v>#DIV/0!</v>
      </c>
      <c r="J65" s="13">
        <f t="shared" si="45"/>
        <v>-1.8576555528075967E-3</v>
      </c>
      <c r="K65" s="13">
        <f t="shared" si="45"/>
        <v>-1.8232205367561261E-3</v>
      </c>
      <c r="L65" s="13">
        <f t="shared" si="45"/>
        <v>-1.8699069639271982E-3</v>
      </c>
      <c r="M65" s="13">
        <f t="shared" si="45"/>
        <v>-1.8469539210106353E-3</v>
      </c>
      <c r="N65" s="13">
        <f t="shared" si="45"/>
        <v>0</v>
      </c>
      <c r="O65" s="13">
        <f t="shared" si="45"/>
        <v>-2.037936980717981E-3</v>
      </c>
      <c r="P65" s="13">
        <f t="shared" si="45"/>
        <v>-1.7892288423689391E-3</v>
      </c>
      <c r="Q65" s="13" t="e">
        <f t="shared" si="45"/>
        <v>#DIV/0!</v>
      </c>
      <c r="R65" s="13">
        <f t="shared" si="45"/>
        <v>-1.8184179763605663E-3</v>
      </c>
      <c r="S65" s="13" t="e">
        <f t="shared" si="45"/>
        <v>#DIV/0!</v>
      </c>
      <c r="T65" s="13" t="e">
        <f t="shared" si="45"/>
        <v>#DIV/0!</v>
      </c>
      <c r="U65" s="13" t="e">
        <f t="shared" si="45"/>
        <v>#DIV/0!</v>
      </c>
      <c r="V65" s="163" t="e">
        <f t="shared" si="45"/>
        <v>#DIV/0!</v>
      </c>
      <c r="W65" s="13" t="e">
        <f t="shared" si="45"/>
        <v>#DIV/0!</v>
      </c>
      <c r="X65" s="13" t="e">
        <f t="shared" si="45"/>
        <v>#DIV/0!</v>
      </c>
      <c r="Y65" s="13">
        <f t="shared" si="45"/>
        <v>-1.2554927809165098E-3</v>
      </c>
      <c r="Z65" s="13">
        <f t="shared" si="45"/>
        <v>2.1551724137931034E-3</v>
      </c>
      <c r="AA65" s="13">
        <f t="shared" si="45"/>
        <v>-2.0790020790020791E-3</v>
      </c>
      <c r="AB65" s="13" t="e">
        <f t="shared" si="45"/>
        <v>#DIV/0!</v>
      </c>
      <c r="AC65" s="14" t="e">
        <f t="shared" si="45"/>
        <v>#DIV/0!</v>
      </c>
      <c r="AD65" s="13">
        <f t="shared" si="45"/>
        <v>-1.8556542637957743E-3</v>
      </c>
      <c r="AE65" s="13" t="e">
        <f t="shared" si="45"/>
        <v>#DIV/0!</v>
      </c>
      <c r="AF65" s="13" t="e">
        <f t="shared" si="45"/>
        <v>#DIV/0!</v>
      </c>
      <c r="AG65" s="13">
        <f t="shared" si="45"/>
        <v>-2.4102838778789501E-3</v>
      </c>
      <c r="AH65" s="13" t="e">
        <f t="shared" si="45"/>
        <v>#DIV/0!</v>
      </c>
      <c r="AI65" s="13" t="e">
        <f t="shared" ref="AI65:BK65" si="46">AI64/AI61</f>
        <v>#DIV/0!</v>
      </c>
      <c r="AJ65" s="13" t="e">
        <f t="shared" si="46"/>
        <v>#DIV/0!</v>
      </c>
      <c r="AK65" s="13">
        <f t="shared" si="46"/>
        <v>-1.8413511371257851E-3</v>
      </c>
      <c r="AL65" s="13">
        <f t="shared" si="46"/>
        <v>-1.8905633878895912E-3</v>
      </c>
      <c r="AM65" s="13">
        <f t="shared" si="46"/>
        <v>-1.8548896762726984E-3</v>
      </c>
      <c r="AN65" s="13">
        <f t="shared" si="46"/>
        <v>-1.8683677479819814E-3</v>
      </c>
      <c r="AO65" s="163">
        <f t="shared" si="46"/>
        <v>-1.8598884066955983E-3</v>
      </c>
      <c r="AP65" s="13">
        <f t="shared" si="46"/>
        <v>-1.865802999366331E-3</v>
      </c>
      <c r="AQ65" s="14" t="e">
        <f t="shared" si="46"/>
        <v>#DIV/0!</v>
      </c>
      <c r="AR65" s="13" t="e">
        <f t="shared" si="46"/>
        <v>#DIV/0!</v>
      </c>
      <c r="AS65" s="13" t="e">
        <f t="shared" si="46"/>
        <v>#DIV/0!</v>
      </c>
      <c r="AT65" s="13" t="e">
        <f t="shared" si="46"/>
        <v>#DIV/0!</v>
      </c>
      <c r="AU65" s="13" t="e">
        <f t="shared" si="46"/>
        <v>#DIV/0!</v>
      </c>
      <c r="AV65" s="13" t="e">
        <f t="shared" si="46"/>
        <v>#DIV/0!</v>
      </c>
      <c r="AW65" s="13" t="e">
        <f t="shared" si="46"/>
        <v>#DIV/0!</v>
      </c>
      <c r="AX65" s="13" t="e">
        <f t="shared" si="46"/>
        <v>#DIV/0!</v>
      </c>
      <c r="AY65" s="13" t="e">
        <f t="shared" si="46"/>
        <v>#DIV/0!</v>
      </c>
      <c r="AZ65" s="13" t="e">
        <f t="shared" si="46"/>
        <v>#DIV/0!</v>
      </c>
      <c r="BA65" s="13" t="e">
        <f t="shared" si="46"/>
        <v>#DIV/0!</v>
      </c>
      <c r="BB65" s="14" t="e">
        <f t="shared" si="46"/>
        <v>#DIV/0!</v>
      </c>
      <c r="BC65" s="13">
        <f t="shared" si="46"/>
        <v>-1.9879304224352146E-3</v>
      </c>
      <c r="BD65" s="13">
        <f t="shared" si="46"/>
        <v>-1.9879304224352146E-3</v>
      </c>
      <c r="BE65" s="13" t="e">
        <f t="shared" si="46"/>
        <v>#DIV/0!</v>
      </c>
      <c r="BF65" s="13">
        <f t="shared" si="46"/>
        <v>-1.824736303351284E-3</v>
      </c>
      <c r="BG65" s="13" t="e">
        <f t="shared" si="46"/>
        <v>#DIV/0!</v>
      </c>
      <c r="BH65" s="163">
        <f t="shared" si="46"/>
        <v>-1.8625964033683585E-3</v>
      </c>
      <c r="BI65" s="46">
        <f t="shared" si="46"/>
        <v>-1.8569013596940703E-3</v>
      </c>
      <c r="BJ65" s="13" t="e">
        <f t="shared" si="46"/>
        <v>#DIV/0!</v>
      </c>
      <c r="BK65" s="52">
        <f t="shared" si="46"/>
        <v>-1.8569013596940703E-3</v>
      </c>
      <c r="BM65" s="163">
        <f>BM64/BM61</f>
        <v>-1.8625964033683585E-3</v>
      </c>
    </row>
    <row r="66" spans="1:65" ht="15.75">
      <c r="A66" s="130"/>
      <c r="B66" s="5" t="s">
        <v>126</v>
      </c>
      <c r="C66" s="11">
        <f>C63-C62</f>
        <v>-1133</v>
      </c>
      <c r="D66" s="11">
        <f t="shared" ref="D66:BK66" si="47">D63-D62</f>
        <v>270922</v>
      </c>
      <c r="E66" s="11">
        <f t="shared" si="47"/>
        <v>8201</v>
      </c>
      <c r="F66" s="11">
        <f t="shared" si="47"/>
        <v>9038</v>
      </c>
      <c r="G66" s="11">
        <f t="shared" si="47"/>
        <v>21094</v>
      </c>
      <c r="H66" s="11">
        <f t="shared" si="47"/>
        <v>0</v>
      </c>
      <c r="I66" s="11">
        <f t="shared" si="47"/>
        <v>0</v>
      </c>
      <c r="J66" s="11">
        <f t="shared" si="47"/>
        <v>217877</v>
      </c>
      <c r="K66" s="11">
        <f t="shared" si="47"/>
        <v>15711</v>
      </c>
      <c r="L66" s="11">
        <f t="shared" si="47"/>
        <v>61457</v>
      </c>
      <c r="M66" s="11">
        <f t="shared" si="47"/>
        <v>11313</v>
      </c>
      <c r="N66" s="11">
        <f t="shared" si="47"/>
        <v>70</v>
      </c>
      <c r="O66" s="11">
        <f t="shared" si="47"/>
        <v>4123</v>
      </c>
      <c r="P66" s="11">
        <f t="shared" si="47"/>
        <v>1933</v>
      </c>
      <c r="Q66" s="11">
        <f t="shared" si="47"/>
        <v>0</v>
      </c>
      <c r="R66" s="11">
        <f t="shared" si="47"/>
        <v>-4261</v>
      </c>
      <c r="S66" s="11">
        <f t="shared" si="47"/>
        <v>0</v>
      </c>
      <c r="T66" s="11">
        <f t="shared" si="47"/>
        <v>0</v>
      </c>
      <c r="U66" s="11">
        <f>U63-U62</f>
        <v>0</v>
      </c>
      <c r="V66" s="9">
        <f t="shared" si="47"/>
        <v>0</v>
      </c>
      <c r="W66" s="11">
        <f t="shared" si="47"/>
        <v>0</v>
      </c>
      <c r="X66" s="11">
        <f t="shared" si="47"/>
        <v>0</v>
      </c>
      <c r="Y66" s="11">
        <f t="shared" si="47"/>
        <v>-925</v>
      </c>
      <c r="Z66" s="11">
        <f t="shared" si="47"/>
        <v>-714</v>
      </c>
      <c r="AA66" s="11">
        <f t="shared" si="47"/>
        <v>-606</v>
      </c>
      <c r="AB66" s="11">
        <f>AB63-AB62</f>
        <v>-24</v>
      </c>
      <c r="AC66" s="10">
        <f>AC63-AC62</f>
        <v>0</v>
      </c>
      <c r="AD66" s="11">
        <f>AD63-AD62</f>
        <v>614076</v>
      </c>
      <c r="AE66" s="11">
        <f t="shared" si="47"/>
        <v>-7</v>
      </c>
      <c r="AF66" s="11">
        <f t="shared" si="47"/>
        <v>0</v>
      </c>
      <c r="AG66" s="11">
        <f t="shared" si="47"/>
        <v>2313</v>
      </c>
      <c r="AH66" s="11">
        <f t="shared" si="47"/>
        <v>0</v>
      </c>
      <c r="AI66" s="11">
        <f t="shared" si="47"/>
        <v>0</v>
      </c>
      <c r="AJ66" s="11">
        <f t="shared" si="47"/>
        <v>-3</v>
      </c>
      <c r="AK66" s="11">
        <f t="shared" si="47"/>
        <v>-24414</v>
      </c>
      <c r="AL66" s="11">
        <f t="shared" si="47"/>
        <v>11743</v>
      </c>
      <c r="AM66" s="11">
        <f t="shared" si="47"/>
        <v>-135808</v>
      </c>
      <c r="AN66" s="11">
        <f t="shared" si="47"/>
        <v>80169</v>
      </c>
      <c r="AO66" s="9">
        <f t="shared" si="47"/>
        <v>36609</v>
      </c>
      <c r="AP66" s="11">
        <f t="shared" si="47"/>
        <v>28353</v>
      </c>
      <c r="AQ66" s="10">
        <f t="shared" si="47"/>
        <v>0</v>
      </c>
      <c r="AR66" s="11">
        <f t="shared" si="47"/>
        <v>0</v>
      </c>
      <c r="AS66" s="11">
        <f t="shared" si="47"/>
        <v>0</v>
      </c>
      <c r="AT66" s="11">
        <f t="shared" si="47"/>
        <v>0</v>
      </c>
      <c r="AU66" s="11">
        <f t="shared" si="47"/>
        <v>0</v>
      </c>
      <c r="AV66" s="11">
        <f t="shared" si="47"/>
        <v>0</v>
      </c>
      <c r="AW66" s="11">
        <f t="shared" si="47"/>
        <v>-15</v>
      </c>
      <c r="AX66" s="11">
        <f t="shared" si="47"/>
        <v>0</v>
      </c>
      <c r="AY66" s="11">
        <f t="shared" si="47"/>
        <v>0</v>
      </c>
      <c r="AZ66" s="11">
        <f t="shared" si="47"/>
        <v>0</v>
      </c>
      <c r="BA66" s="11">
        <f t="shared" si="47"/>
        <v>0</v>
      </c>
      <c r="BB66" s="10">
        <f t="shared" si="47"/>
        <v>0</v>
      </c>
      <c r="BC66" s="11">
        <f t="shared" si="47"/>
        <v>-7631</v>
      </c>
      <c r="BD66" s="11">
        <f t="shared" si="47"/>
        <v>-7631</v>
      </c>
      <c r="BE66" s="11">
        <f t="shared" si="47"/>
        <v>0</v>
      </c>
      <c r="BF66" s="11">
        <f t="shared" si="47"/>
        <v>-38621</v>
      </c>
      <c r="BG66" s="11">
        <f t="shared" si="47"/>
        <v>-8736</v>
      </c>
      <c r="BH66" s="9">
        <f t="shared" si="47"/>
        <v>-63679</v>
      </c>
      <c r="BI66" s="45">
        <f t="shared" si="47"/>
        <v>550397</v>
      </c>
      <c r="BJ66" s="11">
        <f t="shared" si="47"/>
        <v>0</v>
      </c>
      <c r="BK66" s="51">
        <f t="shared" si="47"/>
        <v>550397</v>
      </c>
      <c r="BM66" s="30">
        <f>BK66-AD66</f>
        <v>-63679</v>
      </c>
    </row>
    <row r="67" spans="1:65" ht="15.75">
      <c r="A67" s="130"/>
      <c r="B67" s="5" t="s">
        <v>127</v>
      </c>
      <c r="C67" s="13">
        <f t="shared" ref="C67:AH67" si="48">C66/C62</f>
        <v>-4.3735531664640729E-4</v>
      </c>
      <c r="D67" s="13">
        <f t="shared" si="48"/>
        <v>0.22102044579034702</v>
      </c>
      <c r="E67" s="13">
        <f t="shared" si="48"/>
        <v>8.3958680985677575E-2</v>
      </c>
      <c r="F67" s="13">
        <f t="shared" si="48"/>
        <v>1.9434051520233947E-2</v>
      </c>
      <c r="G67" s="13">
        <f t="shared" si="48"/>
        <v>0.11314459808833152</v>
      </c>
      <c r="H67" s="13" t="e">
        <f t="shared" si="48"/>
        <v>#DIV/0!</v>
      </c>
      <c r="I67" s="13" t="e">
        <f t="shared" si="48"/>
        <v>#DIV/0!</v>
      </c>
      <c r="J67" s="13">
        <f t="shared" si="48"/>
        <v>0.21004525270754643</v>
      </c>
      <c r="K67" s="13">
        <f t="shared" si="48"/>
        <v>1.3470805110177484</v>
      </c>
      <c r="L67" s="13">
        <f t="shared" si="48"/>
        <v>0.6777946885477325</v>
      </c>
      <c r="M67" s="13">
        <f t="shared" si="48"/>
        <v>6.7512084501999164E-2</v>
      </c>
      <c r="N67" s="13">
        <f t="shared" si="48"/>
        <v>0.44303797468354428</v>
      </c>
      <c r="O67" s="13">
        <f t="shared" si="48"/>
        <v>1.838163174320107</v>
      </c>
      <c r="P67" s="13">
        <f t="shared" si="48"/>
        <v>0.53017004936917167</v>
      </c>
      <c r="Q67" s="13" t="e">
        <f t="shared" si="48"/>
        <v>#DIV/0!</v>
      </c>
      <c r="R67" s="13">
        <f t="shared" si="48"/>
        <v>-0.35668843127406663</v>
      </c>
      <c r="S67" s="13" t="e">
        <f t="shared" si="48"/>
        <v>#DIV/0!</v>
      </c>
      <c r="T67" s="13" t="e">
        <f t="shared" si="48"/>
        <v>#DIV/0!</v>
      </c>
      <c r="U67" s="13" t="e">
        <f t="shared" si="48"/>
        <v>#DIV/0!</v>
      </c>
      <c r="V67" s="163" t="e">
        <f t="shared" si="48"/>
        <v>#DIV/0!</v>
      </c>
      <c r="W67" s="13" t="e">
        <f t="shared" si="48"/>
        <v>#DIV/0!</v>
      </c>
      <c r="X67" s="13" t="e">
        <f t="shared" si="48"/>
        <v>#DIV/0!</v>
      </c>
      <c r="Y67" s="13">
        <f t="shared" si="48"/>
        <v>-0.36764705882352944</v>
      </c>
      <c r="Z67" s="13">
        <f t="shared" si="48"/>
        <v>-0.6055979643765903</v>
      </c>
      <c r="AA67" s="13">
        <f t="shared" si="48"/>
        <v>-0.55801104972375692</v>
      </c>
      <c r="AB67" s="13">
        <f t="shared" si="48"/>
        <v>-1</v>
      </c>
      <c r="AC67" s="14" t="e">
        <f t="shared" si="48"/>
        <v>#DIV/0!</v>
      </c>
      <c r="AD67" s="13">
        <f t="shared" si="48"/>
        <v>0.10415992778234151</v>
      </c>
      <c r="AE67" s="13">
        <f t="shared" si="48"/>
        <v>-1</v>
      </c>
      <c r="AF67" s="13" t="e">
        <f t="shared" si="48"/>
        <v>#DIV/0!</v>
      </c>
      <c r="AG67" s="13">
        <f t="shared" si="48"/>
        <v>1.6381019830028329</v>
      </c>
      <c r="AH67" s="13" t="e">
        <f t="shared" si="48"/>
        <v>#DIV/0!</v>
      </c>
      <c r="AI67" s="13" t="e">
        <f t="shared" ref="AI67:BK67" si="49">AI66/AI62</f>
        <v>#DIV/0!</v>
      </c>
      <c r="AJ67" s="13">
        <f t="shared" si="49"/>
        <v>-1</v>
      </c>
      <c r="AK67" s="13">
        <f t="shared" si="49"/>
        <v>-0.22973990288704033</v>
      </c>
      <c r="AL67" s="13">
        <f t="shared" si="49"/>
        <v>0.46575179470907863</v>
      </c>
      <c r="AM67" s="13">
        <f t="shared" si="49"/>
        <v>-0.2368898439898412</v>
      </c>
      <c r="AN67" s="13">
        <f t="shared" si="49"/>
        <v>0.94419776932408395</v>
      </c>
      <c r="AO67" s="163">
        <f t="shared" si="49"/>
        <v>6.2595430289082182E-2</v>
      </c>
      <c r="AP67" s="13" t="e">
        <f t="shared" si="49"/>
        <v>#DIV/0!</v>
      </c>
      <c r="AQ67" s="14" t="e">
        <f t="shared" si="49"/>
        <v>#DIV/0!</v>
      </c>
      <c r="AR67" s="13" t="e">
        <f t="shared" si="49"/>
        <v>#DIV/0!</v>
      </c>
      <c r="AS67" s="13" t="e">
        <f t="shared" si="49"/>
        <v>#DIV/0!</v>
      </c>
      <c r="AT67" s="13" t="e">
        <f t="shared" si="49"/>
        <v>#DIV/0!</v>
      </c>
      <c r="AU67" s="13" t="e">
        <f t="shared" si="49"/>
        <v>#DIV/0!</v>
      </c>
      <c r="AV67" s="13" t="e">
        <f t="shared" si="49"/>
        <v>#DIV/0!</v>
      </c>
      <c r="AW67" s="13">
        <f t="shared" si="49"/>
        <v>-1</v>
      </c>
      <c r="AX67" s="13" t="e">
        <f t="shared" si="49"/>
        <v>#DIV/0!</v>
      </c>
      <c r="AY67" s="13" t="e">
        <f t="shared" si="49"/>
        <v>#DIV/0!</v>
      </c>
      <c r="AZ67" s="13" t="e">
        <f t="shared" si="49"/>
        <v>#DIV/0!</v>
      </c>
      <c r="BA67" s="13" t="e">
        <f t="shared" si="49"/>
        <v>#DIV/0!</v>
      </c>
      <c r="BB67" s="14" t="e">
        <f t="shared" si="49"/>
        <v>#DIV/0!</v>
      </c>
      <c r="BC67" s="13">
        <f t="shared" si="49"/>
        <v>-0.35185355957211362</v>
      </c>
      <c r="BD67" s="13">
        <f t="shared" si="49"/>
        <v>-0.35185355957211362</v>
      </c>
      <c r="BE67" s="13" t="e">
        <f t="shared" si="49"/>
        <v>#DIV/0!</v>
      </c>
      <c r="BF67" s="13">
        <f t="shared" si="49"/>
        <v>-0.63262297498730524</v>
      </c>
      <c r="BG67" s="13">
        <f t="shared" si="49"/>
        <v>-1</v>
      </c>
      <c r="BH67" s="163">
        <f t="shared" si="49"/>
        <v>-4.2762466482174528E-2</v>
      </c>
      <c r="BI67" s="46">
        <f t="shared" si="49"/>
        <v>7.4532638269360046E-2</v>
      </c>
      <c r="BJ67" s="13" t="e">
        <f t="shared" si="49"/>
        <v>#DIV/0!</v>
      </c>
      <c r="BK67" s="52">
        <f t="shared" si="49"/>
        <v>7.4532638269360046E-2</v>
      </c>
      <c r="BM67" s="14">
        <f>BM66/BM62</f>
        <v>-4.2762466482174528E-2</v>
      </c>
    </row>
    <row r="68" spans="1:65" ht="15.75">
      <c r="A68" s="130"/>
      <c r="B68" s="5" t="s">
        <v>328</v>
      </c>
      <c r="C68" s="128">
        <f>C63/C60</f>
        <v>0.99814397439262859</v>
      </c>
      <c r="D68" s="128">
        <f t="shared" ref="D68:BK68" si="50">D63/D60</f>
        <v>0.99814469263385619</v>
      </c>
      <c r="E68" s="128">
        <f t="shared" si="50"/>
        <v>0.99815226818507485</v>
      </c>
      <c r="F68" s="128">
        <f t="shared" si="50"/>
        <v>0.99814518115537743</v>
      </c>
      <c r="G68" s="128">
        <f t="shared" si="50"/>
        <v>0.99813866243416782</v>
      </c>
      <c r="H68" s="128" t="e">
        <f t="shared" si="50"/>
        <v>#DIV/0!</v>
      </c>
      <c r="I68" s="128" t="e">
        <f t="shared" si="50"/>
        <v>#DIV/0!</v>
      </c>
      <c r="J68" s="128">
        <f t="shared" si="50"/>
        <v>0.99814234444719241</v>
      </c>
      <c r="K68" s="128">
        <f t="shared" si="50"/>
        <v>0.9981767794632439</v>
      </c>
      <c r="L68" s="128">
        <f t="shared" si="50"/>
        <v>0.99813009303607281</v>
      </c>
      <c r="M68" s="128">
        <f t="shared" si="50"/>
        <v>0.99815304607898936</v>
      </c>
      <c r="N68" s="128">
        <f t="shared" si="50"/>
        <v>1</v>
      </c>
      <c r="O68" s="128">
        <f t="shared" si="50"/>
        <v>0.99796206301928203</v>
      </c>
      <c r="P68" s="128">
        <f t="shared" si="50"/>
        <v>0.99821077115763102</v>
      </c>
      <c r="Q68" s="128" t="e">
        <f t="shared" si="50"/>
        <v>#DIV/0!</v>
      </c>
      <c r="R68" s="128">
        <f t="shared" si="50"/>
        <v>0.99818158202363938</v>
      </c>
      <c r="S68" s="128" t="e">
        <f t="shared" si="50"/>
        <v>#DIV/0!</v>
      </c>
      <c r="T68" s="128" t="e">
        <f t="shared" si="50"/>
        <v>#DIV/0!</v>
      </c>
      <c r="U68" s="128" t="e">
        <f t="shared" si="50"/>
        <v>#DIV/0!</v>
      </c>
      <c r="V68" s="178" t="e">
        <f t="shared" si="50"/>
        <v>#DIV/0!</v>
      </c>
      <c r="W68" s="128" t="e">
        <f t="shared" si="50"/>
        <v>#DIV/0!</v>
      </c>
      <c r="X68" s="128" t="e">
        <f t="shared" si="50"/>
        <v>#DIV/0!</v>
      </c>
      <c r="Y68" s="128">
        <f t="shared" si="50"/>
        <v>0.99874450721908348</v>
      </c>
      <c r="Z68" s="128">
        <f t="shared" si="50"/>
        <v>1.0021551724137931</v>
      </c>
      <c r="AA68" s="128">
        <f t="shared" si="50"/>
        <v>0.99792099792099798</v>
      </c>
      <c r="AB68" s="128" t="e">
        <f>AB63/AB60</f>
        <v>#DIV/0!</v>
      </c>
      <c r="AC68" s="217" t="e">
        <f t="shared" si="50"/>
        <v>#DIV/0!</v>
      </c>
      <c r="AD68" s="128">
        <f t="shared" si="50"/>
        <v>0.99814434573620425</v>
      </c>
      <c r="AE68" s="128" t="e">
        <f t="shared" si="50"/>
        <v>#DIV/0!</v>
      </c>
      <c r="AF68" s="128" t="e">
        <f t="shared" si="50"/>
        <v>#DIV/0!</v>
      </c>
      <c r="AG68" s="128">
        <f t="shared" si="50"/>
        <v>0.997589716122121</v>
      </c>
      <c r="AH68" s="128" t="e">
        <f t="shared" si="50"/>
        <v>#DIV/0!</v>
      </c>
      <c r="AI68" s="128" t="e">
        <f t="shared" si="50"/>
        <v>#DIV/0!</v>
      </c>
      <c r="AJ68" s="128" t="e">
        <f t="shared" si="50"/>
        <v>#DIV/0!</v>
      </c>
      <c r="AK68" s="128">
        <f t="shared" si="50"/>
        <v>0.9981586488628742</v>
      </c>
      <c r="AL68" s="128">
        <f t="shared" si="50"/>
        <v>0.99810943661211038</v>
      </c>
      <c r="AM68" s="128">
        <f t="shared" si="50"/>
        <v>0.99814511032372732</v>
      </c>
      <c r="AN68" s="128">
        <f t="shared" si="50"/>
        <v>0.99813163225201806</v>
      </c>
      <c r="AO68" s="178">
        <f t="shared" si="50"/>
        <v>0.9981401115933044</v>
      </c>
      <c r="AP68" s="128">
        <f t="shared" si="50"/>
        <v>0.99813419700063366</v>
      </c>
      <c r="AQ68" s="217" t="e">
        <f t="shared" si="50"/>
        <v>#DIV/0!</v>
      </c>
      <c r="AR68" s="128" t="e">
        <f t="shared" si="50"/>
        <v>#DIV/0!</v>
      </c>
      <c r="AS68" s="128" t="e">
        <f t="shared" si="50"/>
        <v>#DIV/0!</v>
      </c>
      <c r="AT68" s="128" t="e">
        <f t="shared" si="50"/>
        <v>#DIV/0!</v>
      </c>
      <c r="AU68" s="128" t="e">
        <f t="shared" si="50"/>
        <v>#DIV/0!</v>
      </c>
      <c r="AV68" s="128" t="e">
        <f t="shared" si="50"/>
        <v>#DIV/0!</v>
      </c>
      <c r="AW68" s="128" t="e">
        <f t="shared" si="50"/>
        <v>#DIV/0!</v>
      </c>
      <c r="AX68" s="128" t="e">
        <f t="shared" si="50"/>
        <v>#DIV/0!</v>
      </c>
      <c r="AY68" s="128" t="e">
        <f t="shared" si="50"/>
        <v>#DIV/0!</v>
      </c>
      <c r="AZ68" s="128" t="e">
        <f t="shared" si="50"/>
        <v>#DIV/0!</v>
      </c>
      <c r="BA68" s="128" t="e">
        <f t="shared" si="50"/>
        <v>#DIV/0!</v>
      </c>
      <c r="BB68" s="217" t="e">
        <f t="shared" si="50"/>
        <v>#DIV/0!</v>
      </c>
      <c r="BC68" s="128">
        <f t="shared" si="50"/>
        <v>0.99801206957756483</v>
      </c>
      <c r="BD68" s="128">
        <f t="shared" si="50"/>
        <v>0.99801206957756483</v>
      </c>
      <c r="BE68" s="128" t="e">
        <f t="shared" si="50"/>
        <v>#DIV/0!</v>
      </c>
      <c r="BF68" s="128">
        <f t="shared" si="50"/>
        <v>0.99817526369664866</v>
      </c>
      <c r="BG68" s="128" t="e">
        <f t="shared" si="50"/>
        <v>#DIV/0!</v>
      </c>
      <c r="BH68" s="178">
        <f t="shared" si="50"/>
        <v>0.99813740359663161</v>
      </c>
      <c r="BI68" s="128">
        <f t="shared" si="50"/>
        <v>0.99814309864030593</v>
      </c>
      <c r="BJ68" s="128" t="e">
        <f t="shared" si="50"/>
        <v>#DIV/0!</v>
      </c>
      <c r="BK68" s="128">
        <f t="shared" si="50"/>
        <v>0.99814309864030593</v>
      </c>
      <c r="BM68" s="128">
        <f>BM63/BM60</f>
        <v>0.99813740359663161</v>
      </c>
    </row>
    <row r="69" spans="1:65" s="181" customFormat="1" ht="15.75">
      <c r="A69" s="130"/>
      <c r="B69" s="5" t="s">
        <v>327</v>
      </c>
      <c r="C69" s="11">
        <f>C60-C63</f>
        <v>4815</v>
      </c>
      <c r="D69" s="11">
        <f t="shared" ref="D69:BK69" si="51">D60-D63</f>
        <v>2782</v>
      </c>
      <c r="E69" s="11">
        <f t="shared" si="51"/>
        <v>196</v>
      </c>
      <c r="F69" s="11">
        <f t="shared" si="51"/>
        <v>881</v>
      </c>
      <c r="G69" s="11">
        <f t="shared" si="51"/>
        <v>387</v>
      </c>
      <c r="H69" s="11">
        <f t="shared" si="51"/>
        <v>0</v>
      </c>
      <c r="I69" s="11">
        <f t="shared" si="51"/>
        <v>0</v>
      </c>
      <c r="J69" s="11">
        <f t="shared" si="51"/>
        <v>2336</v>
      </c>
      <c r="K69" s="11">
        <f t="shared" si="51"/>
        <v>50</v>
      </c>
      <c r="L69" s="11">
        <f t="shared" si="51"/>
        <v>285</v>
      </c>
      <c r="M69" s="11">
        <f t="shared" si="51"/>
        <v>331</v>
      </c>
      <c r="N69" s="11">
        <f t="shared" si="51"/>
        <v>0</v>
      </c>
      <c r="O69" s="11">
        <f t="shared" si="51"/>
        <v>13</v>
      </c>
      <c r="P69" s="11">
        <f t="shared" si="51"/>
        <v>10</v>
      </c>
      <c r="Q69" s="11">
        <f t="shared" si="51"/>
        <v>0</v>
      </c>
      <c r="R69" s="11">
        <f t="shared" si="51"/>
        <v>14</v>
      </c>
      <c r="S69" s="11">
        <f t="shared" si="51"/>
        <v>0</v>
      </c>
      <c r="T69" s="11">
        <f t="shared" si="51"/>
        <v>0</v>
      </c>
      <c r="U69" s="11">
        <f t="shared" si="51"/>
        <v>0</v>
      </c>
      <c r="V69" s="11">
        <f t="shared" si="51"/>
        <v>0</v>
      </c>
      <c r="W69" s="11">
        <f t="shared" si="51"/>
        <v>0</v>
      </c>
      <c r="X69" s="11">
        <f t="shared" si="51"/>
        <v>0</v>
      </c>
      <c r="Y69" s="11">
        <f t="shared" si="51"/>
        <v>2</v>
      </c>
      <c r="Z69" s="11">
        <f t="shared" si="51"/>
        <v>-1</v>
      </c>
      <c r="AA69" s="11">
        <f t="shared" si="51"/>
        <v>1</v>
      </c>
      <c r="AB69" s="11">
        <f t="shared" si="51"/>
        <v>0</v>
      </c>
      <c r="AC69" s="11">
        <f t="shared" si="51"/>
        <v>0</v>
      </c>
      <c r="AD69" s="11">
        <f t="shared" si="51"/>
        <v>12102</v>
      </c>
      <c r="AE69" s="11">
        <f t="shared" si="51"/>
        <v>0</v>
      </c>
      <c r="AF69" s="11">
        <f t="shared" si="51"/>
        <v>0</v>
      </c>
      <c r="AG69" s="11">
        <f t="shared" si="51"/>
        <v>9</v>
      </c>
      <c r="AH69" s="11">
        <f t="shared" si="51"/>
        <v>0</v>
      </c>
      <c r="AI69" s="11">
        <f t="shared" si="51"/>
        <v>0</v>
      </c>
      <c r="AJ69" s="11">
        <f t="shared" si="51"/>
        <v>0</v>
      </c>
      <c r="AK69" s="11">
        <f t="shared" si="51"/>
        <v>151</v>
      </c>
      <c r="AL69" s="11">
        <f t="shared" si="51"/>
        <v>70</v>
      </c>
      <c r="AM69" s="11">
        <f t="shared" si="51"/>
        <v>813</v>
      </c>
      <c r="AN69" s="11">
        <f t="shared" si="51"/>
        <v>309</v>
      </c>
      <c r="AO69" s="11">
        <f t="shared" si="51"/>
        <v>1158</v>
      </c>
      <c r="AP69" s="11">
        <f t="shared" si="51"/>
        <v>53</v>
      </c>
      <c r="AQ69" s="11">
        <f t="shared" si="51"/>
        <v>0</v>
      </c>
      <c r="AR69" s="11">
        <f t="shared" si="51"/>
        <v>0</v>
      </c>
      <c r="AS69" s="11">
        <f t="shared" si="51"/>
        <v>0</v>
      </c>
      <c r="AT69" s="11">
        <f t="shared" si="51"/>
        <v>0</v>
      </c>
      <c r="AU69" s="11">
        <f t="shared" si="51"/>
        <v>0</v>
      </c>
      <c r="AV69" s="11">
        <f t="shared" si="51"/>
        <v>0</v>
      </c>
      <c r="AW69" s="11">
        <f t="shared" si="51"/>
        <v>0</v>
      </c>
      <c r="AX69" s="11">
        <f t="shared" si="51"/>
        <v>0</v>
      </c>
      <c r="AY69" s="11">
        <f t="shared" si="51"/>
        <v>0</v>
      </c>
      <c r="AZ69" s="11">
        <f t="shared" si="51"/>
        <v>0</v>
      </c>
      <c r="BA69" s="11">
        <f t="shared" si="51"/>
        <v>0</v>
      </c>
      <c r="BB69" s="11">
        <f t="shared" si="51"/>
        <v>0</v>
      </c>
      <c r="BC69" s="11">
        <f t="shared" si="51"/>
        <v>28</v>
      </c>
      <c r="BD69" s="11">
        <f t="shared" si="51"/>
        <v>28</v>
      </c>
      <c r="BE69" s="11">
        <f t="shared" si="51"/>
        <v>0</v>
      </c>
      <c r="BF69" s="11">
        <f t="shared" si="51"/>
        <v>41</v>
      </c>
      <c r="BG69" s="11">
        <f t="shared" si="51"/>
        <v>0</v>
      </c>
      <c r="BH69" s="11">
        <f t="shared" si="51"/>
        <v>2660</v>
      </c>
      <c r="BI69" s="11">
        <f t="shared" si="51"/>
        <v>14762</v>
      </c>
      <c r="BJ69" s="11">
        <f t="shared" si="51"/>
        <v>0</v>
      </c>
      <c r="BK69" s="11">
        <f t="shared" si="51"/>
        <v>14762</v>
      </c>
      <c r="BL69" s="11">
        <f>BL63-BL60</f>
        <v>7935044</v>
      </c>
      <c r="BM69" s="11">
        <f>BM63-BM60</f>
        <v>-2660</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17"/>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44"/>
      <c r="BJ70" s="5"/>
      <c r="BK70" s="50"/>
    </row>
    <row r="71" spans="1:65" s="179" customFormat="1" ht="15.75">
      <c r="A71" s="264" t="s">
        <v>133</v>
      </c>
      <c r="B71" s="9" t="s">
        <v>326</v>
      </c>
      <c r="C71" s="225">
        <v>3052069</v>
      </c>
      <c r="D71" s="225">
        <v>1532000</v>
      </c>
      <c r="E71" s="225">
        <v>107758</v>
      </c>
      <c r="F71" s="225">
        <v>348011</v>
      </c>
      <c r="G71" s="225">
        <v>218269</v>
      </c>
      <c r="H71" s="225">
        <v>0</v>
      </c>
      <c r="I71" s="225">
        <v>0</v>
      </c>
      <c r="J71" s="225">
        <v>532675</v>
      </c>
      <c r="K71" s="225">
        <v>73130</v>
      </c>
      <c r="L71" s="225">
        <v>161631</v>
      </c>
      <c r="M71" s="225">
        <v>112962</v>
      </c>
      <c r="N71" s="225">
        <v>746</v>
      </c>
      <c r="O71" s="225">
        <v>14594</v>
      </c>
      <c r="P71" s="225">
        <v>151598</v>
      </c>
      <c r="Q71" s="225">
        <v>0</v>
      </c>
      <c r="R71" s="225">
        <v>8243</v>
      </c>
      <c r="S71" s="225">
        <v>0</v>
      </c>
      <c r="T71" s="225">
        <v>0</v>
      </c>
      <c r="U71" s="225">
        <v>0</v>
      </c>
      <c r="V71" s="225">
        <v>0</v>
      </c>
      <c r="W71" s="225">
        <v>0</v>
      </c>
      <c r="X71" s="225">
        <v>0</v>
      </c>
      <c r="Y71" s="225">
        <v>12755</v>
      </c>
      <c r="Z71" s="225">
        <v>3638</v>
      </c>
      <c r="AA71" s="225">
        <v>4548</v>
      </c>
      <c r="AB71" s="225">
        <v>0</v>
      </c>
      <c r="AC71" s="225">
        <v>0</v>
      </c>
      <c r="AD71" s="226">
        <f>SUM(C71:AC71)</f>
        <v>6334627</v>
      </c>
      <c r="AE71" s="225">
        <v>0</v>
      </c>
      <c r="AF71" s="225">
        <v>935</v>
      </c>
      <c r="AG71" s="225">
        <v>17677</v>
      </c>
      <c r="AH71" s="225">
        <v>0</v>
      </c>
      <c r="AI71" s="225">
        <v>0</v>
      </c>
      <c r="AJ71" s="225">
        <v>17318</v>
      </c>
      <c r="AK71" s="225">
        <v>19493</v>
      </c>
      <c r="AL71" s="225">
        <v>40066</v>
      </c>
      <c r="AM71" s="225">
        <v>0</v>
      </c>
      <c r="AN71" s="225">
        <v>0</v>
      </c>
      <c r="AO71" s="225">
        <v>316923</v>
      </c>
      <c r="AP71" s="225">
        <v>0</v>
      </c>
      <c r="AQ71" s="225">
        <v>0</v>
      </c>
      <c r="AR71" s="225">
        <v>0</v>
      </c>
      <c r="AS71" s="225">
        <v>0</v>
      </c>
      <c r="AT71" s="225">
        <v>0</v>
      </c>
      <c r="AU71" s="225">
        <v>0</v>
      </c>
      <c r="AV71" s="225">
        <v>0</v>
      </c>
      <c r="AW71" s="225">
        <v>0</v>
      </c>
      <c r="AX71" s="225">
        <v>0</v>
      </c>
      <c r="AY71" s="225"/>
      <c r="AZ71" s="225">
        <v>0</v>
      </c>
      <c r="BA71" s="225">
        <v>0</v>
      </c>
      <c r="BB71" s="225">
        <v>0</v>
      </c>
      <c r="BC71" s="225">
        <v>11923</v>
      </c>
      <c r="BD71" s="225">
        <v>11923</v>
      </c>
      <c r="BE71" s="225">
        <v>0</v>
      </c>
      <c r="BF71" s="225">
        <v>7076</v>
      </c>
      <c r="BG71" s="225">
        <v>16698</v>
      </c>
      <c r="BH71" s="229">
        <f>SUM(AE71:BG71)</f>
        <v>460032</v>
      </c>
      <c r="BI71" s="125">
        <f>AD71+BH71</f>
        <v>6794659</v>
      </c>
      <c r="BJ71" s="230">
        <v>457</v>
      </c>
      <c r="BK71" s="226">
        <f>BI71-BJ71</f>
        <v>6794202</v>
      </c>
      <c r="BM71" s="228">
        <f>BK71-AD71</f>
        <v>459575</v>
      </c>
    </row>
    <row r="72" spans="1:65" s="41" customFormat="1" ht="15.75">
      <c r="A72" s="136"/>
      <c r="B72" s="234" t="s">
        <v>321</v>
      </c>
      <c r="C72" s="342">
        <v>3052069</v>
      </c>
      <c r="D72" s="342">
        <v>1532000</v>
      </c>
      <c r="E72" s="342">
        <v>107758</v>
      </c>
      <c r="F72" s="342">
        <v>348011</v>
      </c>
      <c r="G72" s="342">
        <v>218269</v>
      </c>
      <c r="H72" s="342">
        <v>0</v>
      </c>
      <c r="I72" s="342">
        <v>0</v>
      </c>
      <c r="J72" s="342">
        <v>532675</v>
      </c>
      <c r="K72" s="342">
        <v>73130</v>
      </c>
      <c r="L72" s="342">
        <v>161631</v>
      </c>
      <c r="M72" s="342">
        <v>112962</v>
      </c>
      <c r="N72" s="342">
        <v>746</v>
      </c>
      <c r="O72" s="342">
        <v>14594</v>
      </c>
      <c r="P72" s="342">
        <v>151598</v>
      </c>
      <c r="Q72" s="342">
        <v>0</v>
      </c>
      <c r="R72" s="342">
        <v>8243</v>
      </c>
      <c r="S72" s="342">
        <v>0</v>
      </c>
      <c r="T72" s="342">
        <v>0</v>
      </c>
      <c r="U72" s="342">
        <v>0</v>
      </c>
      <c r="V72" s="342">
        <v>0</v>
      </c>
      <c r="W72" s="342">
        <v>0</v>
      </c>
      <c r="X72" s="342">
        <v>0</v>
      </c>
      <c r="Y72" s="342">
        <v>12755</v>
      </c>
      <c r="Z72" s="342">
        <v>3638</v>
      </c>
      <c r="AA72" s="342">
        <v>4548</v>
      </c>
      <c r="AB72" s="342">
        <v>0</v>
      </c>
      <c r="AC72" s="342">
        <v>0</v>
      </c>
      <c r="AD72" s="123">
        <f>SUM(C72:AC72)</f>
        <v>6334627</v>
      </c>
      <c r="AE72" s="342">
        <v>0</v>
      </c>
      <c r="AF72" s="342">
        <v>935</v>
      </c>
      <c r="AG72" s="342">
        <v>17677</v>
      </c>
      <c r="AH72" s="342">
        <v>0</v>
      </c>
      <c r="AI72" s="342">
        <v>0</v>
      </c>
      <c r="AJ72" s="342">
        <v>17318</v>
      </c>
      <c r="AK72" s="342">
        <v>19493</v>
      </c>
      <c r="AL72" s="342">
        <v>40066</v>
      </c>
      <c r="AM72" s="342">
        <v>0</v>
      </c>
      <c r="AN72" s="342">
        <v>0</v>
      </c>
      <c r="AO72" s="342">
        <v>316923</v>
      </c>
      <c r="AP72" s="342">
        <v>0</v>
      </c>
      <c r="AQ72" s="342">
        <v>0</v>
      </c>
      <c r="AR72" s="342">
        <v>0</v>
      </c>
      <c r="AS72" s="342">
        <v>0</v>
      </c>
      <c r="AT72" s="342">
        <v>0</v>
      </c>
      <c r="AU72" s="342">
        <v>0</v>
      </c>
      <c r="AV72" s="342">
        <v>0</v>
      </c>
      <c r="AW72" s="342">
        <v>0</v>
      </c>
      <c r="AX72" s="342">
        <v>0</v>
      </c>
      <c r="AY72" s="342"/>
      <c r="AZ72" s="342">
        <v>0</v>
      </c>
      <c r="BA72" s="342">
        <v>0</v>
      </c>
      <c r="BB72" s="342">
        <v>0</v>
      </c>
      <c r="BC72" s="342">
        <v>11923</v>
      </c>
      <c r="BD72" s="342">
        <v>11923</v>
      </c>
      <c r="BE72" s="342">
        <v>0</v>
      </c>
      <c r="BF72" s="342">
        <v>7076</v>
      </c>
      <c r="BG72" s="342">
        <v>16698</v>
      </c>
      <c r="BH72" s="124">
        <f>SUM(AE72:BG72)</f>
        <v>460032</v>
      </c>
      <c r="BI72" s="220">
        <f>AD72+BH72</f>
        <v>6794659</v>
      </c>
      <c r="BJ72" s="343">
        <v>457</v>
      </c>
      <c r="BK72" s="123">
        <f>BI72-BJ72</f>
        <v>6794202</v>
      </c>
      <c r="BL72" s="41">
        <f>'[1]Upto Month Current'!$H$61</f>
        <v>755223</v>
      </c>
      <c r="BM72" s="218">
        <f>BK72-AD72</f>
        <v>459575</v>
      </c>
    </row>
    <row r="73" spans="1:65" ht="15.75">
      <c r="A73" s="130"/>
      <c r="B73" s="12" t="s">
        <v>322</v>
      </c>
      <c r="C73" s="9">
        <f>IF('Upto Month COPPY'!$H$4="",0,'Upto Month COPPY'!$H$4)</f>
        <v>2794851</v>
      </c>
      <c r="D73" s="9">
        <f>IF('Upto Month COPPY'!$H$5="",0,'Upto Month COPPY'!$H$5)</f>
        <v>1138499</v>
      </c>
      <c r="E73" s="9">
        <f>IF('Upto Month COPPY'!$H$6="",0,'Upto Month COPPY'!$H$6)</f>
        <v>107057</v>
      </c>
      <c r="F73" s="9">
        <f>IF('Upto Month COPPY'!$H$7="",0,'Upto Month COPPY'!$H$7)</f>
        <v>317906</v>
      </c>
      <c r="G73" s="9">
        <f>IF('Upto Month COPPY'!$H$8="",0,'Upto Month COPPY'!$H$8)</f>
        <v>198883</v>
      </c>
      <c r="H73" s="9">
        <f>IF('Upto Month COPPY'!$H$9="",0,'Upto Month COPPY'!$H$9)</f>
        <v>0</v>
      </c>
      <c r="I73" s="9">
        <f>IF('Upto Month COPPY'!$H$10="",0,'Upto Month COPPY'!$H$10)</f>
        <v>0</v>
      </c>
      <c r="J73" s="9">
        <f>IF('Upto Month COPPY'!$H$11="",0,'Upto Month COPPY'!$H$11)</f>
        <v>394337</v>
      </c>
      <c r="K73" s="9">
        <f>IF('Upto Month COPPY'!$H$12="",0,'Upto Month COPPY'!$H$12)</f>
        <v>71264</v>
      </c>
      <c r="L73" s="9">
        <f>IF('Upto Month COPPY'!$H$13="",0,'Upto Month COPPY'!$H$13)</f>
        <v>99463</v>
      </c>
      <c r="M73" s="9">
        <f>IF('Upto Month COPPY'!$H$14="",0,'Upto Month COPPY'!$H$14)</f>
        <v>99484</v>
      </c>
      <c r="N73" s="9">
        <f>IF('Upto Month COPPY'!$H$15="",0,'Upto Month COPPY'!$H$15)</f>
        <v>785</v>
      </c>
      <c r="O73" s="9">
        <f>IF('Upto Month COPPY'!$H$16="",0,'Upto Month COPPY'!$H$16)</f>
        <v>7947</v>
      </c>
      <c r="P73" s="9">
        <f>IF('Upto Month COPPY'!$H$17="",0,'Upto Month COPPY'!$H$17)</f>
        <v>108936</v>
      </c>
      <c r="Q73" s="9">
        <f>IF('Upto Month COPPY'!$H$18="",0,'Upto Month COPPY'!$H$18)</f>
        <v>0</v>
      </c>
      <c r="R73" s="9">
        <f>IF('Upto Month COPPY'!$H$21="",0,'Upto Month COPPY'!$H$21)</f>
        <v>5889</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19114</v>
      </c>
      <c r="Z73" s="9">
        <f>IF('Upto Month COPPY'!$H$43="",0,'Upto Month COPPY'!$H$43)</f>
        <v>4519</v>
      </c>
      <c r="AA73" s="9">
        <f>IF('Upto Month COPPY'!$H$44="",0,'Upto Month COPPY'!$H$44)</f>
        <v>4984</v>
      </c>
      <c r="AB73" s="9">
        <f>IF('Upto Month COPPY'!$H$48="",0,'Upto Month COPPY'!$H$48)</f>
        <v>0</v>
      </c>
      <c r="AC73" s="10">
        <f>IF('Upto Month COPPY'!$H$51="",0,'Upto Month COPPY'!$H$51)</f>
        <v>0</v>
      </c>
      <c r="AD73" s="123">
        <f>SUM(C73:AC73)</f>
        <v>5373918</v>
      </c>
      <c r="AE73" s="9">
        <f>IF('Upto Month COPPY'!$H$19="",0,'Upto Month COPPY'!$H$19)</f>
        <v>87</v>
      </c>
      <c r="AF73" s="9">
        <f>IF('Upto Month COPPY'!$H$20="",0,'Upto Month COPPY'!$H$20)</f>
        <v>586</v>
      </c>
      <c r="AG73" s="9">
        <f>IF('Upto Month COPPY'!$H$22="",0,'Upto Month COPPY'!$H$22)</f>
        <v>20570</v>
      </c>
      <c r="AH73" s="9">
        <f>IF('Upto Month COPPY'!$H$23="",0,'Upto Month COPPY'!$H$23)</f>
        <v>0</v>
      </c>
      <c r="AI73" s="9">
        <f>IF('Upto Month COPPY'!$H$24="",0,'Upto Month COPPY'!$H$24)</f>
        <v>0</v>
      </c>
      <c r="AJ73" s="9">
        <f>IF('Upto Month COPPY'!$H$25="",0,'Upto Month COPPY'!$H$25)</f>
        <v>22182</v>
      </c>
      <c r="AK73" s="9">
        <f>IF('Upto Month COPPY'!$H$28="",0,'Upto Month COPPY'!$H$28)</f>
        <v>27228</v>
      </c>
      <c r="AL73" s="9">
        <f>IF('Upto Month COPPY'!$H$29="",0,'Upto Month COPPY'!$H$29)</f>
        <v>17543</v>
      </c>
      <c r="AM73" s="9">
        <f>IF('Upto Month COPPY'!$H$31="",0,'Upto Month COPPY'!$H$31)</f>
        <v>0</v>
      </c>
      <c r="AN73" s="9">
        <f>IF('Upto Month COPPY'!$H$32="",0,'Upto Month COPPY'!$H$32)</f>
        <v>0</v>
      </c>
      <c r="AO73" s="9">
        <f>IF('Upto Month COPPY'!$H$33="",0,'Upto Month COPPY'!$H$33)</f>
        <v>271722</v>
      </c>
      <c r="AP73" s="9">
        <f>IF('Upto Month COPPY'!$H$34="",0,'Upto Month COPPY'!$H$34)</f>
        <v>0</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613</v>
      </c>
      <c r="AX73" s="9">
        <f>IF('Upto Month COPPY'!$H$46="",0,'Upto Month COPPY'!$H$46)</f>
        <v>0</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18980</v>
      </c>
      <c r="BD73" s="9">
        <f>IF('Upto Month COPPY'!$H$54="",0,'Upto Month COPPY'!$H$54)</f>
        <v>18980</v>
      </c>
      <c r="BE73" s="9">
        <f>IF('Upto Month COPPY'!$H$55="",0,'Upto Month COPPY'!$H$55)</f>
        <v>0</v>
      </c>
      <c r="BF73" s="9">
        <f>IF('Upto Month COPPY'!$H$56="",0,'Upto Month COPPY'!$H$56)</f>
        <v>7990</v>
      </c>
      <c r="BG73" s="9">
        <f>IF('Upto Month COPPY'!$H$58="",0,'Upto Month COPPY'!$H$58)</f>
        <v>9423</v>
      </c>
      <c r="BH73" s="9">
        <f>SUM(AE73:BG73)</f>
        <v>415904</v>
      </c>
      <c r="BI73" s="127">
        <f>AD73+BH73</f>
        <v>5789822</v>
      </c>
      <c r="BJ73" s="9">
        <f>-IF('Upto Month COPPY'!$H$60="",0,'Upto Month COPPY'!$H$60)</f>
        <v>0</v>
      </c>
      <c r="BK73" s="51">
        <f>BI73-BJ73</f>
        <v>5789822</v>
      </c>
      <c r="BL73">
        <f>'Upto Month COPPY'!$H$61</f>
        <v>5789823</v>
      </c>
      <c r="BM73" s="30">
        <f>BK73-AD73</f>
        <v>415904</v>
      </c>
    </row>
    <row r="74" spans="1:65" ht="14.25" customHeight="1">
      <c r="A74" s="130"/>
      <c r="B74" s="183" t="s">
        <v>323</v>
      </c>
      <c r="C74" s="9">
        <f>IF('Upto Month Current'!$H$4="",0,'Upto Month Current'!$H$4)</f>
        <v>3048537</v>
      </c>
      <c r="D74" s="9">
        <f>IF('Upto Month Current'!$H$5="",0,'Upto Month Current'!$H$5)</f>
        <v>1530226</v>
      </c>
      <c r="E74" s="9">
        <f>IF('Upto Month Current'!$H$6="",0,'Upto Month Current'!$H$6)</f>
        <v>107630</v>
      </c>
      <c r="F74" s="9">
        <f>IF('Upto Month Current'!$H$7="",0,'Upto Month Current'!$H$7)</f>
        <v>347606</v>
      </c>
      <c r="G74" s="9">
        <f>IF('Upto Month Current'!$H$8="",0,'Upto Month Current'!$H$8)</f>
        <v>218013</v>
      </c>
      <c r="H74" s="9">
        <f>IF('Upto Month Current'!$H$9="",0,'Upto Month Current'!$H$9)</f>
        <v>0</v>
      </c>
      <c r="I74" s="9">
        <f>IF('Upto Month Current'!$H$10="",0,'Upto Month Current'!$H$10)</f>
        <v>0</v>
      </c>
      <c r="J74" s="9">
        <f>IF('Upto Month Current'!$H$11="",0,'Upto Month Current'!$H$11)</f>
        <v>532059</v>
      </c>
      <c r="K74" s="9">
        <f>IF('Upto Month Current'!$H$12="",0,'Upto Month Current'!$H$12)</f>
        <v>73044</v>
      </c>
      <c r="L74" s="9">
        <f>IF('Upto Month Current'!$H$13="",0,'Upto Month Current'!$H$13)</f>
        <v>161442</v>
      </c>
      <c r="M74" s="9">
        <f>IF('Upto Month Current'!$H$14="",0,'Upto Month Current'!$H$14)</f>
        <v>112828</v>
      </c>
      <c r="N74" s="9">
        <f>IF('Upto Month Current'!$H$15="",0,'Upto Month Current'!$H$15)</f>
        <v>744</v>
      </c>
      <c r="O74" s="9">
        <f>IF('Upto Month Current'!$H$16="",0,'Upto Month Current'!$H$16)</f>
        <v>14576</v>
      </c>
      <c r="P74" s="9">
        <f>IF('Upto Month Current'!$H$17="",0,'Upto Month Current'!$H$17)</f>
        <v>151419</v>
      </c>
      <c r="Q74" s="9">
        <f>IF('Upto Month Current'!$H$18="",0,'Upto Month Current'!$H$18)</f>
        <v>0</v>
      </c>
      <c r="R74" s="9">
        <f>IF('Upto Month Current'!$H$21="",0,'Upto Month Current'!$H$21)</f>
        <v>8232</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12742</v>
      </c>
      <c r="Z74" s="9">
        <f>IF('Upto Month Current'!$H$43="",0,'Upto Month Current'!$H$43)</f>
        <v>3635</v>
      </c>
      <c r="AA74" s="9">
        <f>IF('Upto Month Current'!$H$44="",0,'Upto Month Current'!$H$44)</f>
        <v>4543</v>
      </c>
      <c r="AB74" s="9">
        <f>IF('Upto Month Current'!$H$48="",0,'Upto Month Current'!$H$48)</f>
        <v>0</v>
      </c>
      <c r="AC74" s="10">
        <f>IF('Upto Month Current'!$H$51="",0,'Upto Month Current'!$H$51)</f>
        <v>0</v>
      </c>
      <c r="AD74" s="123">
        <f>SUM(C74:AC74)</f>
        <v>6327276</v>
      </c>
      <c r="AE74" s="9">
        <f>IF('Upto Month Current'!$H$19="",0,'Upto Month Current'!$H$19)</f>
        <v>0</v>
      </c>
      <c r="AF74" s="9">
        <f>IF('Upto Month Current'!$H$20="",0,'Upto Month Current'!$H$20)</f>
        <v>934</v>
      </c>
      <c r="AG74" s="9">
        <f>IF('Upto Month Current'!$H$22="",0,'Upto Month Current'!$H$22)</f>
        <v>17657</v>
      </c>
      <c r="AH74" s="9">
        <f>IF('Upto Month Current'!$H$23="",0,'Upto Month Current'!$H$23)</f>
        <v>0</v>
      </c>
      <c r="AI74" s="9">
        <f>IF('Upto Month Current'!$H$24="",0,'Upto Month Current'!$H$24)</f>
        <v>0</v>
      </c>
      <c r="AJ74" s="9">
        <f>IF('Upto Month Current'!$H$25="",0,'Upto Month Current'!$H$25)</f>
        <v>17295</v>
      </c>
      <c r="AK74" s="9">
        <f>IF('Upto Month Current'!$H$28="",0,'Upto Month Current'!$H$28)</f>
        <v>19469</v>
      </c>
      <c r="AL74" s="9">
        <f>IF('Upto Month Current'!$H$29="",0,'Upto Month Current'!$H$29)</f>
        <v>40016</v>
      </c>
      <c r="AM74" s="9">
        <f>IF('Upto Month Current'!$H$31="",0,'Upto Month Current'!$H$31)</f>
        <v>0</v>
      </c>
      <c r="AN74" s="9">
        <f>IF('Upto Month Current'!$H$32="",0,'Upto Month Current'!$H$32)</f>
        <v>0</v>
      </c>
      <c r="AO74" s="9">
        <f>IF('Upto Month Current'!$H$33="",0,'Upto Month Current'!$H$33)</f>
        <v>316552</v>
      </c>
      <c r="AP74" s="9">
        <f>IF('Upto Month Current'!$H$34="",0,'Upto Month Current'!$H$34)</f>
        <v>0</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0</v>
      </c>
      <c r="AX74" s="9">
        <f>IF('Upto Month Current'!$H$46="",0,'Upto Month Current'!$H$46)</f>
        <v>0</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11907</v>
      </c>
      <c r="BD74" s="9">
        <f>IF('Upto Month Current'!$H$54="",0,'Upto Month Current'!$H$54)</f>
        <v>11907</v>
      </c>
      <c r="BE74" s="9">
        <f>IF('Upto Month Current'!$H$55="",0,'Upto Month Current'!$H$55)</f>
        <v>0</v>
      </c>
      <c r="BF74" s="9">
        <f>IF('Upto Month Current'!$H$56="",0,'Upto Month Current'!$H$56)</f>
        <v>7066</v>
      </c>
      <c r="BG74" s="9">
        <f>IF('Upto Month Current'!$H$58="",0,'Upto Month Current'!$H$58)</f>
        <v>16679</v>
      </c>
      <c r="BH74" s="9">
        <f>SUM(AE74:BG74)</f>
        <v>459482</v>
      </c>
      <c r="BI74" s="127">
        <f>AD74+BH74</f>
        <v>6786758</v>
      </c>
      <c r="BJ74" s="9">
        <f>IF('Upto Month Current'!$H$60="",0,'Upto Month Current'!$H$60)</f>
        <v>456</v>
      </c>
      <c r="BK74" s="51">
        <f>BI74-BJ74</f>
        <v>6786302</v>
      </c>
      <c r="BL74">
        <f>'Upto Month Current'!$H$61</f>
        <v>6786299</v>
      </c>
      <c r="BM74" s="30">
        <f>BK74-AD74</f>
        <v>459026</v>
      </c>
    </row>
    <row r="75" spans="1:65" ht="15.75">
      <c r="A75" s="130"/>
      <c r="B75" s="5" t="s">
        <v>124</v>
      </c>
      <c r="C75" s="11">
        <f t="shared" ref="C75:AH75" si="52">C74-C72</f>
        <v>-3532</v>
      </c>
      <c r="D75" s="11">
        <f t="shared" si="52"/>
        <v>-1774</v>
      </c>
      <c r="E75" s="11">
        <f t="shared" si="52"/>
        <v>-128</v>
      </c>
      <c r="F75" s="11">
        <f t="shared" si="52"/>
        <v>-405</v>
      </c>
      <c r="G75" s="11">
        <f t="shared" si="52"/>
        <v>-256</v>
      </c>
      <c r="H75" s="11">
        <f t="shared" si="52"/>
        <v>0</v>
      </c>
      <c r="I75" s="11">
        <f t="shared" si="52"/>
        <v>0</v>
      </c>
      <c r="J75" s="11">
        <f t="shared" si="52"/>
        <v>-616</v>
      </c>
      <c r="K75" s="11">
        <f t="shared" si="52"/>
        <v>-86</v>
      </c>
      <c r="L75" s="11">
        <f t="shared" si="52"/>
        <v>-189</v>
      </c>
      <c r="M75" s="11">
        <f t="shared" si="52"/>
        <v>-134</v>
      </c>
      <c r="N75" s="11">
        <f t="shared" si="52"/>
        <v>-2</v>
      </c>
      <c r="O75" s="11">
        <f t="shared" si="52"/>
        <v>-18</v>
      </c>
      <c r="P75" s="11">
        <f t="shared" si="52"/>
        <v>-179</v>
      </c>
      <c r="Q75" s="11">
        <f t="shared" si="52"/>
        <v>0</v>
      </c>
      <c r="R75" s="11">
        <f t="shared" si="52"/>
        <v>-11</v>
      </c>
      <c r="S75" s="11">
        <f t="shared" si="52"/>
        <v>0</v>
      </c>
      <c r="T75" s="11">
        <f t="shared" si="52"/>
        <v>0</v>
      </c>
      <c r="U75" s="11">
        <f t="shared" si="52"/>
        <v>0</v>
      </c>
      <c r="V75" s="9">
        <f t="shared" si="52"/>
        <v>0</v>
      </c>
      <c r="W75" s="11">
        <f t="shared" si="52"/>
        <v>0</v>
      </c>
      <c r="X75" s="11">
        <f t="shared" si="52"/>
        <v>0</v>
      </c>
      <c r="Y75" s="11">
        <f t="shared" si="52"/>
        <v>-13</v>
      </c>
      <c r="Z75" s="11">
        <f t="shared" si="52"/>
        <v>-3</v>
      </c>
      <c r="AA75" s="11">
        <f t="shared" si="52"/>
        <v>-5</v>
      </c>
      <c r="AB75" s="11">
        <f t="shared" si="52"/>
        <v>0</v>
      </c>
      <c r="AC75" s="10">
        <f t="shared" si="52"/>
        <v>0</v>
      </c>
      <c r="AD75" s="11">
        <f t="shared" si="52"/>
        <v>-7351</v>
      </c>
      <c r="AE75" s="11">
        <f t="shared" si="52"/>
        <v>0</v>
      </c>
      <c r="AF75" s="11">
        <f t="shared" si="52"/>
        <v>-1</v>
      </c>
      <c r="AG75" s="11">
        <f t="shared" si="52"/>
        <v>-20</v>
      </c>
      <c r="AH75" s="11">
        <f t="shared" si="52"/>
        <v>0</v>
      </c>
      <c r="AI75" s="11">
        <f t="shared" ref="AI75:BK75" si="53">AI74-AI72</f>
        <v>0</v>
      </c>
      <c r="AJ75" s="11">
        <f t="shared" si="53"/>
        <v>-23</v>
      </c>
      <c r="AK75" s="11">
        <f t="shared" si="53"/>
        <v>-24</v>
      </c>
      <c r="AL75" s="11">
        <f t="shared" si="53"/>
        <v>-50</v>
      </c>
      <c r="AM75" s="11">
        <f t="shared" si="53"/>
        <v>0</v>
      </c>
      <c r="AN75" s="11">
        <f t="shared" si="53"/>
        <v>0</v>
      </c>
      <c r="AO75" s="9">
        <f t="shared" si="53"/>
        <v>-371</v>
      </c>
      <c r="AP75" s="11">
        <f t="shared" si="53"/>
        <v>0</v>
      </c>
      <c r="AQ75" s="10">
        <f t="shared" si="53"/>
        <v>0</v>
      </c>
      <c r="AR75" s="11">
        <f t="shared" si="53"/>
        <v>0</v>
      </c>
      <c r="AS75" s="11">
        <f t="shared" si="53"/>
        <v>0</v>
      </c>
      <c r="AT75" s="11">
        <f t="shared" si="53"/>
        <v>0</v>
      </c>
      <c r="AU75" s="11">
        <f t="shared" si="53"/>
        <v>0</v>
      </c>
      <c r="AV75" s="11">
        <f t="shared" si="53"/>
        <v>0</v>
      </c>
      <c r="AW75" s="11">
        <f t="shared" si="53"/>
        <v>0</v>
      </c>
      <c r="AX75" s="11">
        <f t="shared" si="53"/>
        <v>0</v>
      </c>
      <c r="AY75" s="11">
        <f t="shared" si="53"/>
        <v>0</v>
      </c>
      <c r="AZ75" s="11">
        <f t="shared" si="53"/>
        <v>0</v>
      </c>
      <c r="BA75" s="11">
        <f t="shared" si="53"/>
        <v>0</v>
      </c>
      <c r="BB75" s="10">
        <f t="shared" si="53"/>
        <v>0</v>
      </c>
      <c r="BC75" s="11">
        <f t="shared" si="53"/>
        <v>-16</v>
      </c>
      <c r="BD75" s="11">
        <f t="shared" si="53"/>
        <v>-16</v>
      </c>
      <c r="BE75" s="11">
        <f t="shared" si="53"/>
        <v>0</v>
      </c>
      <c r="BF75" s="11">
        <f t="shared" si="53"/>
        <v>-10</v>
      </c>
      <c r="BG75" s="11">
        <f t="shared" si="53"/>
        <v>-19</v>
      </c>
      <c r="BH75" s="9">
        <f t="shared" si="53"/>
        <v>-550</v>
      </c>
      <c r="BI75" s="45">
        <f t="shared" si="53"/>
        <v>-7901</v>
      </c>
      <c r="BJ75" s="11">
        <f t="shared" si="53"/>
        <v>-1</v>
      </c>
      <c r="BK75" s="51">
        <f t="shared" si="53"/>
        <v>-7900</v>
      </c>
      <c r="BM75" s="30">
        <f>BK75-AD75</f>
        <v>-549</v>
      </c>
    </row>
    <row r="76" spans="1:65" ht="15.75">
      <c r="A76" s="130"/>
      <c r="B76" s="5" t="s">
        <v>125</v>
      </c>
      <c r="C76" s="13">
        <f t="shared" ref="C76:AH76" si="54">C75/C72</f>
        <v>-1.1572477555389475E-3</v>
      </c>
      <c r="D76" s="13">
        <f t="shared" si="54"/>
        <v>-1.1579634464751959E-3</v>
      </c>
      <c r="E76" s="13">
        <f t="shared" si="54"/>
        <v>-1.18784684199781E-3</v>
      </c>
      <c r="F76" s="13">
        <f t="shared" si="54"/>
        <v>-1.163756318047418E-3</v>
      </c>
      <c r="G76" s="13">
        <f t="shared" si="54"/>
        <v>-1.1728646761564859E-3</v>
      </c>
      <c r="H76" s="13" t="e">
        <f t="shared" si="54"/>
        <v>#DIV/0!</v>
      </c>
      <c r="I76" s="13" t="e">
        <f t="shared" si="54"/>
        <v>#DIV/0!</v>
      </c>
      <c r="J76" s="13">
        <f t="shared" si="54"/>
        <v>-1.1564274651522973E-3</v>
      </c>
      <c r="K76" s="13">
        <f t="shared" si="54"/>
        <v>-1.1759879666347599E-3</v>
      </c>
      <c r="L76" s="13">
        <f t="shared" si="54"/>
        <v>-1.1693301408764408E-3</v>
      </c>
      <c r="M76" s="13">
        <f t="shared" si="54"/>
        <v>-1.1862396204033216E-3</v>
      </c>
      <c r="N76" s="13">
        <f t="shared" si="54"/>
        <v>-2.6809651474530832E-3</v>
      </c>
      <c r="O76" s="13">
        <f t="shared" si="54"/>
        <v>-1.2333835822940934E-3</v>
      </c>
      <c r="P76" s="13">
        <f t="shared" si="54"/>
        <v>-1.1807543635140305E-3</v>
      </c>
      <c r="Q76" s="13" t="e">
        <f t="shared" si="54"/>
        <v>#DIV/0!</v>
      </c>
      <c r="R76" s="13">
        <f t="shared" si="54"/>
        <v>-1.3344656071818512E-3</v>
      </c>
      <c r="S76" s="13" t="e">
        <f t="shared" si="54"/>
        <v>#DIV/0!</v>
      </c>
      <c r="T76" s="13" t="e">
        <f t="shared" si="54"/>
        <v>#DIV/0!</v>
      </c>
      <c r="U76" s="13" t="e">
        <f t="shared" si="54"/>
        <v>#DIV/0!</v>
      </c>
      <c r="V76" s="163" t="e">
        <f t="shared" si="54"/>
        <v>#DIV/0!</v>
      </c>
      <c r="W76" s="13" t="e">
        <f t="shared" si="54"/>
        <v>#DIV/0!</v>
      </c>
      <c r="X76" s="13" t="e">
        <f t="shared" si="54"/>
        <v>#DIV/0!</v>
      </c>
      <c r="Y76" s="13">
        <f t="shared" si="54"/>
        <v>-1.0192081536652294E-3</v>
      </c>
      <c r="Z76" s="13">
        <f t="shared" si="54"/>
        <v>-8.2462891698735572E-4</v>
      </c>
      <c r="AA76" s="13">
        <f t="shared" si="54"/>
        <v>-1.0993843447669306E-3</v>
      </c>
      <c r="AB76" s="13" t="e">
        <f t="shared" si="54"/>
        <v>#DIV/0!</v>
      </c>
      <c r="AC76" s="14" t="e">
        <f t="shared" si="54"/>
        <v>#DIV/0!</v>
      </c>
      <c r="AD76" s="13">
        <f t="shared" si="54"/>
        <v>-1.1604471739220005E-3</v>
      </c>
      <c r="AE76" s="13" t="e">
        <f t="shared" si="54"/>
        <v>#DIV/0!</v>
      </c>
      <c r="AF76" s="13">
        <f t="shared" si="54"/>
        <v>-1.0695187165775401E-3</v>
      </c>
      <c r="AG76" s="13">
        <f t="shared" si="54"/>
        <v>-1.1314137014199243E-3</v>
      </c>
      <c r="AH76" s="13" t="e">
        <f t="shared" si="54"/>
        <v>#DIV/0!</v>
      </c>
      <c r="AI76" s="13" t="e">
        <f t="shared" ref="AI76:BK76" si="55">AI75/AI72</f>
        <v>#DIV/0!</v>
      </c>
      <c r="AJ76" s="13">
        <f t="shared" si="55"/>
        <v>-1.3280979327866958E-3</v>
      </c>
      <c r="AK76" s="13">
        <f t="shared" si="55"/>
        <v>-1.2312112040219565E-3</v>
      </c>
      <c r="AL76" s="13">
        <f t="shared" si="55"/>
        <v>-1.2479408975190935E-3</v>
      </c>
      <c r="AM76" s="13" t="e">
        <f t="shared" si="55"/>
        <v>#DIV/0!</v>
      </c>
      <c r="AN76" s="13" t="e">
        <f t="shared" si="55"/>
        <v>#DIV/0!</v>
      </c>
      <c r="AO76" s="163">
        <f t="shared" si="55"/>
        <v>-1.1706313520949885E-3</v>
      </c>
      <c r="AP76" s="13" t="e">
        <f t="shared" si="55"/>
        <v>#DIV/0!</v>
      </c>
      <c r="AQ76" s="14" t="e">
        <f t="shared" si="55"/>
        <v>#DIV/0!</v>
      </c>
      <c r="AR76" s="13" t="e">
        <f t="shared" si="55"/>
        <v>#DIV/0!</v>
      </c>
      <c r="AS76" s="13" t="e">
        <f t="shared" si="55"/>
        <v>#DIV/0!</v>
      </c>
      <c r="AT76" s="13" t="e">
        <f t="shared" si="55"/>
        <v>#DIV/0!</v>
      </c>
      <c r="AU76" s="13" t="e">
        <f t="shared" si="55"/>
        <v>#DIV/0!</v>
      </c>
      <c r="AV76" s="13" t="e">
        <f t="shared" si="55"/>
        <v>#DIV/0!</v>
      </c>
      <c r="AW76" s="13" t="e">
        <f t="shared" si="55"/>
        <v>#DIV/0!</v>
      </c>
      <c r="AX76" s="13" t="e">
        <f t="shared" si="55"/>
        <v>#DIV/0!</v>
      </c>
      <c r="AY76" s="13" t="e">
        <f t="shared" si="55"/>
        <v>#DIV/0!</v>
      </c>
      <c r="AZ76" s="13" t="e">
        <f t="shared" si="55"/>
        <v>#DIV/0!</v>
      </c>
      <c r="BA76" s="13" t="e">
        <f t="shared" si="55"/>
        <v>#DIV/0!</v>
      </c>
      <c r="BB76" s="14" t="e">
        <f t="shared" si="55"/>
        <v>#DIV/0!</v>
      </c>
      <c r="BC76" s="13">
        <f t="shared" si="55"/>
        <v>-1.341944141575107E-3</v>
      </c>
      <c r="BD76" s="13">
        <f t="shared" si="55"/>
        <v>-1.341944141575107E-3</v>
      </c>
      <c r="BE76" s="13" t="e">
        <f t="shared" si="55"/>
        <v>#DIV/0!</v>
      </c>
      <c r="BF76" s="13">
        <f t="shared" si="55"/>
        <v>-1.4132278123233466E-3</v>
      </c>
      <c r="BG76" s="13">
        <f t="shared" si="55"/>
        <v>-1.1378608216552882E-3</v>
      </c>
      <c r="BH76" s="163">
        <f t="shared" si="55"/>
        <v>-1.1955690038953813E-3</v>
      </c>
      <c r="BI76" s="46">
        <f t="shared" si="55"/>
        <v>-1.1628250954168562E-3</v>
      </c>
      <c r="BJ76" s="13">
        <f t="shared" si="55"/>
        <v>-2.1881838074398249E-3</v>
      </c>
      <c r="BK76" s="52">
        <f t="shared" si="55"/>
        <v>-1.1627561264737198E-3</v>
      </c>
      <c r="BM76" s="163">
        <f>BM75/BM72</f>
        <v>-1.1945819507153349E-3</v>
      </c>
    </row>
    <row r="77" spans="1:65" ht="15.75">
      <c r="A77" s="130"/>
      <c r="B77" s="5" t="s">
        <v>126</v>
      </c>
      <c r="C77" s="11">
        <f>C74-C73</f>
        <v>253686</v>
      </c>
      <c r="D77" s="11">
        <f t="shared" ref="D77:BK77" si="56">D74-D73</f>
        <v>391727</v>
      </c>
      <c r="E77" s="11">
        <f t="shared" si="56"/>
        <v>573</v>
      </c>
      <c r="F77" s="11">
        <f t="shared" si="56"/>
        <v>29700</v>
      </c>
      <c r="G77" s="11">
        <f t="shared" si="56"/>
        <v>19130</v>
      </c>
      <c r="H77" s="11">
        <f t="shared" si="56"/>
        <v>0</v>
      </c>
      <c r="I77" s="11">
        <f t="shared" si="56"/>
        <v>0</v>
      </c>
      <c r="J77" s="11">
        <f t="shared" si="56"/>
        <v>137722</v>
      </c>
      <c r="K77" s="11">
        <f t="shared" si="56"/>
        <v>1780</v>
      </c>
      <c r="L77" s="11">
        <f t="shared" si="56"/>
        <v>61979</v>
      </c>
      <c r="M77" s="11">
        <f t="shared" si="56"/>
        <v>13344</v>
      </c>
      <c r="N77" s="11">
        <f t="shared" si="56"/>
        <v>-41</v>
      </c>
      <c r="O77" s="11">
        <f t="shared" si="56"/>
        <v>6629</v>
      </c>
      <c r="P77" s="11">
        <f t="shared" si="56"/>
        <v>42483</v>
      </c>
      <c r="Q77" s="11">
        <f t="shared" si="56"/>
        <v>0</v>
      </c>
      <c r="R77" s="11">
        <f t="shared" si="56"/>
        <v>2343</v>
      </c>
      <c r="S77" s="11">
        <f t="shared" si="56"/>
        <v>0</v>
      </c>
      <c r="T77" s="11">
        <f t="shared" si="56"/>
        <v>0</v>
      </c>
      <c r="U77" s="11">
        <f>U74-U73</f>
        <v>0</v>
      </c>
      <c r="V77" s="9">
        <f t="shared" si="56"/>
        <v>0</v>
      </c>
      <c r="W77" s="11">
        <f t="shared" si="56"/>
        <v>0</v>
      </c>
      <c r="X77" s="11">
        <f t="shared" si="56"/>
        <v>0</v>
      </c>
      <c r="Y77" s="11">
        <f t="shared" si="56"/>
        <v>-6372</v>
      </c>
      <c r="Z77" s="11">
        <f t="shared" si="56"/>
        <v>-884</v>
      </c>
      <c r="AA77" s="11">
        <f t="shared" si="56"/>
        <v>-441</v>
      </c>
      <c r="AB77" s="11">
        <f>AB74-AB73</f>
        <v>0</v>
      </c>
      <c r="AC77" s="10">
        <f>AC74-AC73</f>
        <v>0</v>
      </c>
      <c r="AD77" s="11">
        <f>AD74-AD73</f>
        <v>953358</v>
      </c>
      <c r="AE77" s="11">
        <f t="shared" si="56"/>
        <v>-87</v>
      </c>
      <c r="AF77" s="11">
        <f t="shared" si="56"/>
        <v>348</v>
      </c>
      <c r="AG77" s="11">
        <f t="shared" si="56"/>
        <v>-2913</v>
      </c>
      <c r="AH77" s="11">
        <f t="shared" si="56"/>
        <v>0</v>
      </c>
      <c r="AI77" s="11">
        <f t="shared" si="56"/>
        <v>0</v>
      </c>
      <c r="AJ77" s="11">
        <f t="shared" si="56"/>
        <v>-4887</v>
      </c>
      <c r="AK77" s="11">
        <f t="shared" si="56"/>
        <v>-7759</v>
      </c>
      <c r="AL77" s="11">
        <f t="shared" si="56"/>
        <v>22473</v>
      </c>
      <c r="AM77" s="11">
        <f t="shared" si="56"/>
        <v>0</v>
      </c>
      <c r="AN77" s="11">
        <f t="shared" si="56"/>
        <v>0</v>
      </c>
      <c r="AO77" s="9">
        <f t="shared" si="56"/>
        <v>44830</v>
      </c>
      <c r="AP77" s="11">
        <f t="shared" si="56"/>
        <v>0</v>
      </c>
      <c r="AQ77" s="10">
        <f t="shared" si="56"/>
        <v>0</v>
      </c>
      <c r="AR77" s="11">
        <f t="shared" si="56"/>
        <v>0</v>
      </c>
      <c r="AS77" s="11">
        <f t="shared" si="56"/>
        <v>0</v>
      </c>
      <c r="AT77" s="11">
        <f t="shared" si="56"/>
        <v>0</v>
      </c>
      <c r="AU77" s="11">
        <f t="shared" si="56"/>
        <v>0</v>
      </c>
      <c r="AV77" s="11">
        <f t="shared" si="56"/>
        <v>0</v>
      </c>
      <c r="AW77" s="11">
        <f t="shared" si="56"/>
        <v>-613</v>
      </c>
      <c r="AX77" s="11">
        <f t="shared" si="56"/>
        <v>0</v>
      </c>
      <c r="AY77" s="11">
        <f t="shared" si="56"/>
        <v>0</v>
      </c>
      <c r="AZ77" s="11">
        <f t="shared" si="56"/>
        <v>0</v>
      </c>
      <c r="BA77" s="11">
        <f t="shared" si="56"/>
        <v>0</v>
      </c>
      <c r="BB77" s="10">
        <f t="shared" si="56"/>
        <v>0</v>
      </c>
      <c r="BC77" s="11">
        <f t="shared" si="56"/>
        <v>-7073</v>
      </c>
      <c r="BD77" s="11">
        <f t="shared" si="56"/>
        <v>-7073</v>
      </c>
      <c r="BE77" s="11">
        <f t="shared" si="56"/>
        <v>0</v>
      </c>
      <c r="BF77" s="11">
        <f t="shared" si="56"/>
        <v>-924</v>
      </c>
      <c r="BG77" s="11">
        <f t="shared" si="56"/>
        <v>7256</v>
      </c>
      <c r="BH77" s="9">
        <f t="shared" si="56"/>
        <v>43578</v>
      </c>
      <c r="BI77" s="45">
        <f t="shared" si="56"/>
        <v>996936</v>
      </c>
      <c r="BJ77" s="11">
        <f t="shared" si="56"/>
        <v>456</v>
      </c>
      <c r="BK77" s="51">
        <f t="shared" si="56"/>
        <v>996480</v>
      </c>
      <c r="BM77" s="30">
        <f>BK77-AD77</f>
        <v>43122</v>
      </c>
    </row>
    <row r="78" spans="1:65" ht="15.75">
      <c r="A78" s="130"/>
      <c r="B78" s="5" t="s">
        <v>127</v>
      </c>
      <c r="C78" s="13">
        <f t="shared" ref="C78:AH78" si="57">C77/C73</f>
        <v>9.0769060676222091E-2</v>
      </c>
      <c r="D78" s="13">
        <f t="shared" si="57"/>
        <v>0.34407320515872214</v>
      </c>
      <c r="E78" s="13">
        <f t="shared" si="57"/>
        <v>5.3522889675593375E-3</v>
      </c>
      <c r="F78" s="13">
        <f t="shared" si="57"/>
        <v>9.3423842267840174E-2</v>
      </c>
      <c r="G78" s="13">
        <f t="shared" si="57"/>
        <v>9.6187205542957413E-2</v>
      </c>
      <c r="H78" s="13" t="e">
        <f t="shared" si="57"/>
        <v>#DIV/0!</v>
      </c>
      <c r="I78" s="13" t="e">
        <f t="shared" si="57"/>
        <v>#DIV/0!</v>
      </c>
      <c r="J78" s="13">
        <f t="shared" si="57"/>
        <v>0.34924949979332398</v>
      </c>
      <c r="K78" s="13">
        <f t="shared" si="57"/>
        <v>2.4977548271216884E-2</v>
      </c>
      <c r="L78" s="13">
        <f t="shared" si="57"/>
        <v>0.62313624161748593</v>
      </c>
      <c r="M78" s="13">
        <f t="shared" si="57"/>
        <v>0.13413212174822081</v>
      </c>
      <c r="N78" s="13">
        <f t="shared" si="57"/>
        <v>-5.2229299363057327E-2</v>
      </c>
      <c r="O78" s="13">
        <f t="shared" si="57"/>
        <v>0.83415125204479679</v>
      </c>
      <c r="P78" s="13">
        <f t="shared" si="57"/>
        <v>0.38998127340823968</v>
      </c>
      <c r="Q78" s="13" t="e">
        <f t="shared" si="57"/>
        <v>#DIV/0!</v>
      </c>
      <c r="R78" s="13">
        <f t="shared" si="57"/>
        <v>0.39786041772796737</v>
      </c>
      <c r="S78" s="13" t="e">
        <f t="shared" si="57"/>
        <v>#DIV/0!</v>
      </c>
      <c r="T78" s="13" t="e">
        <f t="shared" si="57"/>
        <v>#DIV/0!</v>
      </c>
      <c r="U78" s="13" t="e">
        <f t="shared" si="57"/>
        <v>#DIV/0!</v>
      </c>
      <c r="V78" s="163" t="e">
        <f t="shared" si="57"/>
        <v>#DIV/0!</v>
      </c>
      <c r="W78" s="13" t="e">
        <f t="shared" si="57"/>
        <v>#DIV/0!</v>
      </c>
      <c r="X78" s="13" t="e">
        <f t="shared" si="57"/>
        <v>#DIV/0!</v>
      </c>
      <c r="Y78" s="13">
        <f t="shared" si="57"/>
        <v>-0.33336821178193993</v>
      </c>
      <c r="Z78" s="13">
        <f t="shared" si="57"/>
        <v>-0.19561849966806816</v>
      </c>
      <c r="AA78" s="13">
        <f t="shared" si="57"/>
        <v>-8.8483146067415724E-2</v>
      </c>
      <c r="AB78" s="13" t="e">
        <f t="shared" si="57"/>
        <v>#DIV/0!</v>
      </c>
      <c r="AC78" s="14" t="e">
        <f t="shared" si="57"/>
        <v>#DIV/0!</v>
      </c>
      <c r="AD78" s="13">
        <f t="shared" si="57"/>
        <v>0.17740464219960186</v>
      </c>
      <c r="AE78" s="13">
        <f t="shared" si="57"/>
        <v>-1</v>
      </c>
      <c r="AF78" s="13">
        <f t="shared" si="57"/>
        <v>0.59385665529010234</v>
      </c>
      <c r="AG78" s="13">
        <f t="shared" si="57"/>
        <v>-0.14161400097228974</v>
      </c>
      <c r="AH78" s="13" t="e">
        <f t="shared" si="57"/>
        <v>#DIV/0!</v>
      </c>
      <c r="AI78" s="13" t="e">
        <f t="shared" ref="AI78:BK78" si="58">AI77/AI73</f>
        <v>#DIV/0!</v>
      </c>
      <c r="AJ78" s="13">
        <f t="shared" si="58"/>
        <v>-0.22031376791993509</v>
      </c>
      <c r="AK78" s="13">
        <f t="shared" si="58"/>
        <v>-0.28496400763919494</v>
      </c>
      <c r="AL78" s="13">
        <f t="shared" si="58"/>
        <v>1.281023770164738</v>
      </c>
      <c r="AM78" s="13" t="e">
        <f t="shared" si="58"/>
        <v>#DIV/0!</v>
      </c>
      <c r="AN78" s="13" t="e">
        <f t="shared" si="58"/>
        <v>#DIV/0!</v>
      </c>
      <c r="AO78" s="163">
        <f t="shared" si="58"/>
        <v>0.16498480064183246</v>
      </c>
      <c r="AP78" s="13" t="e">
        <f t="shared" si="58"/>
        <v>#DIV/0!</v>
      </c>
      <c r="AQ78" s="14" t="e">
        <f t="shared" si="58"/>
        <v>#DIV/0!</v>
      </c>
      <c r="AR78" s="13" t="e">
        <f t="shared" si="58"/>
        <v>#DIV/0!</v>
      </c>
      <c r="AS78" s="13" t="e">
        <f t="shared" si="58"/>
        <v>#DIV/0!</v>
      </c>
      <c r="AT78" s="13" t="e">
        <f t="shared" si="58"/>
        <v>#DIV/0!</v>
      </c>
      <c r="AU78" s="13" t="e">
        <f t="shared" si="58"/>
        <v>#DIV/0!</v>
      </c>
      <c r="AV78" s="13" t="e">
        <f t="shared" si="58"/>
        <v>#DIV/0!</v>
      </c>
      <c r="AW78" s="13">
        <f t="shared" si="58"/>
        <v>-1</v>
      </c>
      <c r="AX78" s="13" t="e">
        <f t="shared" si="58"/>
        <v>#DIV/0!</v>
      </c>
      <c r="AY78" s="13" t="e">
        <f t="shared" si="58"/>
        <v>#DIV/0!</v>
      </c>
      <c r="AZ78" s="13" t="e">
        <f t="shared" si="58"/>
        <v>#DIV/0!</v>
      </c>
      <c r="BA78" s="13" t="e">
        <f t="shared" si="58"/>
        <v>#DIV/0!</v>
      </c>
      <c r="BB78" s="14" t="e">
        <f t="shared" si="58"/>
        <v>#DIV/0!</v>
      </c>
      <c r="BC78" s="13">
        <f t="shared" si="58"/>
        <v>-0.37265542676501578</v>
      </c>
      <c r="BD78" s="13">
        <f t="shared" si="58"/>
        <v>-0.37265542676501578</v>
      </c>
      <c r="BE78" s="13" t="e">
        <f t="shared" si="58"/>
        <v>#DIV/0!</v>
      </c>
      <c r="BF78" s="13">
        <f t="shared" si="58"/>
        <v>-0.11564455569461828</v>
      </c>
      <c r="BG78" s="13">
        <f t="shared" si="58"/>
        <v>0.77003077576143475</v>
      </c>
      <c r="BH78" s="163">
        <f t="shared" si="58"/>
        <v>0.10477898745864431</v>
      </c>
      <c r="BI78" s="46">
        <f t="shared" si="58"/>
        <v>0.17218767692685544</v>
      </c>
      <c r="BJ78" s="13" t="e">
        <f t="shared" si="58"/>
        <v>#DIV/0!</v>
      </c>
      <c r="BK78" s="52">
        <f t="shared" si="58"/>
        <v>0.17210891802891351</v>
      </c>
      <c r="BM78" s="14">
        <f>BM77/BM73</f>
        <v>0.10368258059552204</v>
      </c>
    </row>
    <row r="79" spans="1:65" ht="15.75">
      <c r="A79" s="130"/>
      <c r="B79" s="5" t="s">
        <v>328</v>
      </c>
      <c r="C79" s="128">
        <f>C74/C71</f>
        <v>0.99884275224446106</v>
      </c>
      <c r="D79" s="128">
        <f t="shared" ref="D79:BK79" si="59">D74/D71</f>
        <v>0.99884203655352477</v>
      </c>
      <c r="E79" s="128">
        <f t="shared" si="59"/>
        <v>0.9988121531580022</v>
      </c>
      <c r="F79" s="128">
        <f t="shared" si="59"/>
        <v>0.99883624368195256</v>
      </c>
      <c r="G79" s="128">
        <f t="shared" si="59"/>
        <v>0.99882713532384348</v>
      </c>
      <c r="H79" s="128" t="e">
        <f t="shared" si="59"/>
        <v>#DIV/0!</v>
      </c>
      <c r="I79" s="128" t="e">
        <f t="shared" si="59"/>
        <v>#DIV/0!</v>
      </c>
      <c r="J79" s="128">
        <f t="shared" si="59"/>
        <v>0.99884357253484768</v>
      </c>
      <c r="K79" s="128">
        <f t="shared" si="59"/>
        <v>0.99882401203336524</v>
      </c>
      <c r="L79" s="128">
        <f t="shared" si="59"/>
        <v>0.99883066985912361</v>
      </c>
      <c r="M79" s="128">
        <f t="shared" si="59"/>
        <v>0.99881376037959668</v>
      </c>
      <c r="N79" s="128">
        <f t="shared" si="59"/>
        <v>0.99731903485254692</v>
      </c>
      <c r="O79" s="128">
        <f t="shared" si="59"/>
        <v>0.99876661641770592</v>
      </c>
      <c r="P79" s="128">
        <f t="shared" si="59"/>
        <v>0.99881924563648594</v>
      </c>
      <c r="Q79" s="128" t="e">
        <f t="shared" si="59"/>
        <v>#DIV/0!</v>
      </c>
      <c r="R79" s="128">
        <f t="shared" si="59"/>
        <v>0.99866553439281813</v>
      </c>
      <c r="S79" s="128" t="e">
        <f t="shared" si="59"/>
        <v>#DIV/0!</v>
      </c>
      <c r="T79" s="128" t="e">
        <f t="shared" si="59"/>
        <v>#DIV/0!</v>
      </c>
      <c r="U79" s="128" t="e">
        <f t="shared" si="59"/>
        <v>#DIV/0!</v>
      </c>
      <c r="V79" s="178" t="e">
        <f t="shared" si="59"/>
        <v>#DIV/0!</v>
      </c>
      <c r="W79" s="128" t="e">
        <f t="shared" si="59"/>
        <v>#DIV/0!</v>
      </c>
      <c r="X79" s="128" t="e">
        <f t="shared" si="59"/>
        <v>#DIV/0!</v>
      </c>
      <c r="Y79" s="128">
        <f t="shared" si="59"/>
        <v>0.99898079184633481</v>
      </c>
      <c r="Z79" s="128">
        <f t="shared" si="59"/>
        <v>0.99917537108301269</v>
      </c>
      <c r="AA79" s="128">
        <f t="shared" si="59"/>
        <v>0.99890061565523303</v>
      </c>
      <c r="AB79" s="128" t="e">
        <f>AB74/AB71</f>
        <v>#DIV/0!</v>
      </c>
      <c r="AC79" s="217" t="e">
        <f t="shared" si="59"/>
        <v>#DIV/0!</v>
      </c>
      <c r="AD79" s="128">
        <f t="shared" si="59"/>
        <v>0.99883955282607795</v>
      </c>
      <c r="AE79" s="128" t="e">
        <f t="shared" si="59"/>
        <v>#DIV/0!</v>
      </c>
      <c r="AF79" s="128">
        <f t="shared" si="59"/>
        <v>0.99893048128342243</v>
      </c>
      <c r="AG79" s="128">
        <f t="shared" si="59"/>
        <v>0.99886858629858011</v>
      </c>
      <c r="AH79" s="128" t="e">
        <f t="shared" si="59"/>
        <v>#DIV/0!</v>
      </c>
      <c r="AI79" s="128" t="e">
        <f t="shared" si="59"/>
        <v>#DIV/0!</v>
      </c>
      <c r="AJ79" s="128">
        <f t="shared" si="59"/>
        <v>0.99867190206721335</v>
      </c>
      <c r="AK79" s="128">
        <f t="shared" si="59"/>
        <v>0.99876878879597808</v>
      </c>
      <c r="AL79" s="128">
        <f t="shared" si="59"/>
        <v>0.99875205910248088</v>
      </c>
      <c r="AM79" s="128" t="e">
        <f t="shared" si="59"/>
        <v>#DIV/0!</v>
      </c>
      <c r="AN79" s="128" t="e">
        <f t="shared" si="59"/>
        <v>#DIV/0!</v>
      </c>
      <c r="AO79" s="178">
        <f t="shared" si="59"/>
        <v>0.99882936864790506</v>
      </c>
      <c r="AP79" s="128" t="e">
        <f t="shared" si="59"/>
        <v>#DIV/0!</v>
      </c>
      <c r="AQ79" s="217" t="e">
        <f t="shared" si="59"/>
        <v>#DIV/0!</v>
      </c>
      <c r="AR79" s="128" t="e">
        <f t="shared" si="59"/>
        <v>#DIV/0!</v>
      </c>
      <c r="AS79" s="128" t="e">
        <f t="shared" si="59"/>
        <v>#DIV/0!</v>
      </c>
      <c r="AT79" s="128" t="e">
        <f t="shared" si="59"/>
        <v>#DIV/0!</v>
      </c>
      <c r="AU79" s="128" t="e">
        <f t="shared" si="59"/>
        <v>#DIV/0!</v>
      </c>
      <c r="AV79" s="128" t="e">
        <f t="shared" si="59"/>
        <v>#DIV/0!</v>
      </c>
      <c r="AW79" s="128" t="e">
        <f t="shared" si="59"/>
        <v>#DIV/0!</v>
      </c>
      <c r="AX79" s="128" t="e">
        <f t="shared" si="59"/>
        <v>#DIV/0!</v>
      </c>
      <c r="AY79" s="128" t="e">
        <f t="shared" si="59"/>
        <v>#DIV/0!</v>
      </c>
      <c r="AZ79" s="128" t="e">
        <f t="shared" si="59"/>
        <v>#DIV/0!</v>
      </c>
      <c r="BA79" s="128" t="e">
        <f t="shared" si="59"/>
        <v>#DIV/0!</v>
      </c>
      <c r="BB79" s="217" t="e">
        <f t="shared" si="59"/>
        <v>#DIV/0!</v>
      </c>
      <c r="BC79" s="128">
        <f t="shared" si="59"/>
        <v>0.99865805585842493</v>
      </c>
      <c r="BD79" s="128">
        <f t="shared" si="59"/>
        <v>0.99865805585842493</v>
      </c>
      <c r="BE79" s="128" t="e">
        <f t="shared" si="59"/>
        <v>#DIV/0!</v>
      </c>
      <c r="BF79" s="128">
        <f t="shared" si="59"/>
        <v>0.99858677218767666</v>
      </c>
      <c r="BG79" s="128">
        <f t="shared" si="59"/>
        <v>0.99886213917834477</v>
      </c>
      <c r="BH79" s="178">
        <f t="shared" si="59"/>
        <v>0.99880443099610461</v>
      </c>
      <c r="BI79" s="128">
        <f t="shared" si="59"/>
        <v>0.99883717490458312</v>
      </c>
      <c r="BJ79" s="128">
        <f t="shared" si="59"/>
        <v>0.99781181619256021</v>
      </c>
      <c r="BK79" s="128">
        <f t="shared" si="59"/>
        <v>0.99883724387352624</v>
      </c>
      <c r="BM79" s="128">
        <f>BM74/BM71</f>
        <v>0.99880541804928469</v>
      </c>
    </row>
    <row r="80" spans="1:65" s="181" customFormat="1" ht="15.75">
      <c r="A80" s="130"/>
      <c r="B80" s="5" t="s">
        <v>327</v>
      </c>
      <c r="C80" s="11">
        <f>C71-C74</f>
        <v>3532</v>
      </c>
      <c r="D80" s="11">
        <f t="shared" ref="D80:BK80" si="60">D71-D74</f>
        <v>1774</v>
      </c>
      <c r="E80" s="11">
        <f t="shared" si="60"/>
        <v>128</v>
      </c>
      <c r="F80" s="11">
        <f t="shared" si="60"/>
        <v>405</v>
      </c>
      <c r="G80" s="11">
        <f t="shared" si="60"/>
        <v>256</v>
      </c>
      <c r="H80" s="11">
        <f t="shared" si="60"/>
        <v>0</v>
      </c>
      <c r="I80" s="11">
        <f t="shared" si="60"/>
        <v>0</v>
      </c>
      <c r="J80" s="11">
        <f t="shared" si="60"/>
        <v>616</v>
      </c>
      <c r="K80" s="11">
        <f t="shared" si="60"/>
        <v>86</v>
      </c>
      <c r="L80" s="11">
        <f t="shared" si="60"/>
        <v>189</v>
      </c>
      <c r="M80" s="11">
        <f t="shared" si="60"/>
        <v>134</v>
      </c>
      <c r="N80" s="11">
        <f t="shared" si="60"/>
        <v>2</v>
      </c>
      <c r="O80" s="11">
        <f t="shared" si="60"/>
        <v>18</v>
      </c>
      <c r="P80" s="11">
        <f t="shared" si="60"/>
        <v>179</v>
      </c>
      <c r="Q80" s="11">
        <f t="shared" si="60"/>
        <v>0</v>
      </c>
      <c r="R80" s="11">
        <f t="shared" si="60"/>
        <v>11</v>
      </c>
      <c r="S80" s="11">
        <f t="shared" si="60"/>
        <v>0</v>
      </c>
      <c r="T80" s="11">
        <f t="shared" si="60"/>
        <v>0</v>
      </c>
      <c r="U80" s="11">
        <f t="shared" si="60"/>
        <v>0</v>
      </c>
      <c r="V80" s="11">
        <f t="shared" si="60"/>
        <v>0</v>
      </c>
      <c r="W80" s="11">
        <f t="shared" si="60"/>
        <v>0</v>
      </c>
      <c r="X80" s="11">
        <f t="shared" si="60"/>
        <v>0</v>
      </c>
      <c r="Y80" s="11">
        <f t="shared" si="60"/>
        <v>13</v>
      </c>
      <c r="Z80" s="11">
        <f t="shared" si="60"/>
        <v>3</v>
      </c>
      <c r="AA80" s="11">
        <f t="shared" si="60"/>
        <v>5</v>
      </c>
      <c r="AB80" s="11">
        <f t="shared" si="60"/>
        <v>0</v>
      </c>
      <c r="AC80" s="11">
        <f t="shared" si="60"/>
        <v>0</v>
      </c>
      <c r="AD80" s="11">
        <f t="shared" si="60"/>
        <v>7351</v>
      </c>
      <c r="AE80" s="11">
        <f t="shared" si="60"/>
        <v>0</v>
      </c>
      <c r="AF80" s="11">
        <f t="shared" si="60"/>
        <v>1</v>
      </c>
      <c r="AG80" s="11">
        <f t="shared" si="60"/>
        <v>20</v>
      </c>
      <c r="AH80" s="11">
        <f t="shared" si="60"/>
        <v>0</v>
      </c>
      <c r="AI80" s="11">
        <f t="shared" si="60"/>
        <v>0</v>
      </c>
      <c r="AJ80" s="11">
        <f t="shared" si="60"/>
        <v>23</v>
      </c>
      <c r="AK80" s="11">
        <f t="shared" si="60"/>
        <v>24</v>
      </c>
      <c r="AL80" s="11">
        <f t="shared" si="60"/>
        <v>50</v>
      </c>
      <c r="AM80" s="11">
        <f t="shared" si="60"/>
        <v>0</v>
      </c>
      <c r="AN80" s="11">
        <f t="shared" si="60"/>
        <v>0</v>
      </c>
      <c r="AO80" s="11">
        <f t="shared" si="60"/>
        <v>371</v>
      </c>
      <c r="AP80" s="11">
        <f t="shared" si="60"/>
        <v>0</v>
      </c>
      <c r="AQ80" s="11">
        <f t="shared" si="60"/>
        <v>0</v>
      </c>
      <c r="AR80" s="11">
        <f t="shared" si="60"/>
        <v>0</v>
      </c>
      <c r="AS80" s="11">
        <f t="shared" si="60"/>
        <v>0</v>
      </c>
      <c r="AT80" s="11">
        <f t="shared" si="60"/>
        <v>0</v>
      </c>
      <c r="AU80" s="11">
        <f t="shared" si="60"/>
        <v>0</v>
      </c>
      <c r="AV80" s="11">
        <f t="shared" si="60"/>
        <v>0</v>
      </c>
      <c r="AW80" s="11">
        <f t="shared" si="60"/>
        <v>0</v>
      </c>
      <c r="AX80" s="11">
        <f t="shared" si="60"/>
        <v>0</v>
      </c>
      <c r="AY80" s="11">
        <f t="shared" si="60"/>
        <v>0</v>
      </c>
      <c r="AZ80" s="11">
        <f t="shared" si="60"/>
        <v>0</v>
      </c>
      <c r="BA80" s="11">
        <f t="shared" si="60"/>
        <v>0</v>
      </c>
      <c r="BB80" s="11">
        <f t="shared" si="60"/>
        <v>0</v>
      </c>
      <c r="BC80" s="11">
        <f t="shared" si="60"/>
        <v>16</v>
      </c>
      <c r="BD80" s="11">
        <f t="shared" si="60"/>
        <v>16</v>
      </c>
      <c r="BE80" s="11">
        <f t="shared" si="60"/>
        <v>0</v>
      </c>
      <c r="BF80" s="11">
        <f t="shared" si="60"/>
        <v>10</v>
      </c>
      <c r="BG80" s="11">
        <f t="shared" si="60"/>
        <v>19</v>
      </c>
      <c r="BH80" s="11">
        <f t="shared" si="60"/>
        <v>550</v>
      </c>
      <c r="BI80" s="11">
        <f t="shared" si="60"/>
        <v>7901</v>
      </c>
      <c r="BJ80" s="11">
        <f t="shared" si="60"/>
        <v>1</v>
      </c>
      <c r="BK80" s="11">
        <f t="shared" si="60"/>
        <v>7900</v>
      </c>
      <c r="BL80" s="11">
        <f>BL74-BL71</f>
        <v>6786299</v>
      </c>
      <c r="BM80" s="11">
        <f>BM74-BM71</f>
        <v>-549</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44"/>
      <c r="BJ81" s="5"/>
      <c r="BK81" s="50"/>
    </row>
    <row r="82" spans="1:65" s="179" customFormat="1" ht="15.75">
      <c r="A82" s="264" t="s">
        <v>32</v>
      </c>
      <c r="B82" s="9" t="s">
        <v>326</v>
      </c>
      <c r="C82" s="225">
        <v>5847</v>
      </c>
      <c r="D82" s="225">
        <v>2691</v>
      </c>
      <c r="E82" s="225">
        <v>304</v>
      </c>
      <c r="F82" s="225">
        <v>332</v>
      </c>
      <c r="G82" s="225">
        <v>439</v>
      </c>
      <c r="H82" s="225">
        <v>0</v>
      </c>
      <c r="I82" s="225">
        <v>0</v>
      </c>
      <c r="J82" s="225">
        <v>0</v>
      </c>
      <c r="K82" s="225">
        <v>9</v>
      </c>
      <c r="L82" s="225">
        <v>213</v>
      </c>
      <c r="M82" s="225">
        <v>206</v>
      </c>
      <c r="N82" s="225">
        <v>0</v>
      </c>
      <c r="O82" s="225">
        <v>0</v>
      </c>
      <c r="P82" s="225">
        <v>169</v>
      </c>
      <c r="Q82" s="225">
        <v>0</v>
      </c>
      <c r="R82" s="225">
        <v>65</v>
      </c>
      <c r="S82" s="225">
        <v>0</v>
      </c>
      <c r="T82" s="225">
        <v>0</v>
      </c>
      <c r="U82" s="225">
        <v>0</v>
      </c>
      <c r="V82" s="225">
        <v>0</v>
      </c>
      <c r="W82" s="225">
        <v>0</v>
      </c>
      <c r="X82" s="225">
        <v>0</v>
      </c>
      <c r="Y82" s="225">
        <v>89</v>
      </c>
      <c r="Z82" s="225">
        <v>25</v>
      </c>
      <c r="AA82" s="225">
        <v>6</v>
      </c>
      <c r="AB82" s="225">
        <v>0</v>
      </c>
      <c r="AC82" s="225">
        <v>0</v>
      </c>
      <c r="AD82" s="226">
        <f>SUM(C82:AC82)</f>
        <v>10395</v>
      </c>
      <c r="AE82" s="225">
        <v>0</v>
      </c>
      <c r="AF82" s="225">
        <v>0</v>
      </c>
      <c r="AG82" s="225">
        <v>0</v>
      </c>
      <c r="AH82" s="225">
        <v>0</v>
      </c>
      <c r="AI82" s="225">
        <v>0</v>
      </c>
      <c r="AJ82" s="225">
        <v>0</v>
      </c>
      <c r="AK82" s="225">
        <v>1544</v>
      </c>
      <c r="AL82" s="225">
        <v>0</v>
      </c>
      <c r="AM82" s="225">
        <v>9816812</v>
      </c>
      <c r="AN82" s="225">
        <v>0</v>
      </c>
      <c r="AO82" s="225">
        <v>0</v>
      </c>
      <c r="AP82" s="225">
        <v>0</v>
      </c>
      <c r="AQ82" s="225">
        <v>0</v>
      </c>
      <c r="AR82" s="225">
        <v>13476</v>
      </c>
      <c r="AS82" s="225">
        <v>0</v>
      </c>
      <c r="AT82" s="225">
        <v>0</v>
      </c>
      <c r="AU82" s="225">
        <v>8671</v>
      </c>
      <c r="AV82" s="225">
        <v>0</v>
      </c>
      <c r="AW82" s="225">
        <v>0</v>
      </c>
      <c r="AX82" s="225">
        <v>0</v>
      </c>
      <c r="AY82" s="225">
        <v>0</v>
      </c>
      <c r="AZ82" s="225">
        <v>0</v>
      </c>
      <c r="BA82" s="225">
        <v>405370</v>
      </c>
      <c r="BB82" s="225">
        <v>0</v>
      </c>
      <c r="BC82" s="225">
        <v>0</v>
      </c>
      <c r="BD82" s="225">
        <v>0</v>
      </c>
      <c r="BE82" s="225">
        <v>0</v>
      </c>
      <c r="BF82" s="225">
        <v>7693</v>
      </c>
      <c r="BG82" s="225">
        <v>808</v>
      </c>
      <c r="BH82" s="229">
        <f>SUM(AE82:BG82)</f>
        <v>10254374</v>
      </c>
      <c r="BI82" s="125">
        <f>AD82+BH82</f>
        <v>10264769</v>
      </c>
      <c r="BJ82" s="230">
        <v>250126</v>
      </c>
      <c r="BK82" s="226">
        <f>BI82-BJ82</f>
        <v>10014643</v>
      </c>
      <c r="BM82" s="228">
        <f>BK82-AD82</f>
        <v>10004248</v>
      </c>
    </row>
    <row r="83" spans="1:65" s="41" customFormat="1" ht="15.75">
      <c r="A83" s="136"/>
      <c r="B83" s="234" t="s">
        <v>321</v>
      </c>
      <c r="C83" s="342">
        <v>5847</v>
      </c>
      <c r="D83" s="342">
        <v>2691</v>
      </c>
      <c r="E83" s="342">
        <v>304</v>
      </c>
      <c r="F83" s="342">
        <v>332</v>
      </c>
      <c r="G83" s="342">
        <v>439</v>
      </c>
      <c r="H83" s="342">
        <v>0</v>
      </c>
      <c r="I83" s="342">
        <v>0</v>
      </c>
      <c r="J83" s="342">
        <v>0</v>
      </c>
      <c r="K83" s="342">
        <v>9</v>
      </c>
      <c r="L83" s="342">
        <v>213</v>
      </c>
      <c r="M83" s="342">
        <v>206</v>
      </c>
      <c r="N83" s="342">
        <v>0</v>
      </c>
      <c r="O83" s="342">
        <v>0</v>
      </c>
      <c r="P83" s="342">
        <v>169</v>
      </c>
      <c r="Q83" s="342">
        <v>0</v>
      </c>
      <c r="R83" s="342">
        <v>65</v>
      </c>
      <c r="S83" s="342">
        <v>0</v>
      </c>
      <c r="T83" s="342">
        <v>0</v>
      </c>
      <c r="U83" s="342">
        <v>0</v>
      </c>
      <c r="V83" s="342">
        <v>0</v>
      </c>
      <c r="W83" s="342">
        <v>0</v>
      </c>
      <c r="X83" s="342">
        <v>0</v>
      </c>
      <c r="Y83" s="342">
        <v>89</v>
      </c>
      <c r="Z83" s="342">
        <v>25</v>
      </c>
      <c r="AA83" s="342">
        <v>6</v>
      </c>
      <c r="AB83" s="342">
        <v>0</v>
      </c>
      <c r="AC83" s="342">
        <v>0</v>
      </c>
      <c r="AD83" s="123">
        <f>SUM(C83:AC83)</f>
        <v>10395</v>
      </c>
      <c r="AE83" s="342">
        <v>0</v>
      </c>
      <c r="AF83" s="342">
        <v>0</v>
      </c>
      <c r="AG83" s="342">
        <v>0</v>
      </c>
      <c r="AH83" s="342">
        <v>0</v>
      </c>
      <c r="AI83" s="342">
        <v>0</v>
      </c>
      <c r="AJ83" s="342">
        <v>0</v>
      </c>
      <c r="AK83" s="342">
        <v>1544</v>
      </c>
      <c r="AL83" s="342">
        <v>0</v>
      </c>
      <c r="AM83" s="342">
        <v>9816812</v>
      </c>
      <c r="AN83" s="342">
        <v>0</v>
      </c>
      <c r="AO83" s="342">
        <v>0</v>
      </c>
      <c r="AP83" s="342">
        <v>0</v>
      </c>
      <c r="AQ83" s="342">
        <v>0</v>
      </c>
      <c r="AR83" s="342">
        <v>13476</v>
      </c>
      <c r="AS83" s="342">
        <v>0</v>
      </c>
      <c r="AT83" s="342">
        <v>0</v>
      </c>
      <c r="AU83" s="342">
        <v>8671</v>
      </c>
      <c r="AV83" s="342">
        <v>0</v>
      </c>
      <c r="AW83" s="342">
        <v>0</v>
      </c>
      <c r="AX83" s="342">
        <v>0</v>
      </c>
      <c r="AY83" s="342">
        <v>0</v>
      </c>
      <c r="AZ83" s="342">
        <v>0</v>
      </c>
      <c r="BA83" s="342">
        <v>405370</v>
      </c>
      <c r="BB83" s="342">
        <v>0</v>
      </c>
      <c r="BC83" s="342">
        <v>0</v>
      </c>
      <c r="BD83" s="342">
        <v>0</v>
      </c>
      <c r="BE83" s="342">
        <v>0</v>
      </c>
      <c r="BF83" s="342">
        <v>7693</v>
      </c>
      <c r="BG83" s="342">
        <v>808</v>
      </c>
      <c r="BH83" s="124">
        <f>SUM(AE83:BG83)</f>
        <v>10254374</v>
      </c>
      <c r="BI83" s="220">
        <f>AD83+BH83</f>
        <v>10264769</v>
      </c>
      <c r="BJ83" s="343">
        <v>250126</v>
      </c>
      <c r="BK83" s="123">
        <f>BI83-BJ83</f>
        <v>10014643</v>
      </c>
      <c r="BL83" s="41">
        <f>'[1]Upto Month Current'!$I$61</f>
        <v>862518</v>
      </c>
      <c r="BM83" s="218">
        <f>BK83-AD83</f>
        <v>10004248</v>
      </c>
    </row>
    <row r="84" spans="1:65" ht="15.75">
      <c r="A84" s="130"/>
      <c r="B84" s="12" t="s">
        <v>322</v>
      </c>
      <c r="C84" s="9">
        <f>IF('Upto Month COPPY'!$I$4="",0,'Upto Month COPPY'!$I$4)</f>
        <v>5776</v>
      </c>
      <c r="D84" s="9">
        <f>IF('Upto Month COPPY'!$I$5="",0,'Upto Month COPPY'!$I$5)</f>
        <v>2181</v>
      </c>
      <c r="E84" s="9">
        <f>IF('Upto Month COPPY'!$I$6="",0,'Upto Month COPPY'!$I$6)</f>
        <v>310</v>
      </c>
      <c r="F84" s="9">
        <f>IF('Upto Month COPPY'!$I$7="",0,'Upto Month COPPY'!$I$7)</f>
        <v>274</v>
      </c>
      <c r="G84" s="9">
        <f>IF('Upto Month COPPY'!$I$8="",0,'Upto Month COPPY'!$I$8)</f>
        <v>426</v>
      </c>
      <c r="H84" s="9">
        <f>IF('Upto Month COPPY'!$I$9="",0,'Upto Month COPPY'!$I$9)</f>
        <v>0</v>
      </c>
      <c r="I84" s="9">
        <f>IF('Upto Month COPPY'!$I$10="",0,'Upto Month COPPY'!$I$10)</f>
        <v>0</v>
      </c>
      <c r="J84" s="9">
        <f>IF('Upto Month COPPY'!$I$11="",0,'Upto Month COPPY'!$I$11)</f>
        <v>0</v>
      </c>
      <c r="K84" s="9">
        <f>IF('Upto Month COPPY'!$I$12="",0,'Upto Month COPPY'!$I$12)</f>
        <v>11</v>
      </c>
      <c r="L84" s="9">
        <f>IF('Upto Month COPPY'!$I$13="",0,'Upto Month COPPY'!$I$13)</f>
        <v>151</v>
      </c>
      <c r="M84" s="9">
        <f>IF('Upto Month COPPY'!$I$14="",0,'Upto Month COPPY'!$I$14)</f>
        <v>164</v>
      </c>
      <c r="N84" s="9">
        <f>IF('Upto Month COPPY'!$I$15="",0,'Upto Month COPPY'!$I$15)</f>
        <v>0</v>
      </c>
      <c r="O84" s="9">
        <f>IF('Upto Month COPPY'!$I$16="",0,'Upto Month COPPY'!$I$16)</f>
        <v>0</v>
      </c>
      <c r="P84" s="9">
        <f>IF('Upto Month COPPY'!$I$17="",0,'Upto Month COPPY'!$I$17)</f>
        <v>123</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6</v>
      </c>
      <c r="Z84" s="9">
        <f>IF('Upto Month COPPY'!$I$43="",0,'Upto Month COPPY'!$I$43)</f>
        <v>1</v>
      </c>
      <c r="AA84" s="9">
        <f>IF('Upto Month COPPY'!$I$44="",0,'Upto Month COPPY'!$I$44)</f>
        <v>14</v>
      </c>
      <c r="AB84" s="9">
        <f>IF('Upto Month COPPY'!$I$48="",0,'Upto Month COPPY'!$I$48)</f>
        <v>0</v>
      </c>
      <c r="AC84" s="10">
        <f>IF('Upto Month COPPY'!$I$51="",0,'Upto Month COPPY'!$I$51)</f>
        <v>0</v>
      </c>
      <c r="AD84" s="123">
        <f>SUM(C84:AC84)</f>
        <v>9437</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3363</v>
      </c>
      <c r="AL84" s="9">
        <f>IF('Upto Month COPPY'!$I$29="",0,'Upto Month COPPY'!$I$29)</f>
        <v>0</v>
      </c>
      <c r="AM84" s="9">
        <f>IF('Upto Month COPPY'!$I$31="",0,'Upto Month COPPY'!$I$31)</f>
        <v>9049149</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-11401</v>
      </c>
      <c r="AS84" s="9">
        <v>0</v>
      </c>
      <c r="AT84" s="9">
        <f>IF('Upto Month COPPY'!$I$38="",0,'Upto Month COPPY'!$I$38)</f>
        <v>0</v>
      </c>
      <c r="AU84" s="9">
        <f>IF('Upto Month COPPY'!$I$41="",0,'Upto Month COPPY'!$I$41)</f>
        <v>-30475</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858702</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11967</v>
      </c>
      <c r="BG84" s="9">
        <f>IF('Upto Month COPPY'!$I$58="",0,'Upto Month COPPY'!$I$58)</f>
        <v>-3422</v>
      </c>
      <c r="BH84" s="9">
        <f>SUM(AE84:BG84)</f>
        <v>9877883</v>
      </c>
      <c r="BI84" s="127">
        <f>AD84+BH84</f>
        <v>9887320</v>
      </c>
      <c r="BJ84" s="9">
        <f>IF('Upto Month COPPY'!$I$60="",0,'Upto Month COPPY'!$I$60)</f>
        <v>474149</v>
      </c>
      <c r="BK84" s="51">
        <f>BI84-BJ84</f>
        <v>9413171</v>
      </c>
      <c r="BL84">
        <f>'Upto Month COPPY'!$I$61</f>
        <v>9413172</v>
      </c>
      <c r="BM84" s="30">
        <f>BK84-AD84</f>
        <v>9403734</v>
      </c>
    </row>
    <row r="85" spans="1:65" ht="13.5" customHeight="1">
      <c r="A85" s="130"/>
      <c r="B85" s="183" t="s">
        <v>323</v>
      </c>
      <c r="C85" s="9">
        <f>IF('Upto Month Current'!$I$4="",0,'Upto Month Current'!$I$4)</f>
        <v>5837</v>
      </c>
      <c r="D85" s="9">
        <f>IF('Upto Month Current'!$I$5="",0,'Upto Month Current'!$I$5)</f>
        <v>2687</v>
      </c>
      <c r="E85" s="9">
        <f>IF('Upto Month Current'!$I$6="",0,'Upto Month Current'!$I$6)</f>
        <v>303</v>
      </c>
      <c r="F85" s="9">
        <f>IF('Upto Month Current'!$I$7="",0,'Upto Month Current'!$I$7)</f>
        <v>332</v>
      </c>
      <c r="G85" s="9">
        <f>IF('Upto Month Current'!$I$8="",0,'Upto Month Current'!$I$8)</f>
        <v>439</v>
      </c>
      <c r="H85" s="9">
        <f>IF('Upto Month Current'!$I$9="",0,'Upto Month Current'!$I$9)</f>
        <v>0</v>
      </c>
      <c r="I85" s="9">
        <f>IF('Upto Month Current'!$I$10="",0,'Upto Month Current'!$I$10)</f>
        <v>0</v>
      </c>
      <c r="J85" s="9">
        <f>IF('Upto Month Current'!$I$11="",0,'Upto Month Current'!$I$11)</f>
        <v>0</v>
      </c>
      <c r="K85" s="9">
        <f>IF('Upto Month Current'!$I$12="",0,'Upto Month Current'!$I$12)</f>
        <v>9</v>
      </c>
      <c r="L85" s="9">
        <f>IF('Upto Month Current'!$I$13="",0,'Upto Month Current'!$I$13)</f>
        <v>212</v>
      </c>
      <c r="M85" s="9">
        <f>IF('Upto Month Current'!$I$14="",0,'Upto Month Current'!$I$14)</f>
        <v>205</v>
      </c>
      <c r="N85" s="9">
        <f>IF('Upto Month Current'!$I$15="",0,'Upto Month Current'!$I$15)</f>
        <v>0</v>
      </c>
      <c r="O85" s="9">
        <f>IF('Upto Month Current'!$I$16="",0,'Upto Month Current'!$I$16)</f>
        <v>0</v>
      </c>
      <c r="P85" s="9">
        <f>IF('Upto Month Current'!$I$17="",0,'Upto Month Current'!$I$17)</f>
        <v>168</v>
      </c>
      <c r="Q85" s="9">
        <f>IF('Upto Month Current'!$I$18="",0,'Upto Month Current'!$I$18)</f>
        <v>0</v>
      </c>
      <c r="R85" s="9">
        <f>IF('Upto Month Current'!$I$21="",0,'Upto Month Current'!$I$21)</f>
        <v>65</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89</v>
      </c>
      <c r="Z85" s="9">
        <f>IF('Upto Month Current'!$I$43="",0,'Upto Month Current'!$I$43)</f>
        <v>25</v>
      </c>
      <c r="AA85" s="9">
        <f>IF('Upto Month Current'!$I$44="",0,'Upto Month Current'!$I$44)</f>
        <v>6</v>
      </c>
      <c r="AB85" s="9">
        <f>IF('Upto Month Current'!$I$48="",0,'Upto Month Current'!$I$48)</f>
        <v>0</v>
      </c>
      <c r="AC85" s="10">
        <f>IF('Upto Month Current'!$I$51="",0,'Upto Month Current'!$I$51)</f>
        <v>0</v>
      </c>
      <c r="AD85" s="123">
        <f>SUM(C85:AC85)</f>
        <v>10377</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1541</v>
      </c>
      <c r="AL85" s="9">
        <f>IF('Upto Month Current'!$I$29="",0,'Upto Month Current'!$I$29)</f>
        <v>0</v>
      </c>
      <c r="AM85" s="9">
        <f>IF('Upto Month Current'!$I$31="",0,'Upto Month Current'!$I$31)</f>
        <v>9799116</v>
      </c>
      <c r="AN85" s="9">
        <f>IF('Upto Month Current'!$I$32="",0,'Upto Month Current'!$I$32)</f>
        <v>0</v>
      </c>
      <c r="AO85" s="9">
        <f>IF('Upto Month Current'!$I$33="",0,'Upto Month Current'!$I$33)</f>
        <v>0</v>
      </c>
      <c r="AP85" s="9">
        <f>IF('Upto Month Current'!$I$34="",0,'Upto Month Current'!$I$34)</f>
        <v>0</v>
      </c>
      <c r="AQ85" s="10">
        <f>IF('Upto Month Current'!$I$36="",0,'Upto Month Current'!$I$36)</f>
        <v>0</v>
      </c>
      <c r="AR85" s="9">
        <f>IF('Upto Month Current'!$I$37="",0,'Upto Month Current'!$I$37)</f>
        <v>13453</v>
      </c>
      <c r="AS85" s="9">
        <v>0</v>
      </c>
      <c r="AT85" s="9">
        <f>IF('Upto Month Current'!$I$38="",0,'Upto Month Current'!$I$38)</f>
        <v>0</v>
      </c>
      <c r="AU85" s="9">
        <f>IF('Upto Month Current'!$I$41="",0,'Upto Month Current'!$I$41)</f>
        <v>8656</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404640</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7679</v>
      </c>
      <c r="BG85" s="9">
        <f>IF('Upto Month Current'!$I$58="",0,'Upto Month Current'!$I$58)</f>
        <v>807</v>
      </c>
      <c r="BH85" s="9">
        <f>SUM(AE85:BG85)</f>
        <v>10235892</v>
      </c>
      <c r="BI85" s="127">
        <f>AD85+BH85</f>
        <v>10246269</v>
      </c>
      <c r="BJ85" s="9">
        <f>IF('Upto Month Current'!$I$60="",0,'Upto Month Current'!$I$60)-'Upto Month Current'!I57</f>
        <v>250125</v>
      </c>
      <c r="BK85" s="51">
        <f>BI85-BJ85</f>
        <v>9996144</v>
      </c>
      <c r="BL85" s="101">
        <f>'Upto Month Current'!$I$61</f>
        <v>9996144</v>
      </c>
      <c r="BM85" s="30">
        <f>BK85-AD85</f>
        <v>9985767</v>
      </c>
    </row>
    <row r="86" spans="1:65" ht="15.75">
      <c r="A86" s="130"/>
      <c r="B86" s="5" t="s">
        <v>124</v>
      </c>
      <c r="C86" s="11">
        <f t="shared" ref="C86:AH86" si="61">C85-C83</f>
        <v>-10</v>
      </c>
      <c r="D86" s="11">
        <f t="shared" si="61"/>
        <v>-4</v>
      </c>
      <c r="E86" s="11">
        <f t="shared" si="61"/>
        <v>-1</v>
      </c>
      <c r="F86" s="11">
        <f t="shared" si="61"/>
        <v>0</v>
      </c>
      <c r="G86" s="11">
        <f t="shared" si="61"/>
        <v>0</v>
      </c>
      <c r="H86" s="11">
        <f t="shared" si="61"/>
        <v>0</v>
      </c>
      <c r="I86" s="11">
        <f t="shared" si="61"/>
        <v>0</v>
      </c>
      <c r="J86" s="11">
        <f t="shared" si="61"/>
        <v>0</v>
      </c>
      <c r="K86" s="11">
        <f t="shared" si="61"/>
        <v>0</v>
      </c>
      <c r="L86" s="11">
        <f t="shared" si="61"/>
        <v>-1</v>
      </c>
      <c r="M86" s="11">
        <f t="shared" si="61"/>
        <v>-1</v>
      </c>
      <c r="N86" s="11">
        <f t="shared" si="61"/>
        <v>0</v>
      </c>
      <c r="O86" s="11">
        <f t="shared" si="61"/>
        <v>0</v>
      </c>
      <c r="P86" s="11">
        <f t="shared" si="61"/>
        <v>-1</v>
      </c>
      <c r="Q86" s="11">
        <f t="shared" si="61"/>
        <v>0</v>
      </c>
      <c r="R86" s="11">
        <f t="shared" si="61"/>
        <v>0</v>
      </c>
      <c r="S86" s="11">
        <f t="shared" si="61"/>
        <v>0</v>
      </c>
      <c r="T86" s="11">
        <f t="shared" si="61"/>
        <v>0</v>
      </c>
      <c r="U86" s="11">
        <f t="shared" si="61"/>
        <v>0</v>
      </c>
      <c r="V86" s="9">
        <f t="shared" si="61"/>
        <v>0</v>
      </c>
      <c r="W86" s="11">
        <f t="shared" si="61"/>
        <v>0</v>
      </c>
      <c r="X86" s="11">
        <f t="shared" si="61"/>
        <v>0</v>
      </c>
      <c r="Y86" s="11">
        <f t="shared" si="61"/>
        <v>0</v>
      </c>
      <c r="Z86" s="11">
        <f t="shared" si="61"/>
        <v>0</v>
      </c>
      <c r="AA86" s="11">
        <f t="shared" si="61"/>
        <v>0</v>
      </c>
      <c r="AB86" s="11">
        <f t="shared" si="61"/>
        <v>0</v>
      </c>
      <c r="AC86" s="10">
        <f t="shared" si="61"/>
        <v>0</v>
      </c>
      <c r="AD86" s="11">
        <f t="shared" si="61"/>
        <v>-18</v>
      </c>
      <c r="AE86" s="11">
        <f t="shared" si="61"/>
        <v>0</v>
      </c>
      <c r="AF86" s="11">
        <f t="shared" si="61"/>
        <v>0</v>
      </c>
      <c r="AG86" s="11">
        <f t="shared" si="61"/>
        <v>0</v>
      </c>
      <c r="AH86" s="11">
        <f t="shared" si="61"/>
        <v>0</v>
      </c>
      <c r="AI86" s="11">
        <f t="shared" ref="AI86:BK86" si="62">AI85-AI83</f>
        <v>0</v>
      </c>
      <c r="AJ86" s="11">
        <f t="shared" si="62"/>
        <v>0</v>
      </c>
      <c r="AK86" s="11">
        <f t="shared" si="62"/>
        <v>-3</v>
      </c>
      <c r="AL86" s="11">
        <f t="shared" si="62"/>
        <v>0</v>
      </c>
      <c r="AM86" s="11">
        <f t="shared" si="62"/>
        <v>-17696</v>
      </c>
      <c r="AN86" s="11">
        <f t="shared" si="62"/>
        <v>0</v>
      </c>
      <c r="AO86" s="9">
        <f t="shared" si="62"/>
        <v>0</v>
      </c>
      <c r="AP86" s="11">
        <f t="shared" si="62"/>
        <v>0</v>
      </c>
      <c r="AQ86" s="10">
        <f t="shared" si="62"/>
        <v>0</v>
      </c>
      <c r="AR86" s="11">
        <f t="shared" si="62"/>
        <v>-23</v>
      </c>
      <c r="AS86" s="11">
        <f t="shared" si="62"/>
        <v>0</v>
      </c>
      <c r="AT86" s="11">
        <f t="shared" si="62"/>
        <v>0</v>
      </c>
      <c r="AU86" s="11">
        <f t="shared" si="62"/>
        <v>-15</v>
      </c>
      <c r="AV86" s="11">
        <f t="shared" si="62"/>
        <v>0</v>
      </c>
      <c r="AW86" s="11">
        <f t="shared" si="62"/>
        <v>0</v>
      </c>
      <c r="AX86" s="11">
        <f t="shared" si="62"/>
        <v>0</v>
      </c>
      <c r="AY86" s="11">
        <f t="shared" si="62"/>
        <v>0</v>
      </c>
      <c r="AZ86" s="11">
        <f t="shared" si="62"/>
        <v>0</v>
      </c>
      <c r="BA86" s="11">
        <f t="shared" si="62"/>
        <v>-730</v>
      </c>
      <c r="BB86" s="10">
        <f t="shared" si="62"/>
        <v>0</v>
      </c>
      <c r="BC86" s="11">
        <f t="shared" si="62"/>
        <v>0</v>
      </c>
      <c r="BD86" s="11">
        <f t="shared" si="62"/>
        <v>0</v>
      </c>
      <c r="BE86" s="11">
        <f t="shared" si="62"/>
        <v>0</v>
      </c>
      <c r="BF86" s="11">
        <f t="shared" si="62"/>
        <v>-14</v>
      </c>
      <c r="BG86" s="11">
        <f t="shared" si="62"/>
        <v>-1</v>
      </c>
      <c r="BH86" s="9">
        <f t="shared" si="62"/>
        <v>-18482</v>
      </c>
      <c r="BI86" s="45">
        <f t="shared" si="62"/>
        <v>-18500</v>
      </c>
      <c r="BJ86" s="11">
        <f t="shared" si="62"/>
        <v>-1</v>
      </c>
      <c r="BK86" s="51">
        <f t="shared" si="62"/>
        <v>-18499</v>
      </c>
      <c r="BM86" s="30">
        <f>BK86-AD86</f>
        <v>-18481</v>
      </c>
    </row>
    <row r="87" spans="1:65" ht="15.75">
      <c r="A87" s="130"/>
      <c r="B87" s="5" t="s">
        <v>125</v>
      </c>
      <c r="C87" s="13">
        <f t="shared" ref="C87:AH87" si="63">C86/C83</f>
        <v>-1.7102787754403968E-3</v>
      </c>
      <c r="D87" s="13">
        <f t="shared" si="63"/>
        <v>-1.4864362690449647E-3</v>
      </c>
      <c r="E87" s="13">
        <f t="shared" si="63"/>
        <v>-3.2894736842105261E-3</v>
      </c>
      <c r="F87" s="13">
        <f t="shared" si="63"/>
        <v>0</v>
      </c>
      <c r="G87" s="13">
        <f t="shared" si="63"/>
        <v>0</v>
      </c>
      <c r="H87" s="13" t="e">
        <f t="shared" si="63"/>
        <v>#DIV/0!</v>
      </c>
      <c r="I87" s="13" t="e">
        <f t="shared" si="63"/>
        <v>#DIV/0!</v>
      </c>
      <c r="J87" s="13" t="e">
        <f t="shared" si="63"/>
        <v>#DIV/0!</v>
      </c>
      <c r="K87" s="13">
        <f t="shared" si="63"/>
        <v>0</v>
      </c>
      <c r="L87" s="13">
        <f t="shared" si="63"/>
        <v>-4.6948356807511738E-3</v>
      </c>
      <c r="M87" s="13">
        <f t="shared" si="63"/>
        <v>-4.8543689320388345E-3</v>
      </c>
      <c r="N87" s="13" t="e">
        <f t="shared" si="63"/>
        <v>#DIV/0!</v>
      </c>
      <c r="O87" s="13" t="e">
        <f t="shared" si="63"/>
        <v>#DIV/0!</v>
      </c>
      <c r="P87" s="13">
        <f t="shared" si="63"/>
        <v>-5.9171597633136093E-3</v>
      </c>
      <c r="Q87" s="13" t="e">
        <f t="shared" si="63"/>
        <v>#DIV/0!</v>
      </c>
      <c r="R87" s="13">
        <f t="shared" si="63"/>
        <v>0</v>
      </c>
      <c r="S87" s="13" t="e">
        <f t="shared" si="63"/>
        <v>#DIV/0!</v>
      </c>
      <c r="T87" s="13" t="e">
        <f t="shared" si="63"/>
        <v>#DIV/0!</v>
      </c>
      <c r="U87" s="13" t="e">
        <f t="shared" si="63"/>
        <v>#DIV/0!</v>
      </c>
      <c r="V87" s="163" t="e">
        <f t="shared" si="63"/>
        <v>#DIV/0!</v>
      </c>
      <c r="W87" s="13" t="e">
        <f t="shared" si="63"/>
        <v>#DIV/0!</v>
      </c>
      <c r="X87" s="13" t="e">
        <f t="shared" si="63"/>
        <v>#DIV/0!</v>
      </c>
      <c r="Y87" s="13">
        <f t="shared" si="63"/>
        <v>0</v>
      </c>
      <c r="Z87" s="13">
        <f t="shared" si="63"/>
        <v>0</v>
      </c>
      <c r="AA87" s="13">
        <f t="shared" si="63"/>
        <v>0</v>
      </c>
      <c r="AB87" s="13" t="e">
        <f t="shared" si="63"/>
        <v>#DIV/0!</v>
      </c>
      <c r="AC87" s="14" t="e">
        <f t="shared" si="63"/>
        <v>#DIV/0!</v>
      </c>
      <c r="AD87" s="13">
        <f t="shared" si="63"/>
        <v>-1.7316017316017316E-3</v>
      </c>
      <c r="AE87" s="13" t="e">
        <f t="shared" si="63"/>
        <v>#DIV/0!</v>
      </c>
      <c r="AF87" s="13" t="e">
        <f t="shared" si="63"/>
        <v>#DIV/0!</v>
      </c>
      <c r="AG87" s="13" t="e">
        <f t="shared" si="63"/>
        <v>#DIV/0!</v>
      </c>
      <c r="AH87" s="13" t="e">
        <f t="shared" si="63"/>
        <v>#DIV/0!</v>
      </c>
      <c r="AI87" s="13" t="e">
        <f t="shared" ref="AI87:BK87" si="64">AI86/AI83</f>
        <v>#DIV/0!</v>
      </c>
      <c r="AJ87" s="13" t="e">
        <f t="shared" si="64"/>
        <v>#DIV/0!</v>
      </c>
      <c r="AK87" s="13">
        <f t="shared" si="64"/>
        <v>-1.9430051813471502E-3</v>
      </c>
      <c r="AL87" s="13" t="e">
        <f t="shared" si="64"/>
        <v>#DIV/0!</v>
      </c>
      <c r="AM87" s="13">
        <f t="shared" si="64"/>
        <v>-1.8026218695030526E-3</v>
      </c>
      <c r="AN87" s="13" t="e">
        <f t="shared" si="64"/>
        <v>#DIV/0!</v>
      </c>
      <c r="AO87" s="163" t="e">
        <f t="shared" si="64"/>
        <v>#DIV/0!</v>
      </c>
      <c r="AP87" s="13" t="e">
        <f t="shared" si="64"/>
        <v>#DIV/0!</v>
      </c>
      <c r="AQ87" s="14" t="e">
        <f t="shared" si="64"/>
        <v>#DIV/0!</v>
      </c>
      <c r="AR87" s="13">
        <f t="shared" si="64"/>
        <v>-1.7067379044226774E-3</v>
      </c>
      <c r="AS87" s="13" t="e">
        <f t="shared" si="64"/>
        <v>#DIV/0!</v>
      </c>
      <c r="AT87" s="13" t="e">
        <f t="shared" si="64"/>
        <v>#DIV/0!</v>
      </c>
      <c r="AU87" s="13">
        <f t="shared" si="64"/>
        <v>-1.7299042786299158E-3</v>
      </c>
      <c r="AV87" s="13" t="e">
        <f t="shared" si="64"/>
        <v>#DIV/0!</v>
      </c>
      <c r="AW87" s="13" t="e">
        <f t="shared" si="64"/>
        <v>#DIV/0!</v>
      </c>
      <c r="AX87" s="13" t="e">
        <f t="shared" si="64"/>
        <v>#DIV/0!</v>
      </c>
      <c r="AY87" s="13" t="e">
        <f t="shared" si="64"/>
        <v>#DIV/0!</v>
      </c>
      <c r="AZ87" s="13" t="e">
        <f t="shared" si="64"/>
        <v>#DIV/0!</v>
      </c>
      <c r="BA87" s="13">
        <f t="shared" si="64"/>
        <v>-1.8008239386239733E-3</v>
      </c>
      <c r="BB87" s="14" t="e">
        <f t="shared" si="64"/>
        <v>#DIV/0!</v>
      </c>
      <c r="BC87" s="13" t="e">
        <f t="shared" si="64"/>
        <v>#DIV/0!</v>
      </c>
      <c r="BD87" s="13" t="e">
        <f t="shared" si="64"/>
        <v>#DIV/0!</v>
      </c>
      <c r="BE87" s="13" t="e">
        <f t="shared" si="64"/>
        <v>#DIV/0!</v>
      </c>
      <c r="BF87" s="13">
        <f t="shared" si="64"/>
        <v>-1.8198362147406734E-3</v>
      </c>
      <c r="BG87" s="13">
        <f t="shared" si="64"/>
        <v>-1.2376237623762376E-3</v>
      </c>
      <c r="BH87" s="163">
        <f t="shared" si="64"/>
        <v>-1.8023528301191276E-3</v>
      </c>
      <c r="BI87" s="46">
        <f t="shared" si="64"/>
        <v>-1.8022811813884949E-3</v>
      </c>
      <c r="BJ87" s="13">
        <f t="shared" si="64"/>
        <v>-3.9979850155521613E-6</v>
      </c>
      <c r="BK87" s="52">
        <f t="shared" si="64"/>
        <v>-1.8471951521387233E-3</v>
      </c>
      <c r="BM87" s="163">
        <f>BM86/BM83</f>
        <v>-1.8473152604773493E-3</v>
      </c>
    </row>
    <row r="88" spans="1:65" ht="15.75">
      <c r="A88" s="130"/>
      <c r="B88" s="5" t="s">
        <v>126</v>
      </c>
      <c r="C88" s="11">
        <f>C85-C84</f>
        <v>61</v>
      </c>
      <c r="D88" s="11">
        <f t="shared" ref="D88:BK88" si="65">D85-D84</f>
        <v>506</v>
      </c>
      <c r="E88" s="11">
        <f t="shared" si="65"/>
        <v>-7</v>
      </c>
      <c r="F88" s="11">
        <f t="shared" si="65"/>
        <v>58</v>
      </c>
      <c r="G88" s="11">
        <f t="shared" si="65"/>
        <v>13</v>
      </c>
      <c r="H88" s="11">
        <f t="shared" si="65"/>
        <v>0</v>
      </c>
      <c r="I88" s="11">
        <f t="shared" si="65"/>
        <v>0</v>
      </c>
      <c r="J88" s="11">
        <f t="shared" si="65"/>
        <v>0</v>
      </c>
      <c r="K88" s="11">
        <f t="shared" si="65"/>
        <v>-2</v>
      </c>
      <c r="L88" s="11">
        <f t="shared" si="65"/>
        <v>61</v>
      </c>
      <c r="M88" s="11">
        <f t="shared" si="65"/>
        <v>41</v>
      </c>
      <c r="N88" s="11">
        <f t="shared" si="65"/>
        <v>0</v>
      </c>
      <c r="O88" s="11">
        <f t="shared" si="65"/>
        <v>0</v>
      </c>
      <c r="P88" s="11">
        <f t="shared" si="65"/>
        <v>45</v>
      </c>
      <c r="Q88" s="11">
        <f t="shared" si="65"/>
        <v>0</v>
      </c>
      <c r="R88" s="11">
        <f t="shared" si="65"/>
        <v>65</v>
      </c>
      <c r="S88" s="11">
        <f t="shared" si="65"/>
        <v>0</v>
      </c>
      <c r="T88" s="11">
        <f t="shared" si="65"/>
        <v>0</v>
      </c>
      <c r="U88" s="11">
        <f>U85-U84</f>
        <v>0</v>
      </c>
      <c r="V88" s="9">
        <f t="shared" si="65"/>
        <v>0</v>
      </c>
      <c r="W88" s="11">
        <f t="shared" si="65"/>
        <v>0</v>
      </c>
      <c r="X88" s="11">
        <f t="shared" si="65"/>
        <v>0</v>
      </c>
      <c r="Y88" s="11">
        <f t="shared" si="65"/>
        <v>83</v>
      </c>
      <c r="Z88" s="11">
        <f t="shared" si="65"/>
        <v>24</v>
      </c>
      <c r="AA88" s="11">
        <f t="shared" si="65"/>
        <v>-8</v>
      </c>
      <c r="AB88" s="11">
        <f>AB85-AB84</f>
        <v>0</v>
      </c>
      <c r="AC88" s="10">
        <f>AC85-AC84</f>
        <v>0</v>
      </c>
      <c r="AD88" s="11">
        <f>AD85-AD84</f>
        <v>940</v>
      </c>
      <c r="AE88" s="11">
        <f t="shared" si="65"/>
        <v>0</v>
      </c>
      <c r="AF88" s="11">
        <f t="shared" si="65"/>
        <v>0</v>
      </c>
      <c r="AG88" s="11">
        <f t="shared" si="65"/>
        <v>0</v>
      </c>
      <c r="AH88" s="11">
        <f t="shared" si="65"/>
        <v>0</v>
      </c>
      <c r="AI88" s="11">
        <f t="shared" si="65"/>
        <v>0</v>
      </c>
      <c r="AJ88" s="11">
        <f t="shared" si="65"/>
        <v>0</v>
      </c>
      <c r="AK88" s="11">
        <f t="shared" si="65"/>
        <v>-1822</v>
      </c>
      <c r="AL88" s="11">
        <f t="shared" si="65"/>
        <v>0</v>
      </c>
      <c r="AM88" s="11">
        <f t="shared" si="65"/>
        <v>749967</v>
      </c>
      <c r="AN88" s="11">
        <f t="shared" si="65"/>
        <v>0</v>
      </c>
      <c r="AO88" s="9">
        <f t="shared" si="65"/>
        <v>0</v>
      </c>
      <c r="AP88" s="11">
        <f t="shared" si="65"/>
        <v>0</v>
      </c>
      <c r="AQ88" s="10">
        <f t="shared" si="65"/>
        <v>0</v>
      </c>
      <c r="AR88" s="11">
        <f t="shared" si="65"/>
        <v>24854</v>
      </c>
      <c r="AS88" s="11">
        <f t="shared" si="65"/>
        <v>0</v>
      </c>
      <c r="AT88" s="11">
        <f t="shared" si="65"/>
        <v>0</v>
      </c>
      <c r="AU88" s="11">
        <f t="shared" si="65"/>
        <v>39131</v>
      </c>
      <c r="AV88" s="11">
        <f t="shared" si="65"/>
        <v>0</v>
      </c>
      <c r="AW88" s="11">
        <f t="shared" si="65"/>
        <v>0</v>
      </c>
      <c r="AX88" s="11">
        <f t="shared" si="65"/>
        <v>0</v>
      </c>
      <c r="AY88" s="11">
        <f t="shared" si="65"/>
        <v>0</v>
      </c>
      <c r="AZ88" s="11">
        <f t="shared" si="65"/>
        <v>0</v>
      </c>
      <c r="BA88" s="11">
        <f t="shared" si="65"/>
        <v>-454062</v>
      </c>
      <c r="BB88" s="10">
        <f t="shared" si="65"/>
        <v>0</v>
      </c>
      <c r="BC88" s="11">
        <f t="shared" si="65"/>
        <v>0</v>
      </c>
      <c r="BD88" s="11">
        <f t="shared" si="65"/>
        <v>0</v>
      </c>
      <c r="BE88" s="11">
        <f t="shared" si="65"/>
        <v>0</v>
      </c>
      <c r="BF88" s="11">
        <f t="shared" si="65"/>
        <v>-4288</v>
      </c>
      <c r="BG88" s="11">
        <f t="shared" si="65"/>
        <v>4229</v>
      </c>
      <c r="BH88" s="9">
        <f t="shared" si="65"/>
        <v>358009</v>
      </c>
      <c r="BI88" s="45">
        <f t="shared" si="65"/>
        <v>358949</v>
      </c>
      <c r="BJ88" s="11">
        <f t="shared" si="65"/>
        <v>-224024</v>
      </c>
      <c r="BK88" s="51">
        <f t="shared" si="65"/>
        <v>582973</v>
      </c>
      <c r="BM88" s="30">
        <f>BK88-AD88</f>
        <v>582033</v>
      </c>
    </row>
    <row r="89" spans="1:65" ht="15.75">
      <c r="A89" s="130"/>
      <c r="B89" s="5" t="s">
        <v>127</v>
      </c>
      <c r="C89" s="13">
        <f t="shared" ref="C89:AH89" si="66">C88/C84</f>
        <v>1.0560941828254847E-2</v>
      </c>
      <c r="D89" s="13">
        <f t="shared" si="66"/>
        <v>0.23200366804218248</v>
      </c>
      <c r="E89" s="13">
        <f t="shared" si="66"/>
        <v>-2.2580645161290321E-2</v>
      </c>
      <c r="F89" s="13">
        <f t="shared" si="66"/>
        <v>0.21167883211678831</v>
      </c>
      <c r="G89" s="13">
        <f t="shared" si="66"/>
        <v>3.0516431924882629E-2</v>
      </c>
      <c r="H89" s="13" t="e">
        <f t="shared" si="66"/>
        <v>#DIV/0!</v>
      </c>
      <c r="I89" s="13" t="e">
        <f t="shared" si="66"/>
        <v>#DIV/0!</v>
      </c>
      <c r="J89" s="13" t="e">
        <f t="shared" si="66"/>
        <v>#DIV/0!</v>
      </c>
      <c r="K89" s="13">
        <f t="shared" si="66"/>
        <v>-0.18181818181818182</v>
      </c>
      <c r="L89" s="13">
        <f t="shared" si="66"/>
        <v>0.40397350993377484</v>
      </c>
      <c r="M89" s="13">
        <f t="shared" si="66"/>
        <v>0.25</v>
      </c>
      <c r="N89" s="13" t="e">
        <f t="shared" si="66"/>
        <v>#DIV/0!</v>
      </c>
      <c r="O89" s="13" t="e">
        <f t="shared" si="66"/>
        <v>#DIV/0!</v>
      </c>
      <c r="P89" s="13">
        <f t="shared" si="66"/>
        <v>0.36585365853658536</v>
      </c>
      <c r="Q89" s="13" t="e">
        <f t="shared" si="66"/>
        <v>#DIV/0!</v>
      </c>
      <c r="R89" s="13" t="e">
        <f t="shared" si="66"/>
        <v>#DIV/0!</v>
      </c>
      <c r="S89" s="13" t="e">
        <f t="shared" si="66"/>
        <v>#DIV/0!</v>
      </c>
      <c r="T89" s="13" t="e">
        <f t="shared" si="66"/>
        <v>#DIV/0!</v>
      </c>
      <c r="U89" s="13" t="e">
        <f t="shared" si="66"/>
        <v>#DIV/0!</v>
      </c>
      <c r="V89" s="163" t="e">
        <f t="shared" si="66"/>
        <v>#DIV/0!</v>
      </c>
      <c r="W89" s="13" t="e">
        <f t="shared" si="66"/>
        <v>#DIV/0!</v>
      </c>
      <c r="X89" s="13" t="e">
        <f t="shared" si="66"/>
        <v>#DIV/0!</v>
      </c>
      <c r="Y89" s="13">
        <f t="shared" si="66"/>
        <v>13.833333333333334</v>
      </c>
      <c r="Z89" s="13">
        <f t="shared" si="66"/>
        <v>24</v>
      </c>
      <c r="AA89" s="13">
        <f t="shared" si="66"/>
        <v>-0.5714285714285714</v>
      </c>
      <c r="AB89" s="13" t="e">
        <f t="shared" si="66"/>
        <v>#DIV/0!</v>
      </c>
      <c r="AC89" s="14" t="e">
        <f t="shared" si="66"/>
        <v>#DIV/0!</v>
      </c>
      <c r="AD89" s="13">
        <f t="shared" si="66"/>
        <v>9.9607926247748224E-2</v>
      </c>
      <c r="AE89" s="13" t="e">
        <f t="shared" si="66"/>
        <v>#DIV/0!</v>
      </c>
      <c r="AF89" s="13" t="e">
        <f t="shared" si="66"/>
        <v>#DIV/0!</v>
      </c>
      <c r="AG89" s="13" t="e">
        <f t="shared" si="66"/>
        <v>#DIV/0!</v>
      </c>
      <c r="AH89" s="13" t="e">
        <f t="shared" si="66"/>
        <v>#DIV/0!</v>
      </c>
      <c r="AI89" s="13" t="e">
        <f t="shared" ref="AI89:BK89" si="67">AI88/AI84</f>
        <v>#DIV/0!</v>
      </c>
      <c r="AJ89" s="13" t="e">
        <f t="shared" si="67"/>
        <v>#DIV/0!</v>
      </c>
      <c r="AK89" s="13">
        <f t="shared" si="67"/>
        <v>-0.54177817424918229</v>
      </c>
      <c r="AL89" s="13" t="e">
        <f t="shared" si="67"/>
        <v>#DIV/0!</v>
      </c>
      <c r="AM89" s="13">
        <f t="shared" si="67"/>
        <v>8.2877074960308425E-2</v>
      </c>
      <c r="AN89" s="13" t="e">
        <f t="shared" si="67"/>
        <v>#DIV/0!</v>
      </c>
      <c r="AO89" s="163" t="e">
        <f t="shared" si="67"/>
        <v>#DIV/0!</v>
      </c>
      <c r="AP89" s="13" t="e">
        <f t="shared" si="67"/>
        <v>#DIV/0!</v>
      </c>
      <c r="AQ89" s="14" t="e">
        <f t="shared" si="67"/>
        <v>#DIV/0!</v>
      </c>
      <c r="AR89" s="13">
        <f t="shared" si="67"/>
        <v>-2.1799842119112358</v>
      </c>
      <c r="AS89" s="13" t="e">
        <f t="shared" si="67"/>
        <v>#DIV/0!</v>
      </c>
      <c r="AT89" s="13" t="e">
        <f t="shared" si="67"/>
        <v>#DIV/0!</v>
      </c>
      <c r="AU89" s="13">
        <f t="shared" si="67"/>
        <v>-1.2840360951599672</v>
      </c>
      <c r="AV89" s="13" t="e">
        <f t="shared" si="67"/>
        <v>#DIV/0!</v>
      </c>
      <c r="AW89" s="13" t="e">
        <f t="shared" si="67"/>
        <v>#DIV/0!</v>
      </c>
      <c r="AX89" s="13" t="e">
        <f t="shared" si="67"/>
        <v>#DIV/0!</v>
      </c>
      <c r="AY89" s="13" t="e">
        <f t="shared" si="67"/>
        <v>#DIV/0!</v>
      </c>
      <c r="AZ89" s="13" t="e">
        <f t="shared" si="67"/>
        <v>#DIV/0!</v>
      </c>
      <c r="BA89" s="13">
        <f t="shared" si="67"/>
        <v>-0.52877715435622608</v>
      </c>
      <c r="BB89" s="14" t="e">
        <f t="shared" si="67"/>
        <v>#DIV/0!</v>
      </c>
      <c r="BC89" s="13" t="e">
        <f t="shared" si="67"/>
        <v>#DIV/0!</v>
      </c>
      <c r="BD89" s="13" t="e">
        <f t="shared" si="67"/>
        <v>#DIV/0!</v>
      </c>
      <c r="BE89" s="13" t="e">
        <f t="shared" si="67"/>
        <v>#DIV/0!</v>
      </c>
      <c r="BF89" s="13">
        <f t="shared" si="67"/>
        <v>-0.35831870978524277</v>
      </c>
      <c r="BG89" s="13">
        <f t="shared" si="67"/>
        <v>-1.2358270017533606</v>
      </c>
      <c r="BH89" s="163">
        <f t="shared" si="67"/>
        <v>3.6243494684033005E-2</v>
      </c>
      <c r="BI89" s="46">
        <f t="shared" si="67"/>
        <v>3.6303973169675909E-2</v>
      </c>
      <c r="BJ89" s="13">
        <f t="shared" si="67"/>
        <v>-0.4724759516523287</v>
      </c>
      <c r="BK89" s="52">
        <f t="shared" si="67"/>
        <v>6.1931627503632944E-2</v>
      </c>
      <c r="BM89" s="14">
        <f>BM88/BM84</f>
        <v>6.1893817923816222E-2</v>
      </c>
    </row>
    <row r="90" spans="1:65" ht="15.75">
      <c r="A90" s="130"/>
      <c r="B90" s="5" t="s">
        <v>328</v>
      </c>
      <c r="C90" s="128">
        <f>C85/C82</f>
        <v>0.99828972122455961</v>
      </c>
      <c r="D90" s="128">
        <f t="shared" ref="D90:BK90" si="68">D85/D82</f>
        <v>0.99851356373095501</v>
      </c>
      <c r="E90" s="128">
        <f t="shared" si="68"/>
        <v>0.99671052631578949</v>
      </c>
      <c r="F90" s="128">
        <f t="shared" si="68"/>
        <v>1</v>
      </c>
      <c r="G90" s="128">
        <f t="shared" si="68"/>
        <v>1</v>
      </c>
      <c r="H90" s="128" t="e">
        <f t="shared" si="68"/>
        <v>#DIV/0!</v>
      </c>
      <c r="I90" s="128" t="e">
        <f t="shared" si="68"/>
        <v>#DIV/0!</v>
      </c>
      <c r="J90" s="128" t="e">
        <f t="shared" si="68"/>
        <v>#DIV/0!</v>
      </c>
      <c r="K90" s="128">
        <f t="shared" si="68"/>
        <v>1</v>
      </c>
      <c r="L90" s="128">
        <f t="shared" si="68"/>
        <v>0.99530516431924887</v>
      </c>
      <c r="M90" s="128">
        <f t="shared" si="68"/>
        <v>0.99514563106796117</v>
      </c>
      <c r="N90" s="128" t="e">
        <f t="shared" si="68"/>
        <v>#DIV/0!</v>
      </c>
      <c r="O90" s="128" t="e">
        <f t="shared" si="68"/>
        <v>#DIV/0!</v>
      </c>
      <c r="P90" s="128">
        <f t="shared" si="68"/>
        <v>0.99408284023668636</v>
      </c>
      <c r="Q90" s="128" t="e">
        <f t="shared" si="68"/>
        <v>#DIV/0!</v>
      </c>
      <c r="R90" s="128">
        <f t="shared" si="68"/>
        <v>1</v>
      </c>
      <c r="S90" s="128" t="e">
        <f t="shared" si="68"/>
        <v>#DIV/0!</v>
      </c>
      <c r="T90" s="128" t="e">
        <f t="shared" si="68"/>
        <v>#DIV/0!</v>
      </c>
      <c r="U90" s="128" t="e">
        <f t="shared" si="68"/>
        <v>#DIV/0!</v>
      </c>
      <c r="V90" s="178" t="e">
        <f t="shared" si="68"/>
        <v>#DIV/0!</v>
      </c>
      <c r="W90" s="128" t="e">
        <f t="shared" si="68"/>
        <v>#DIV/0!</v>
      </c>
      <c r="X90" s="128" t="e">
        <f t="shared" si="68"/>
        <v>#DIV/0!</v>
      </c>
      <c r="Y90" s="128">
        <f t="shared" si="68"/>
        <v>1</v>
      </c>
      <c r="Z90" s="128">
        <f t="shared" si="68"/>
        <v>1</v>
      </c>
      <c r="AA90" s="128">
        <f t="shared" si="68"/>
        <v>1</v>
      </c>
      <c r="AB90" s="128" t="e">
        <f>AB85/AB82</f>
        <v>#DIV/0!</v>
      </c>
      <c r="AC90" s="217" t="e">
        <f t="shared" si="68"/>
        <v>#DIV/0!</v>
      </c>
      <c r="AD90" s="128">
        <f t="shared" si="68"/>
        <v>0.9982683982683983</v>
      </c>
      <c r="AE90" s="128" t="e">
        <f t="shared" si="68"/>
        <v>#DIV/0!</v>
      </c>
      <c r="AF90" s="128" t="e">
        <f t="shared" si="68"/>
        <v>#DIV/0!</v>
      </c>
      <c r="AG90" s="128" t="e">
        <f t="shared" si="68"/>
        <v>#DIV/0!</v>
      </c>
      <c r="AH90" s="128" t="e">
        <f t="shared" si="68"/>
        <v>#DIV/0!</v>
      </c>
      <c r="AI90" s="128" t="e">
        <f t="shared" si="68"/>
        <v>#DIV/0!</v>
      </c>
      <c r="AJ90" s="128" t="e">
        <f t="shared" si="68"/>
        <v>#DIV/0!</v>
      </c>
      <c r="AK90" s="128">
        <f t="shared" si="68"/>
        <v>0.99805699481865284</v>
      </c>
      <c r="AL90" s="128" t="e">
        <f t="shared" si="68"/>
        <v>#DIV/0!</v>
      </c>
      <c r="AM90" s="128">
        <f t="shared" si="68"/>
        <v>0.99819737813049692</v>
      </c>
      <c r="AN90" s="128" t="e">
        <f t="shared" si="68"/>
        <v>#DIV/0!</v>
      </c>
      <c r="AO90" s="178" t="e">
        <f t="shared" si="68"/>
        <v>#DIV/0!</v>
      </c>
      <c r="AP90" s="128" t="e">
        <f t="shared" si="68"/>
        <v>#DIV/0!</v>
      </c>
      <c r="AQ90" s="217" t="e">
        <f t="shared" si="68"/>
        <v>#DIV/0!</v>
      </c>
      <c r="AR90" s="128">
        <f t="shared" si="68"/>
        <v>0.99829326209557734</v>
      </c>
      <c r="AS90" s="128" t="e">
        <f t="shared" si="68"/>
        <v>#DIV/0!</v>
      </c>
      <c r="AT90" s="128" t="e">
        <f t="shared" si="68"/>
        <v>#DIV/0!</v>
      </c>
      <c r="AU90" s="128">
        <f t="shared" si="68"/>
        <v>0.99827009572137004</v>
      </c>
      <c r="AV90" s="128" t="e">
        <f t="shared" si="68"/>
        <v>#DIV/0!</v>
      </c>
      <c r="AW90" s="128" t="e">
        <f t="shared" si="68"/>
        <v>#DIV/0!</v>
      </c>
      <c r="AX90" s="128" t="e">
        <f t="shared" si="68"/>
        <v>#DIV/0!</v>
      </c>
      <c r="AY90" s="128" t="e">
        <f t="shared" si="68"/>
        <v>#DIV/0!</v>
      </c>
      <c r="AZ90" s="128" t="e">
        <f t="shared" si="68"/>
        <v>#DIV/0!</v>
      </c>
      <c r="BA90" s="128">
        <f t="shared" si="68"/>
        <v>0.99819917606137598</v>
      </c>
      <c r="BB90" s="217" t="e">
        <f t="shared" si="68"/>
        <v>#DIV/0!</v>
      </c>
      <c r="BC90" s="128" t="e">
        <f t="shared" si="68"/>
        <v>#DIV/0!</v>
      </c>
      <c r="BD90" s="128" t="e">
        <f t="shared" si="68"/>
        <v>#DIV/0!</v>
      </c>
      <c r="BE90" s="128" t="e">
        <f t="shared" si="68"/>
        <v>#DIV/0!</v>
      </c>
      <c r="BF90" s="128">
        <f t="shared" si="68"/>
        <v>0.99818016378525931</v>
      </c>
      <c r="BG90" s="128">
        <f t="shared" si="68"/>
        <v>0.99876237623762376</v>
      </c>
      <c r="BH90" s="178">
        <f t="shared" si="68"/>
        <v>0.99819764716988091</v>
      </c>
      <c r="BI90" s="128">
        <f t="shared" si="68"/>
        <v>0.99819771881861152</v>
      </c>
      <c r="BJ90" s="128">
        <f t="shared" si="68"/>
        <v>0.9999960020149844</v>
      </c>
      <c r="BK90" s="128">
        <f t="shared" si="68"/>
        <v>0.99815280484786129</v>
      </c>
      <c r="BM90" s="128">
        <f>BM85/BM82</f>
        <v>0.99815268473952268</v>
      </c>
    </row>
    <row r="91" spans="1:65" s="181" customFormat="1" ht="15.75">
      <c r="A91" s="130"/>
      <c r="B91" s="5" t="s">
        <v>327</v>
      </c>
      <c r="C91" s="11">
        <f>C82-C85</f>
        <v>10</v>
      </c>
      <c r="D91" s="11">
        <f t="shared" ref="D91:BK91" si="69">D82-D85</f>
        <v>4</v>
      </c>
      <c r="E91" s="11">
        <f t="shared" si="69"/>
        <v>1</v>
      </c>
      <c r="F91" s="11">
        <f t="shared" si="69"/>
        <v>0</v>
      </c>
      <c r="G91" s="11">
        <f t="shared" si="69"/>
        <v>0</v>
      </c>
      <c r="H91" s="11">
        <f t="shared" si="69"/>
        <v>0</v>
      </c>
      <c r="I91" s="11">
        <f t="shared" si="69"/>
        <v>0</v>
      </c>
      <c r="J91" s="11">
        <f t="shared" si="69"/>
        <v>0</v>
      </c>
      <c r="K91" s="11">
        <f t="shared" si="69"/>
        <v>0</v>
      </c>
      <c r="L91" s="11">
        <f t="shared" si="69"/>
        <v>1</v>
      </c>
      <c r="M91" s="11">
        <f t="shared" si="69"/>
        <v>1</v>
      </c>
      <c r="N91" s="11">
        <f t="shared" si="69"/>
        <v>0</v>
      </c>
      <c r="O91" s="11">
        <f t="shared" si="69"/>
        <v>0</v>
      </c>
      <c r="P91" s="11">
        <f t="shared" si="69"/>
        <v>1</v>
      </c>
      <c r="Q91" s="11">
        <f t="shared" si="69"/>
        <v>0</v>
      </c>
      <c r="R91" s="11">
        <f t="shared" si="69"/>
        <v>0</v>
      </c>
      <c r="S91" s="11">
        <f t="shared" si="69"/>
        <v>0</v>
      </c>
      <c r="T91" s="11">
        <f t="shared" si="69"/>
        <v>0</v>
      </c>
      <c r="U91" s="11">
        <f t="shared" si="69"/>
        <v>0</v>
      </c>
      <c r="V91" s="11">
        <f t="shared" si="69"/>
        <v>0</v>
      </c>
      <c r="W91" s="11">
        <f t="shared" si="69"/>
        <v>0</v>
      </c>
      <c r="X91" s="11">
        <f t="shared" si="69"/>
        <v>0</v>
      </c>
      <c r="Y91" s="11">
        <f t="shared" si="69"/>
        <v>0</v>
      </c>
      <c r="Z91" s="11">
        <f t="shared" si="69"/>
        <v>0</v>
      </c>
      <c r="AA91" s="11">
        <f t="shared" si="69"/>
        <v>0</v>
      </c>
      <c r="AB91" s="11">
        <f t="shared" si="69"/>
        <v>0</v>
      </c>
      <c r="AC91" s="11">
        <f t="shared" si="69"/>
        <v>0</v>
      </c>
      <c r="AD91" s="11">
        <f t="shared" si="69"/>
        <v>18</v>
      </c>
      <c r="AE91" s="11">
        <f t="shared" si="69"/>
        <v>0</v>
      </c>
      <c r="AF91" s="11">
        <f t="shared" si="69"/>
        <v>0</v>
      </c>
      <c r="AG91" s="11">
        <f t="shared" si="69"/>
        <v>0</v>
      </c>
      <c r="AH91" s="11">
        <f t="shared" si="69"/>
        <v>0</v>
      </c>
      <c r="AI91" s="11">
        <f t="shared" si="69"/>
        <v>0</v>
      </c>
      <c r="AJ91" s="11">
        <f t="shared" si="69"/>
        <v>0</v>
      </c>
      <c r="AK91" s="11">
        <f t="shared" si="69"/>
        <v>3</v>
      </c>
      <c r="AL91" s="11">
        <f t="shared" si="69"/>
        <v>0</v>
      </c>
      <c r="AM91" s="11">
        <f t="shared" si="69"/>
        <v>17696</v>
      </c>
      <c r="AN91" s="11">
        <f t="shared" si="69"/>
        <v>0</v>
      </c>
      <c r="AO91" s="11">
        <f t="shared" si="69"/>
        <v>0</v>
      </c>
      <c r="AP91" s="11">
        <f t="shared" si="69"/>
        <v>0</v>
      </c>
      <c r="AQ91" s="11">
        <f t="shared" si="69"/>
        <v>0</v>
      </c>
      <c r="AR91" s="11">
        <f t="shared" si="69"/>
        <v>23</v>
      </c>
      <c r="AS91" s="11">
        <f t="shared" si="69"/>
        <v>0</v>
      </c>
      <c r="AT91" s="11">
        <f t="shared" si="69"/>
        <v>0</v>
      </c>
      <c r="AU91" s="11">
        <f t="shared" si="69"/>
        <v>15</v>
      </c>
      <c r="AV91" s="11">
        <f t="shared" si="69"/>
        <v>0</v>
      </c>
      <c r="AW91" s="11">
        <f t="shared" si="69"/>
        <v>0</v>
      </c>
      <c r="AX91" s="11">
        <f t="shared" si="69"/>
        <v>0</v>
      </c>
      <c r="AY91" s="11">
        <f t="shared" si="69"/>
        <v>0</v>
      </c>
      <c r="AZ91" s="11">
        <f t="shared" si="69"/>
        <v>0</v>
      </c>
      <c r="BA91" s="11">
        <f t="shared" si="69"/>
        <v>730</v>
      </c>
      <c r="BB91" s="11">
        <f t="shared" si="69"/>
        <v>0</v>
      </c>
      <c r="BC91" s="11">
        <f t="shared" si="69"/>
        <v>0</v>
      </c>
      <c r="BD91" s="11">
        <f t="shared" si="69"/>
        <v>0</v>
      </c>
      <c r="BE91" s="11">
        <f t="shared" si="69"/>
        <v>0</v>
      </c>
      <c r="BF91" s="11">
        <f t="shared" si="69"/>
        <v>14</v>
      </c>
      <c r="BG91" s="11">
        <f t="shared" si="69"/>
        <v>1</v>
      </c>
      <c r="BH91" s="11">
        <f t="shared" si="69"/>
        <v>18482</v>
      </c>
      <c r="BI91" s="11">
        <f t="shared" si="69"/>
        <v>18500</v>
      </c>
      <c r="BJ91" s="11">
        <f t="shared" si="69"/>
        <v>1</v>
      </c>
      <c r="BK91" s="11">
        <f t="shared" si="69"/>
        <v>18499</v>
      </c>
      <c r="BL91" s="11">
        <f>BL85-BL82</f>
        <v>9996144</v>
      </c>
      <c r="BM91" s="11">
        <f>BM85-BM82</f>
        <v>-18481</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44"/>
      <c r="BJ92" s="5"/>
      <c r="BK92" s="50"/>
    </row>
    <row r="93" spans="1:65" s="179" customFormat="1" ht="15.75">
      <c r="A93" s="264" t="s">
        <v>134</v>
      </c>
      <c r="B93" s="9" t="s">
        <v>326</v>
      </c>
      <c r="C93" s="225">
        <v>381068</v>
      </c>
      <c r="D93" s="225">
        <v>173356</v>
      </c>
      <c r="E93" s="225">
        <v>12220</v>
      </c>
      <c r="F93" s="225">
        <v>32574</v>
      </c>
      <c r="G93" s="225">
        <v>31238</v>
      </c>
      <c r="H93" s="225">
        <v>0</v>
      </c>
      <c r="I93" s="225">
        <v>0</v>
      </c>
      <c r="J93" s="225">
        <v>0</v>
      </c>
      <c r="K93" s="225">
        <v>643</v>
      </c>
      <c r="L93" s="225">
        <v>160</v>
      </c>
      <c r="M93" s="225">
        <v>39606</v>
      </c>
      <c r="N93" s="225">
        <v>50</v>
      </c>
      <c r="O93" s="225">
        <v>1143</v>
      </c>
      <c r="P93" s="225">
        <v>4378</v>
      </c>
      <c r="Q93" s="225">
        <v>0</v>
      </c>
      <c r="R93" s="225">
        <v>671</v>
      </c>
      <c r="S93" s="225">
        <v>472220</v>
      </c>
      <c r="T93" s="225">
        <v>531363</v>
      </c>
      <c r="U93" s="225">
        <v>0</v>
      </c>
      <c r="V93" s="225">
        <v>0</v>
      </c>
      <c r="W93" s="225">
        <v>0</v>
      </c>
      <c r="X93" s="225">
        <v>0</v>
      </c>
      <c r="Y93" s="225">
        <v>1143</v>
      </c>
      <c r="Z93" s="225">
        <v>325</v>
      </c>
      <c r="AA93" s="225">
        <v>258</v>
      </c>
      <c r="AB93" s="225">
        <v>0</v>
      </c>
      <c r="AC93" s="225">
        <v>0</v>
      </c>
      <c r="AD93" s="226">
        <f>SUM(C93:AC93)</f>
        <v>1682416</v>
      </c>
      <c r="AE93" s="225">
        <v>0</v>
      </c>
      <c r="AF93" s="225">
        <v>56</v>
      </c>
      <c r="AG93" s="225">
        <v>698</v>
      </c>
      <c r="AH93" s="225">
        <v>0</v>
      </c>
      <c r="AI93" s="225">
        <v>0</v>
      </c>
      <c r="AJ93" s="225">
        <v>0</v>
      </c>
      <c r="AK93" s="225">
        <v>463</v>
      </c>
      <c r="AL93" s="225">
        <v>99055</v>
      </c>
      <c r="AM93" s="225">
        <v>114623</v>
      </c>
      <c r="AN93" s="225">
        <v>0</v>
      </c>
      <c r="AO93" s="225">
        <v>284160</v>
      </c>
      <c r="AP93" s="225">
        <v>279</v>
      </c>
      <c r="AQ93" s="225">
        <v>0</v>
      </c>
      <c r="AR93" s="225">
        <v>0</v>
      </c>
      <c r="AS93" s="225">
        <v>0</v>
      </c>
      <c r="AT93" s="225">
        <v>0</v>
      </c>
      <c r="AU93" s="225">
        <v>0</v>
      </c>
      <c r="AV93" s="225">
        <v>0</v>
      </c>
      <c r="AW93" s="225">
        <v>0</v>
      </c>
      <c r="AX93" s="225">
        <v>0</v>
      </c>
      <c r="AY93" s="225">
        <v>0</v>
      </c>
      <c r="AZ93" s="225">
        <v>0</v>
      </c>
      <c r="BA93" s="225">
        <v>0</v>
      </c>
      <c r="BB93" s="225">
        <v>0</v>
      </c>
      <c r="BC93" s="225">
        <v>24205</v>
      </c>
      <c r="BD93" s="225">
        <v>24205</v>
      </c>
      <c r="BE93" s="225">
        <v>0</v>
      </c>
      <c r="BF93" s="225">
        <v>4064</v>
      </c>
      <c r="BG93" s="225">
        <v>-26554</v>
      </c>
      <c r="BH93" s="229">
        <f>SUM(AE93:BG93)</f>
        <v>525254</v>
      </c>
      <c r="BI93" s="125">
        <f>AD93+BH93</f>
        <v>2207670</v>
      </c>
      <c r="BJ93" s="230">
        <v>0</v>
      </c>
      <c r="BK93" s="226">
        <f>BI93-BJ93</f>
        <v>2207670</v>
      </c>
      <c r="BM93" s="228">
        <f>BK93-AD93</f>
        <v>525254</v>
      </c>
    </row>
    <row r="94" spans="1:65" s="41" customFormat="1" ht="15.75">
      <c r="A94" s="136"/>
      <c r="B94" s="234" t="s">
        <v>321</v>
      </c>
      <c r="C94" s="342">
        <v>381068</v>
      </c>
      <c r="D94" s="342">
        <v>173356</v>
      </c>
      <c r="E94" s="342">
        <v>12220</v>
      </c>
      <c r="F94" s="342">
        <v>32574</v>
      </c>
      <c r="G94" s="342">
        <v>31238</v>
      </c>
      <c r="H94" s="342">
        <v>0</v>
      </c>
      <c r="I94" s="342">
        <v>0</v>
      </c>
      <c r="J94" s="342">
        <v>0</v>
      </c>
      <c r="K94" s="342">
        <v>643</v>
      </c>
      <c r="L94" s="342">
        <v>160</v>
      </c>
      <c r="M94" s="342">
        <v>39606</v>
      </c>
      <c r="N94" s="342">
        <v>50</v>
      </c>
      <c r="O94" s="342">
        <v>1143</v>
      </c>
      <c r="P94" s="342">
        <v>4378</v>
      </c>
      <c r="Q94" s="342">
        <v>0</v>
      </c>
      <c r="R94" s="342">
        <v>671</v>
      </c>
      <c r="S94" s="342">
        <v>472220</v>
      </c>
      <c r="T94" s="342">
        <v>531363</v>
      </c>
      <c r="U94" s="342">
        <v>0</v>
      </c>
      <c r="V94" s="342">
        <v>0</v>
      </c>
      <c r="W94" s="342">
        <v>0</v>
      </c>
      <c r="X94" s="342">
        <v>0</v>
      </c>
      <c r="Y94" s="342">
        <v>1143</v>
      </c>
      <c r="Z94" s="342">
        <v>325</v>
      </c>
      <c r="AA94" s="342">
        <v>258</v>
      </c>
      <c r="AB94" s="342">
        <v>0</v>
      </c>
      <c r="AC94" s="342">
        <v>0</v>
      </c>
      <c r="AD94" s="123">
        <f>SUM(C94:AC94)</f>
        <v>1682416</v>
      </c>
      <c r="AE94" s="342">
        <v>0</v>
      </c>
      <c r="AF94" s="342">
        <v>56</v>
      </c>
      <c r="AG94" s="342">
        <v>698</v>
      </c>
      <c r="AH94" s="342">
        <v>0</v>
      </c>
      <c r="AI94" s="342">
        <v>0</v>
      </c>
      <c r="AJ94" s="342">
        <v>0</v>
      </c>
      <c r="AK94" s="342">
        <v>463</v>
      </c>
      <c r="AL94" s="342">
        <v>99055</v>
      </c>
      <c r="AM94" s="342">
        <v>114623</v>
      </c>
      <c r="AN94" s="342">
        <v>0</v>
      </c>
      <c r="AO94" s="342">
        <v>284160</v>
      </c>
      <c r="AP94" s="342">
        <v>279</v>
      </c>
      <c r="AQ94" s="342">
        <v>0</v>
      </c>
      <c r="AR94" s="342">
        <v>0</v>
      </c>
      <c r="AS94" s="342">
        <v>0</v>
      </c>
      <c r="AT94" s="342">
        <v>0</v>
      </c>
      <c r="AU94" s="342">
        <v>0</v>
      </c>
      <c r="AV94" s="342">
        <v>0</v>
      </c>
      <c r="AW94" s="342">
        <v>0</v>
      </c>
      <c r="AX94" s="342">
        <v>0</v>
      </c>
      <c r="AY94" s="342">
        <v>0</v>
      </c>
      <c r="AZ94" s="342">
        <v>0</v>
      </c>
      <c r="BA94" s="342">
        <v>0</v>
      </c>
      <c r="BB94" s="342">
        <v>0</v>
      </c>
      <c r="BC94" s="342">
        <v>24205</v>
      </c>
      <c r="BD94" s="342">
        <v>24205</v>
      </c>
      <c r="BE94" s="342">
        <v>0</v>
      </c>
      <c r="BF94" s="342">
        <v>4064</v>
      </c>
      <c r="BG94" s="342">
        <v>-26554</v>
      </c>
      <c r="BH94" s="124">
        <f>SUM(AE94:BG94)</f>
        <v>525254</v>
      </c>
      <c r="BI94" s="220">
        <f>AD94+BH94</f>
        <v>2207670</v>
      </c>
      <c r="BJ94" s="343">
        <v>0</v>
      </c>
      <c r="BK94" s="123">
        <f>BI94-BJ94</f>
        <v>2207670</v>
      </c>
      <c r="BL94" s="41">
        <f>'[1]Upto Month Current'!$J$61</f>
        <v>201386</v>
      </c>
      <c r="BM94" s="218">
        <f>BK94-AD94</f>
        <v>525254</v>
      </c>
    </row>
    <row r="95" spans="1:65" ht="15.75">
      <c r="A95" s="130"/>
      <c r="B95" s="12" t="s">
        <v>322</v>
      </c>
      <c r="C95" s="9">
        <f>IF('Upto Month COPPY'!$J$4="",0,'Upto Month COPPY'!$J$4)</f>
        <v>410444</v>
      </c>
      <c r="D95" s="9">
        <f>IF('Upto Month COPPY'!$J$5="",0,'Upto Month COPPY'!$J$5)</f>
        <v>155368</v>
      </c>
      <c r="E95" s="9">
        <f>IF('Upto Month COPPY'!$J$6="",0,'Upto Month COPPY'!$J$6)</f>
        <v>13519</v>
      </c>
      <c r="F95" s="9">
        <f>IF('Upto Month COPPY'!$J$7="",0,'Upto Month COPPY'!$J$7)</f>
        <v>33515</v>
      </c>
      <c r="G95" s="9">
        <f>IF('Upto Month COPPY'!$J$8="",0,'Upto Month COPPY'!$J$8)</f>
        <v>32682</v>
      </c>
      <c r="H95" s="9">
        <f>IF('Upto Month COPPY'!$J$9="",0,'Upto Month COPPY'!$J$9)</f>
        <v>0</v>
      </c>
      <c r="I95" s="9">
        <f>IF('Upto Month COPPY'!$J$10="",0,'Upto Month COPPY'!$J$10)</f>
        <v>0</v>
      </c>
      <c r="J95" s="9">
        <f>IF('Upto Month COPPY'!$J$11="",0,'Upto Month COPPY'!$J$11)</f>
        <v>0</v>
      </c>
      <c r="K95" s="9">
        <f>IF('Upto Month COPPY'!$J$12="",0,'Upto Month COPPY'!$J$12)</f>
        <v>418</v>
      </c>
      <c r="L95" s="9">
        <f>IF('Upto Month COPPY'!$J$13="",0,'Upto Month COPPY'!$J$13)</f>
        <v>35</v>
      </c>
      <c r="M95" s="9">
        <f>IF('Upto Month COPPY'!$J$14="",0,'Upto Month COPPY'!$J$14)</f>
        <v>41543</v>
      </c>
      <c r="N95" s="9">
        <f>IF('Upto Month COPPY'!$J$15="",0,'Upto Month COPPY'!$J$15)</f>
        <v>10</v>
      </c>
      <c r="O95" s="9">
        <f>IF('Upto Month COPPY'!$J$16="",0,'Upto Month COPPY'!$J$16)</f>
        <v>841</v>
      </c>
      <c r="P95" s="9">
        <f>IF('Upto Month COPPY'!$J$17="",0,'Upto Month COPPY'!$J$17)</f>
        <v>4496</v>
      </c>
      <c r="Q95" s="9">
        <f>IF('Upto Month COPPY'!$J$18="",0,'Upto Month COPPY'!$J$18)</f>
        <v>0</v>
      </c>
      <c r="R95" s="9">
        <f>IF('Upto Month COPPY'!$J$21="",0,'Upto Month COPPY'!$J$21)</f>
        <v>1154</v>
      </c>
      <c r="S95" s="9">
        <f>IF('Upto Month COPPY'!$J$26="",0,'Upto Month COPPY'!$J$26)</f>
        <v>424698</v>
      </c>
      <c r="T95" s="9">
        <f>IF('Upto Month COPPY'!$J$27="",0,'Upto Month COPPY'!$J$27)</f>
        <v>378075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669</v>
      </c>
      <c r="Z95" s="9">
        <f>IF('Upto Month COPPY'!$J$43="",0,'Upto Month COPPY'!$J$43)</f>
        <v>486</v>
      </c>
      <c r="AA95" s="9">
        <f>IF('Upto Month COPPY'!$J$44="",0,'Upto Month COPPY'!$J$44)</f>
        <v>357</v>
      </c>
      <c r="AB95" s="9">
        <f>IF('Upto Month COPPY'!$J$48="",0,'Upto Month COPPY'!$J$48)</f>
        <v>0</v>
      </c>
      <c r="AC95" s="10">
        <f>IF('Upto Month COPPY'!$J$51="",0,'Upto Month COPPY'!$J$51)</f>
        <v>0</v>
      </c>
      <c r="AD95" s="123">
        <f>SUM(C95:AC95)</f>
        <v>1498310</v>
      </c>
      <c r="AE95" s="9">
        <f>IF('Upto Month COPPY'!$J$19="",0,'Upto Month COPPY'!$J$19)</f>
        <v>0</v>
      </c>
      <c r="AF95" s="9">
        <f>IF('Upto Month COPPY'!$J$20="",0,'Upto Month COPPY'!$J$20)</f>
        <v>62</v>
      </c>
      <c r="AG95" s="9">
        <f>IF('Upto Month COPPY'!$J$22="",0,'Upto Month COPPY'!$J$22)</f>
        <v>183</v>
      </c>
      <c r="AH95" s="9">
        <f>IF('Upto Month COPPY'!$J$23="",0,'Upto Month COPPY'!$J$23)</f>
        <v>0</v>
      </c>
      <c r="AI95" s="9">
        <f>IF('Upto Month COPPY'!$J$24="",0,'Upto Month COPPY'!$J$24)</f>
        <v>0</v>
      </c>
      <c r="AJ95" s="9">
        <f>IF('Upto Month COPPY'!$J$25="",0,'Upto Month COPPY'!$J$25)</f>
        <v>0</v>
      </c>
      <c r="AK95" s="9">
        <f>IF('Upto Month COPPY'!$J$28="",0,'Upto Month COPPY'!$J$28)</f>
        <v>944</v>
      </c>
      <c r="AL95" s="9">
        <f>IF('Upto Month COPPY'!$J$29="",0,'Upto Month COPPY'!$J$29)</f>
        <v>58706</v>
      </c>
      <c r="AM95" s="9">
        <f>IF('Upto Month COPPY'!$J$31="",0,'Upto Month COPPY'!$J$31)</f>
        <v>51265</v>
      </c>
      <c r="AN95" s="9">
        <f>IF('Upto Month COPPY'!$J$32="",0,'Upto Month COPPY'!$J$32)</f>
        <v>0</v>
      </c>
      <c r="AO95" s="9">
        <f>IF('Upto Month COPPY'!$J$33="",0,'Upto Month COPPY'!$J$33)</f>
        <v>206424</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408</v>
      </c>
      <c r="AZ95" s="9">
        <f>IF('Upto Month COPPY'!$J$49="",0,'Upto Month COPPY'!$J$49)</f>
        <v>0</v>
      </c>
      <c r="BA95" s="9">
        <f>IF('Upto Month COPPY'!$J$50="",0,'Upto Month COPPY'!$J$50)</f>
        <v>0</v>
      </c>
      <c r="BB95" s="10">
        <f>IF('Upto Month COPPY'!$J$52="",0,'Upto Month COPPY'!$J$52)</f>
        <v>0</v>
      </c>
      <c r="BC95" s="9">
        <f>IF('Upto Month COPPY'!$J$53="",0,'Upto Month COPPY'!$J$53)</f>
        <v>16156</v>
      </c>
      <c r="BD95" s="9">
        <f>IF('Upto Month COPPY'!$J$54="",0,'Upto Month COPPY'!$J$54)</f>
        <v>16133</v>
      </c>
      <c r="BE95" s="9">
        <f>IF('Upto Month COPPY'!$J$55="",0,'Upto Month COPPY'!$J$55)</f>
        <v>0</v>
      </c>
      <c r="BF95" s="9">
        <f>IF('Upto Month COPPY'!$J$56="",0,'Upto Month COPPY'!$J$56)</f>
        <v>2367</v>
      </c>
      <c r="BG95" s="9">
        <f>IF('Upto Month COPPY'!$J$58="",0,'Upto Month COPPY'!$J$58)</f>
        <v>-35256</v>
      </c>
      <c r="BH95" s="9">
        <f>SUM(AE95:BG95)</f>
        <v>317392</v>
      </c>
      <c r="BI95" s="127">
        <f>AD95+BH95</f>
        <v>1815702</v>
      </c>
      <c r="BJ95" s="9">
        <f>IF('Upto Month COPPY'!$J$60="",0,'Upto Month COPPY'!$J$60)</f>
        <v>0</v>
      </c>
      <c r="BK95" s="51">
        <f>BI95-BJ95</f>
        <v>1815702</v>
      </c>
      <c r="BL95">
        <f>'Upto Month COPPY'!$J$61</f>
        <v>1815702</v>
      </c>
      <c r="BM95" s="30">
        <f>BK95-AD95</f>
        <v>317392</v>
      </c>
    </row>
    <row r="96" spans="1:65" ht="17.25" customHeight="1">
      <c r="A96" s="130"/>
      <c r="B96" s="183" t="s">
        <v>323</v>
      </c>
      <c r="C96" s="9">
        <f>IF('Upto Month Current'!$J$4="",0,'Upto Month Current'!$J$4)</f>
        <v>380355</v>
      </c>
      <c r="D96" s="9">
        <f>IF('Upto Month Current'!$J$5="",0,'Upto Month Current'!$J$5)</f>
        <v>173031</v>
      </c>
      <c r="E96" s="9">
        <f>IF('Upto Month Current'!$J$6="",0,'Upto Month Current'!$J$6)</f>
        <v>12195</v>
      </c>
      <c r="F96" s="9">
        <f>IF('Upto Month Current'!$J$7="",0,'Upto Month Current'!$J$7)</f>
        <v>32510</v>
      </c>
      <c r="G96" s="9">
        <f>IF('Upto Month Current'!$J$8="",0,'Upto Month Current'!$J$8)</f>
        <v>31179</v>
      </c>
      <c r="H96" s="9">
        <f>IF('Upto Month Current'!$J$9="",0,'Upto Month Current'!$J$9)</f>
        <v>0</v>
      </c>
      <c r="I96" s="9">
        <f>IF('Upto Month Current'!$J$10="",0,'Upto Month Current'!$J$10)</f>
        <v>0</v>
      </c>
      <c r="J96" s="9">
        <f>IF('Upto Month Current'!$J$11="",0,'Upto Month Current'!$J$11)</f>
        <v>0</v>
      </c>
      <c r="K96" s="9">
        <f>IF('Upto Month Current'!$J$12="",0,'Upto Month Current'!$J$12)</f>
        <v>642</v>
      </c>
      <c r="L96" s="9">
        <f>IF('Upto Month Current'!$J$13="",0,'Upto Month Current'!$J$13)</f>
        <v>160</v>
      </c>
      <c r="M96" s="9">
        <f>IF('Upto Month Current'!$J$14="",0,'Upto Month Current'!$J$14)</f>
        <v>39532</v>
      </c>
      <c r="N96" s="9">
        <f>IF('Upto Month Current'!$J$15="",0,'Upto Month Current'!$J$15)</f>
        <v>51</v>
      </c>
      <c r="O96" s="9">
        <f>IF('Upto Month Current'!$J$16="",0,'Upto Month Current'!$J$16)</f>
        <v>1142</v>
      </c>
      <c r="P96" s="9">
        <f>IF('Upto Month Current'!$J$17="",0,'Upto Month Current'!$J$17)</f>
        <v>4367</v>
      </c>
      <c r="Q96" s="9">
        <f>IF('Upto Month Current'!$J$18="",0,'Upto Month Current'!$J$18)</f>
        <v>0</v>
      </c>
      <c r="R96" s="9">
        <f>IF('Upto Month Current'!$J$21="",0,'Upto Month Current'!$J$21)</f>
        <v>670</v>
      </c>
      <c r="S96" s="9">
        <f>IF('Upto Month Current'!$J$26="",0,'Upto Month Current'!$J$26)</f>
        <v>471322</v>
      </c>
      <c r="T96" s="9">
        <f>IF('Upto Month Current'!$J$27="",0,'Upto Month Current'!$J$27)</f>
        <v>530375</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1142</v>
      </c>
      <c r="Z96" s="9">
        <f>IF('Upto Month Current'!$J$43="",0,'Upto Month Current'!$J$43)</f>
        <v>325</v>
      </c>
      <c r="AA96" s="9">
        <f>IF('Upto Month Current'!$J$44="",0,'Upto Month Current'!$J$44)</f>
        <v>258</v>
      </c>
      <c r="AB96" s="9">
        <f>IF('Upto Month Current'!$J$48="",0,'Upto Month Current'!$J$48)</f>
        <v>0</v>
      </c>
      <c r="AC96" s="10">
        <f>IF('Upto Month Current'!$J$51="",0,'Upto Month Current'!$J$51)</f>
        <v>0</v>
      </c>
      <c r="AD96" s="123">
        <f>SUM(C96:AC96)</f>
        <v>1679256</v>
      </c>
      <c r="AE96" s="9">
        <f>IF('Upto Month Current'!$J$19="",0,'Upto Month Current'!$J$19)</f>
        <v>0</v>
      </c>
      <c r="AF96" s="9">
        <f>IF('Upto Month Current'!$J$20="",0,'Upto Month Current'!$J$20)</f>
        <v>55</v>
      </c>
      <c r="AG96" s="9">
        <f>IF('Upto Month Current'!$J$22="",0,'Upto Month Current'!$J$22)</f>
        <v>697</v>
      </c>
      <c r="AH96" s="9">
        <f>IF('Upto Month Current'!$J$23="",0,'Upto Month Current'!$J$23)</f>
        <v>0</v>
      </c>
      <c r="AI96" s="9">
        <f>IF('Upto Month Current'!$J$24="",0,'Upto Month Current'!$J$24)</f>
        <v>0</v>
      </c>
      <c r="AJ96" s="9">
        <f>IF('Upto Month Current'!$J$25="",0,'Upto Month Current'!$J$25)</f>
        <v>0</v>
      </c>
      <c r="AK96" s="9">
        <f>IF('Upto Month Current'!$J$28="",0,'Upto Month Current'!$J$28)</f>
        <v>463</v>
      </c>
      <c r="AL96" s="9">
        <f>IF('Upto Month Current'!$J$29="",0,'Upto Month Current'!$J$29)</f>
        <v>98867</v>
      </c>
      <c r="AM96" s="9">
        <f>IF('Upto Month Current'!$J$31="",0,'Upto Month Current'!$J$31)</f>
        <v>114408</v>
      </c>
      <c r="AN96" s="9">
        <f>IF('Upto Month Current'!$J$32="",0,'Upto Month Current'!$J$32)</f>
        <v>0</v>
      </c>
      <c r="AO96" s="9">
        <f>IF('Upto Month Current'!$J$33="",0,'Upto Month Current'!$J$33)</f>
        <v>283633</v>
      </c>
      <c r="AP96" s="9">
        <f>IF('Upto Month Current'!$J$34="",0,'Upto Month Current'!$J$34)</f>
        <v>278</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0</v>
      </c>
      <c r="AZ96" s="9">
        <f>IF('Upto Month Current'!$J$49="",0,'Upto Month Current'!$J$49)</f>
        <v>0</v>
      </c>
      <c r="BA96" s="9">
        <f>IF('Upto Month Current'!$J$50="",0,'Upto Month Current'!$J$50)</f>
        <v>0</v>
      </c>
      <c r="BB96" s="10">
        <f>IF('Upto Month Current'!$J$52="",0,'Upto Month Current'!$J$52)</f>
        <v>0</v>
      </c>
      <c r="BC96" s="9">
        <f>IF('Upto Month Current'!$J$53="",0,'Upto Month Current'!$J$53)</f>
        <v>24159</v>
      </c>
      <c r="BD96" s="9">
        <f>IF('Upto Month Current'!$J$54="",0,'Upto Month Current'!$J$54)</f>
        <v>24159</v>
      </c>
      <c r="BE96" s="9">
        <f>IF('Upto Month Current'!$J$55="",0,'Upto Month Current'!$J$55)</f>
        <v>0</v>
      </c>
      <c r="BF96" s="9">
        <f>IF('Upto Month Current'!$J$56="",0,'Upto Month Current'!$J$56)</f>
        <v>4058</v>
      </c>
      <c r="BG96" s="9">
        <f>IF('Upto Month Current'!$J$58="",0,'Upto Month Current'!$J$58)</f>
        <v>-26504</v>
      </c>
      <c r="BH96" s="9">
        <f>SUM(AE96:BG96)</f>
        <v>524273</v>
      </c>
      <c r="BI96" s="127">
        <f>AD96+BH96</f>
        <v>2203529</v>
      </c>
      <c r="BJ96" s="9">
        <f>IF('Upto Month Current'!$J$60="",0,'Upto Month Current'!$J$60)</f>
        <v>0</v>
      </c>
      <c r="BK96" s="51">
        <f>BI96-BJ96</f>
        <v>2203529</v>
      </c>
      <c r="BL96">
        <f>'Upto Month Current'!$J$61</f>
        <v>2203528</v>
      </c>
      <c r="BM96" s="30">
        <f>BK96-AD96</f>
        <v>524273</v>
      </c>
    </row>
    <row r="97" spans="1:65" ht="15.75">
      <c r="A97" s="130"/>
      <c r="B97" s="5" t="s">
        <v>124</v>
      </c>
      <c r="C97" s="11">
        <f t="shared" ref="C97:AH97" si="70">C96-C94</f>
        <v>-713</v>
      </c>
      <c r="D97" s="11">
        <f t="shared" si="70"/>
        <v>-325</v>
      </c>
      <c r="E97" s="11">
        <f t="shared" si="70"/>
        <v>-25</v>
      </c>
      <c r="F97" s="11">
        <f t="shared" si="70"/>
        <v>-64</v>
      </c>
      <c r="G97" s="11">
        <f t="shared" si="70"/>
        <v>-59</v>
      </c>
      <c r="H97" s="11">
        <f t="shared" si="70"/>
        <v>0</v>
      </c>
      <c r="I97" s="11">
        <f t="shared" si="70"/>
        <v>0</v>
      </c>
      <c r="J97" s="11">
        <f t="shared" si="70"/>
        <v>0</v>
      </c>
      <c r="K97" s="11">
        <f t="shared" si="70"/>
        <v>-1</v>
      </c>
      <c r="L97" s="11">
        <f t="shared" si="70"/>
        <v>0</v>
      </c>
      <c r="M97" s="11">
        <f t="shared" si="70"/>
        <v>-74</v>
      </c>
      <c r="N97" s="11">
        <f t="shared" si="70"/>
        <v>1</v>
      </c>
      <c r="O97" s="11">
        <f t="shared" si="70"/>
        <v>-1</v>
      </c>
      <c r="P97" s="11">
        <f t="shared" si="70"/>
        <v>-11</v>
      </c>
      <c r="Q97" s="11">
        <f t="shared" si="70"/>
        <v>0</v>
      </c>
      <c r="R97" s="11">
        <f t="shared" si="70"/>
        <v>-1</v>
      </c>
      <c r="S97" s="11">
        <f t="shared" si="70"/>
        <v>-898</v>
      </c>
      <c r="T97" s="11">
        <f t="shared" si="70"/>
        <v>-988</v>
      </c>
      <c r="U97" s="11">
        <f t="shared" si="70"/>
        <v>0</v>
      </c>
      <c r="V97" s="9">
        <f t="shared" si="70"/>
        <v>0</v>
      </c>
      <c r="W97" s="11">
        <f t="shared" si="70"/>
        <v>0</v>
      </c>
      <c r="X97" s="11">
        <f t="shared" si="70"/>
        <v>0</v>
      </c>
      <c r="Y97" s="11">
        <f t="shared" si="70"/>
        <v>-1</v>
      </c>
      <c r="Z97" s="11">
        <f t="shared" si="70"/>
        <v>0</v>
      </c>
      <c r="AA97" s="11">
        <f t="shared" si="70"/>
        <v>0</v>
      </c>
      <c r="AB97" s="11">
        <f t="shared" si="70"/>
        <v>0</v>
      </c>
      <c r="AC97" s="10">
        <f t="shared" si="70"/>
        <v>0</v>
      </c>
      <c r="AD97" s="11">
        <f t="shared" si="70"/>
        <v>-3160</v>
      </c>
      <c r="AE97" s="11">
        <f t="shared" si="70"/>
        <v>0</v>
      </c>
      <c r="AF97" s="11">
        <f t="shared" si="70"/>
        <v>-1</v>
      </c>
      <c r="AG97" s="11">
        <f t="shared" si="70"/>
        <v>-1</v>
      </c>
      <c r="AH97" s="11">
        <f t="shared" si="70"/>
        <v>0</v>
      </c>
      <c r="AI97" s="11">
        <f t="shared" ref="AI97:BK97" si="71">AI96-AI94</f>
        <v>0</v>
      </c>
      <c r="AJ97" s="11">
        <f t="shared" si="71"/>
        <v>0</v>
      </c>
      <c r="AK97" s="11">
        <f t="shared" si="71"/>
        <v>0</v>
      </c>
      <c r="AL97" s="11">
        <f t="shared" si="71"/>
        <v>-188</v>
      </c>
      <c r="AM97" s="11">
        <f t="shared" si="71"/>
        <v>-215</v>
      </c>
      <c r="AN97" s="11">
        <f t="shared" si="71"/>
        <v>0</v>
      </c>
      <c r="AO97" s="9">
        <f t="shared" si="71"/>
        <v>-527</v>
      </c>
      <c r="AP97" s="11">
        <f t="shared" si="71"/>
        <v>-1</v>
      </c>
      <c r="AQ97" s="10">
        <f t="shared" si="71"/>
        <v>0</v>
      </c>
      <c r="AR97" s="11">
        <f t="shared" si="71"/>
        <v>0</v>
      </c>
      <c r="AS97" s="11">
        <f t="shared" si="71"/>
        <v>0</v>
      </c>
      <c r="AT97" s="11">
        <f t="shared" si="71"/>
        <v>0</v>
      </c>
      <c r="AU97" s="11">
        <f t="shared" si="71"/>
        <v>0</v>
      </c>
      <c r="AV97" s="11">
        <f t="shared" si="71"/>
        <v>0</v>
      </c>
      <c r="AW97" s="11">
        <f t="shared" si="71"/>
        <v>0</v>
      </c>
      <c r="AX97" s="11">
        <f t="shared" si="71"/>
        <v>0</v>
      </c>
      <c r="AY97" s="11">
        <f t="shared" si="71"/>
        <v>0</v>
      </c>
      <c r="AZ97" s="11">
        <f t="shared" si="71"/>
        <v>0</v>
      </c>
      <c r="BA97" s="11">
        <f t="shared" si="71"/>
        <v>0</v>
      </c>
      <c r="BB97" s="10">
        <f t="shared" si="71"/>
        <v>0</v>
      </c>
      <c r="BC97" s="11">
        <f t="shared" si="71"/>
        <v>-46</v>
      </c>
      <c r="BD97" s="11">
        <f t="shared" si="71"/>
        <v>-46</v>
      </c>
      <c r="BE97" s="11">
        <f t="shared" si="71"/>
        <v>0</v>
      </c>
      <c r="BF97" s="11">
        <f t="shared" si="71"/>
        <v>-6</v>
      </c>
      <c r="BG97" s="11">
        <f t="shared" si="71"/>
        <v>50</v>
      </c>
      <c r="BH97" s="9">
        <f t="shared" si="71"/>
        <v>-981</v>
      </c>
      <c r="BI97" s="45">
        <f t="shared" si="71"/>
        <v>-4141</v>
      </c>
      <c r="BJ97" s="11">
        <f t="shared" si="71"/>
        <v>0</v>
      </c>
      <c r="BK97" s="51">
        <f t="shared" si="71"/>
        <v>-4141</v>
      </c>
      <c r="BM97" s="30">
        <f>BK97-AD97</f>
        <v>-981</v>
      </c>
    </row>
    <row r="98" spans="1:65" ht="15.75">
      <c r="A98" s="130"/>
      <c r="B98" s="5" t="s">
        <v>125</v>
      </c>
      <c r="C98" s="13">
        <f t="shared" ref="C98:AH98" si="72">C97/C94</f>
        <v>-1.8710571341597824E-3</v>
      </c>
      <c r="D98" s="13">
        <f t="shared" si="72"/>
        <v>-1.8747548397517247E-3</v>
      </c>
      <c r="E98" s="13">
        <f t="shared" si="72"/>
        <v>-2.0458265139116204E-3</v>
      </c>
      <c r="F98" s="13">
        <f t="shared" si="72"/>
        <v>-1.9647571682937311E-3</v>
      </c>
      <c r="G98" s="13">
        <f t="shared" si="72"/>
        <v>-1.8887252705038736E-3</v>
      </c>
      <c r="H98" s="13" t="e">
        <f t="shared" si="72"/>
        <v>#DIV/0!</v>
      </c>
      <c r="I98" s="13" t="e">
        <f t="shared" si="72"/>
        <v>#DIV/0!</v>
      </c>
      <c r="J98" s="13" t="e">
        <f t="shared" si="72"/>
        <v>#DIV/0!</v>
      </c>
      <c r="K98" s="13">
        <f t="shared" si="72"/>
        <v>-1.5552099533437014E-3</v>
      </c>
      <c r="L98" s="13">
        <f t="shared" si="72"/>
        <v>0</v>
      </c>
      <c r="M98" s="13">
        <f t="shared" si="72"/>
        <v>-1.8684037772054738E-3</v>
      </c>
      <c r="N98" s="13">
        <f t="shared" si="72"/>
        <v>0.02</v>
      </c>
      <c r="O98" s="13">
        <f t="shared" si="72"/>
        <v>-8.7489063867016625E-4</v>
      </c>
      <c r="P98" s="13">
        <f t="shared" si="72"/>
        <v>-2.5125628140703518E-3</v>
      </c>
      <c r="Q98" s="13" t="e">
        <f t="shared" si="72"/>
        <v>#DIV/0!</v>
      </c>
      <c r="R98" s="13">
        <f t="shared" si="72"/>
        <v>-1.4903129657228018E-3</v>
      </c>
      <c r="S98" s="13">
        <f t="shared" si="72"/>
        <v>-1.9016560077929779E-3</v>
      </c>
      <c r="T98" s="13">
        <f t="shared" si="72"/>
        <v>-1.8593692071145337E-3</v>
      </c>
      <c r="U98" s="13" t="e">
        <f t="shared" si="72"/>
        <v>#DIV/0!</v>
      </c>
      <c r="V98" s="163" t="e">
        <f t="shared" si="72"/>
        <v>#DIV/0!</v>
      </c>
      <c r="W98" s="13" t="e">
        <f t="shared" si="72"/>
        <v>#DIV/0!</v>
      </c>
      <c r="X98" s="13" t="e">
        <f t="shared" si="72"/>
        <v>#DIV/0!</v>
      </c>
      <c r="Y98" s="13">
        <f t="shared" si="72"/>
        <v>-8.7489063867016625E-4</v>
      </c>
      <c r="Z98" s="13">
        <f t="shared" si="72"/>
        <v>0</v>
      </c>
      <c r="AA98" s="13">
        <f t="shared" si="72"/>
        <v>0</v>
      </c>
      <c r="AB98" s="13" t="e">
        <f t="shared" si="72"/>
        <v>#DIV/0!</v>
      </c>
      <c r="AC98" s="14" t="e">
        <f t="shared" si="72"/>
        <v>#DIV/0!</v>
      </c>
      <c r="AD98" s="13">
        <f t="shared" si="72"/>
        <v>-1.8782512767353615E-3</v>
      </c>
      <c r="AE98" s="13" t="e">
        <f t="shared" si="72"/>
        <v>#DIV/0!</v>
      </c>
      <c r="AF98" s="13">
        <f t="shared" si="72"/>
        <v>-1.7857142857142856E-2</v>
      </c>
      <c r="AG98" s="13">
        <f t="shared" si="72"/>
        <v>-1.4326647564469914E-3</v>
      </c>
      <c r="AH98" s="13" t="e">
        <f t="shared" si="72"/>
        <v>#DIV/0!</v>
      </c>
      <c r="AI98" s="13" t="e">
        <f t="shared" ref="AI98:BK98" si="73">AI97/AI94</f>
        <v>#DIV/0!</v>
      </c>
      <c r="AJ98" s="13" t="e">
        <f t="shared" si="73"/>
        <v>#DIV/0!</v>
      </c>
      <c r="AK98" s="13">
        <f t="shared" si="73"/>
        <v>0</v>
      </c>
      <c r="AL98" s="13">
        <f t="shared" si="73"/>
        <v>-1.8979354903841301E-3</v>
      </c>
      <c r="AM98" s="13">
        <f t="shared" si="73"/>
        <v>-1.8757142981775036E-3</v>
      </c>
      <c r="AN98" s="13" t="e">
        <f t="shared" si="73"/>
        <v>#DIV/0!</v>
      </c>
      <c r="AO98" s="163">
        <f t="shared" si="73"/>
        <v>-1.8545889639639639E-3</v>
      </c>
      <c r="AP98" s="13">
        <f t="shared" si="73"/>
        <v>-3.5842293906810036E-3</v>
      </c>
      <c r="AQ98" s="14" t="e">
        <f t="shared" si="73"/>
        <v>#DIV/0!</v>
      </c>
      <c r="AR98" s="13" t="e">
        <f t="shared" si="73"/>
        <v>#DIV/0!</v>
      </c>
      <c r="AS98" s="13" t="e">
        <f t="shared" si="73"/>
        <v>#DIV/0!</v>
      </c>
      <c r="AT98" s="13" t="e">
        <f t="shared" si="73"/>
        <v>#DIV/0!</v>
      </c>
      <c r="AU98" s="13" t="e">
        <f t="shared" si="73"/>
        <v>#DIV/0!</v>
      </c>
      <c r="AV98" s="13" t="e">
        <f t="shared" si="73"/>
        <v>#DIV/0!</v>
      </c>
      <c r="AW98" s="13" t="e">
        <f t="shared" si="73"/>
        <v>#DIV/0!</v>
      </c>
      <c r="AX98" s="13" t="e">
        <f t="shared" si="73"/>
        <v>#DIV/0!</v>
      </c>
      <c r="AY98" s="13" t="e">
        <f t="shared" si="73"/>
        <v>#DIV/0!</v>
      </c>
      <c r="AZ98" s="13" t="e">
        <f t="shared" si="73"/>
        <v>#DIV/0!</v>
      </c>
      <c r="BA98" s="13" t="e">
        <f t="shared" si="73"/>
        <v>#DIV/0!</v>
      </c>
      <c r="BB98" s="14" t="e">
        <f t="shared" si="73"/>
        <v>#DIV/0!</v>
      </c>
      <c r="BC98" s="13">
        <f t="shared" si="73"/>
        <v>-1.9004337946705225E-3</v>
      </c>
      <c r="BD98" s="13">
        <f t="shared" si="73"/>
        <v>-1.9004337946705225E-3</v>
      </c>
      <c r="BE98" s="13" t="e">
        <f t="shared" si="73"/>
        <v>#DIV/0!</v>
      </c>
      <c r="BF98" s="13">
        <f t="shared" si="73"/>
        <v>-1.4763779527559055E-3</v>
      </c>
      <c r="BG98" s="13">
        <f t="shared" si="73"/>
        <v>-1.8829554869322889E-3</v>
      </c>
      <c r="BH98" s="163">
        <f t="shared" si="73"/>
        <v>-1.8676678330864687E-3</v>
      </c>
      <c r="BI98" s="46">
        <f t="shared" si="73"/>
        <v>-1.8757332391163535E-3</v>
      </c>
      <c r="BJ98" s="13" t="e">
        <f t="shared" si="73"/>
        <v>#DIV/0!</v>
      </c>
      <c r="BK98" s="52">
        <f t="shared" si="73"/>
        <v>-1.8757332391163535E-3</v>
      </c>
      <c r="BM98" s="163">
        <f>BM97/BM94</f>
        <v>-1.8676678330864687E-3</v>
      </c>
    </row>
    <row r="99" spans="1:65" ht="15.75">
      <c r="A99" s="130"/>
      <c r="B99" s="5" t="s">
        <v>126</v>
      </c>
      <c r="C99" s="11">
        <f>C96-C95</f>
        <v>-30089</v>
      </c>
      <c r="D99" s="11">
        <f t="shared" ref="D99:BK99" si="74">D96-D95</f>
        <v>17663</v>
      </c>
      <c r="E99" s="11">
        <f t="shared" si="74"/>
        <v>-1324</v>
      </c>
      <c r="F99" s="11">
        <f t="shared" si="74"/>
        <v>-1005</v>
      </c>
      <c r="G99" s="11">
        <f t="shared" si="74"/>
        <v>-1503</v>
      </c>
      <c r="H99" s="11">
        <f t="shared" si="74"/>
        <v>0</v>
      </c>
      <c r="I99" s="11">
        <f t="shared" si="74"/>
        <v>0</v>
      </c>
      <c r="J99" s="11">
        <f t="shared" si="74"/>
        <v>0</v>
      </c>
      <c r="K99" s="11">
        <f t="shared" si="74"/>
        <v>224</v>
      </c>
      <c r="L99" s="11">
        <f t="shared" si="74"/>
        <v>125</v>
      </c>
      <c r="M99" s="11">
        <f t="shared" si="74"/>
        <v>-2011</v>
      </c>
      <c r="N99" s="11">
        <f t="shared" si="74"/>
        <v>41</v>
      </c>
      <c r="O99" s="11">
        <f t="shared" si="74"/>
        <v>301</v>
      </c>
      <c r="P99" s="11">
        <f t="shared" si="74"/>
        <v>-129</v>
      </c>
      <c r="Q99" s="11">
        <f t="shared" si="74"/>
        <v>0</v>
      </c>
      <c r="R99" s="11">
        <f t="shared" si="74"/>
        <v>-484</v>
      </c>
      <c r="S99" s="11">
        <f t="shared" si="74"/>
        <v>46624</v>
      </c>
      <c r="T99" s="11">
        <f t="shared" si="74"/>
        <v>152300</v>
      </c>
      <c r="U99" s="11">
        <f>U96-U95</f>
        <v>0</v>
      </c>
      <c r="V99" s="9">
        <f t="shared" si="74"/>
        <v>0</v>
      </c>
      <c r="W99" s="11">
        <f t="shared" si="74"/>
        <v>0</v>
      </c>
      <c r="X99" s="11">
        <f t="shared" si="74"/>
        <v>0</v>
      </c>
      <c r="Y99" s="11">
        <f t="shared" si="74"/>
        <v>473</v>
      </c>
      <c r="Z99" s="11">
        <f t="shared" si="74"/>
        <v>-161</v>
      </c>
      <c r="AA99" s="11">
        <f t="shared" si="74"/>
        <v>-99</v>
      </c>
      <c r="AB99" s="11">
        <f>AB96-AB95</f>
        <v>0</v>
      </c>
      <c r="AC99" s="10">
        <f>AC96-AC95</f>
        <v>0</v>
      </c>
      <c r="AD99" s="11">
        <f>AD96-AD95</f>
        <v>180946</v>
      </c>
      <c r="AE99" s="11">
        <f t="shared" si="74"/>
        <v>0</v>
      </c>
      <c r="AF99" s="11">
        <f t="shared" si="74"/>
        <v>-7</v>
      </c>
      <c r="AG99" s="11">
        <f t="shared" si="74"/>
        <v>514</v>
      </c>
      <c r="AH99" s="11">
        <f t="shared" si="74"/>
        <v>0</v>
      </c>
      <c r="AI99" s="11">
        <f t="shared" si="74"/>
        <v>0</v>
      </c>
      <c r="AJ99" s="11">
        <f t="shared" si="74"/>
        <v>0</v>
      </c>
      <c r="AK99" s="11">
        <f t="shared" si="74"/>
        <v>-481</v>
      </c>
      <c r="AL99" s="11">
        <f t="shared" si="74"/>
        <v>40161</v>
      </c>
      <c r="AM99" s="11">
        <f t="shared" si="74"/>
        <v>63143</v>
      </c>
      <c r="AN99" s="11">
        <f t="shared" si="74"/>
        <v>0</v>
      </c>
      <c r="AO99" s="9">
        <f t="shared" si="74"/>
        <v>77209</v>
      </c>
      <c r="AP99" s="11">
        <f t="shared" si="74"/>
        <v>278</v>
      </c>
      <c r="AQ99" s="10">
        <f t="shared" si="74"/>
        <v>0</v>
      </c>
      <c r="AR99" s="11">
        <f t="shared" si="74"/>
        <v>0</v>
      </c>
      <c r="AS99" s="11">
        <f t="shared" si="74"/>
        <v>0</v>
      </c>
      <c r="AT99" s="11">
        <f t="shared" si="74"/>
        <v>0</v>
      </c>
      <c r="AU99" s="11">
        <f t="shared" si="74"/>
        <v>0</v>
      </c>
      <c r="AV99" s="11">
        <f t="shared" si="74"/>
        <v>0</v>
      </c>
      <c r="AW99" s="11">
        <f t="shared" si="74"/>
        <v>0</v>
      </c>
      <c r="AX99" s="11">
        <f t="shared" si="74"/>
        <v>0</v>
      </c>
      <c r="AY99" s="11">
        <f t="shared" si="74"/>
        <v>-408</v>
      </c>
      <c r="AZ99" s="11">
        <f t="shared" si="74"/>
        <v>0</v>
      </c>
      <c r="BA99" s="11">
        <f t="shared" si="74"/>
        <v>0</v>
      </c>
      <c r="BB99" s="10">
        <f t="shared" si="74"/>
        <v>0</v>
      </c>
      <c r="BC99" s="11">
        <f t="shared" si="74"/>
        <v>8003</v>
      </c>
      <c r="BD99" s="11">
        <f t="shared" si="74"/>
        <v>8026</v>
      </c>
      <c r="BE99" s="11">
        <f t="shared" si="74"/>
        <v>0</v>
      </c>
      <c r="BF99" s="11">
        <f t="shared" si="74"/>
        <v>1691</v>
      </c>
      <c r="BG99" s="11">
        <f t="shared" si="74"/>
        <v>8752</v>
      </c>
      <c r="BH99" s="9">
        <f t="shared" si="74"/>
        <v>206881</v>
      </c>
      <c r="BI99" s="45">
        <f t="shared" si="74"/>
        <v>387827</v>
      </c>
      <c r="BJ99" s="11">
        <f t="shared" si="74"/>
        <v>0</v>
      </c>
      <c r="BK99" s="51">
        <f t="shared" si="74"/>
        <v>387827</v>
      </c>
      <c r="BM99" s="30">
        <f>BK99-AD99</f>
        <v>206881</v>
      </c>
    </row>
    <row r="100" spans="1:65" ht="15.75">
      <c r="A100" s="130"/>
      <c r="B100" s="5" t="s">
        <v>127</v>
      </c>
      <c r="C100" s="13">
        <f t="shared" ref="C100:AH100" si="75">C99/C95</f>
        <v>-7.3308417226223305E-2</v>
      </c>
      <c r="D100" s="13">
        <f t="shared" si="75"/>
        <v>0.1136849286854436</v>
      </c>
      <c r="E100" s="13">
        <f t="shared" si="75"/>
        <v>-9.7936237887417704E-2</v>
      </c>
      <c r="F100" s="13">
        <f t="shared" si="75"/>
        <v>-2.9986573176189767E-2</v>
      </c>
      <c r="G100" s="13">
        <f t="shared" si="75"/>
        <v>-4.5988617587662935E-2</v>
      </c>
      <c r="H100" s="13" t="e">
        <f t="shared" si="75"/>
        <v>#DIV/0!</v>
      </c>
      <c r="I100" s="13" t="e">
        <f t="shared" si="75"/>
        <v>#DIV/0!</v>
      </c>
      <c r="J100" s="13" t="e">
        <f t="shared" si="75"/>
        <v>#DIV/0!</v>
      </c>
      <c r="K100" s="13">
        <f t="shared" si="75"/>
        <v>0.53588516746411485</v>
      </c>
      <c r="L100" s="13">
        <f t="shared" si="75"/>
        <v>3.5714285714285716</v>
      </c>
      <c r="M100" s="13">
        <f t="shared" si="75"/>
        <v>-4.8407673976361844E-2</v>
      </c>
      <c r="N100" s="13">
        <f t="shared" si="75"/>
        <v>4.0999999999999996</v>
      </c>
      <c r="O100" s="13">
        <f t="shared" si="75"/>
        <v>0.35790725326991679</v>
      </c>
      <c r="P100" s="13">
        <f t="shared" si="75"/>
        <v>-2.8692170818505339E-2</v>
      </c>
      <c r="Q100" s="13" t="e">
        <f t="shared" si="75"/>
        <v>#DIV/0!</v>
      </c>
      <c r="R100" s="13">
        <f t="shared" si="75"/>
        <v>-0.41941074523396882</v>
      </c>
      <c r="S100" s="13">
        <f t="shared" si="75"/>
        <v>0.10978153888174656</v>
      </c>
      <c r="T100" s="13">
        <f t="shared" si="75"/>
        <v>0.40283012629769227</v>
      </c>
      <c r="U100" s="13" t="e">
        <f t="shared" si="75"/>
        <v>#DIV/0!</v>
      </c>
      <c r="V100" s="163" t="e">
        <f t="shared" si="75"/>
        <v>#DIV/0!</v>
      </c>
      <c r="W100" s="13" t="e">
        <f t="shared" si="75"/>
        <v>#DIV/0!</v>
      </c>
      <c r="X100" s="13" t="e">
        <f t="shared" si="75"/>
        <v>#DIV/0!</v>
      </c>
      <c r="Y100" s="13">
        <f t="shared" si="75"/>
        <v>0.70702541106128547</v>
      </c>
      <c r="Z100" s="13">
        <f t="shared" si="75"/>
        <v>-0.33127572016460904</v>
      </c>
      <c r="AA100" s="13">
        <f t="shared" si="75"/>
        <v>-0.27731092436974791</v>
      </c>
      <c r="AB100" s="13" t="e">
        <f t="shared" si="75"/>
        <v>#DIV/0!</v>
      </c>
      <c r="AC100" s="14" t="e">
        <f t="shared" si="75"/>
        <v>#DIV/0!</v>
      </c>
      <c r="AD100" s="13">
        <f t="shared" si="75"/>
        <v>0.12076673051638179</v>
      </c>
      <c r="AE100" s="13" t="e">
        <f t="shared" si="75"/>
        <v>#DIV/0!</v>
      </c>
      <c r="AF100" s="13">
        <f t="shared" si="75"/>
        <v>-0.11290322580645161</v>
      </c>
      <c r="AG100" s="13">
        <f t="shared" si="75"/>
        <v>2.8087431693989071</v>
      </c>
      <c r="AH100" s="13" t="e">
        <f t="shared" si="75"/>
        <v>#DIV/0!</v>
      </c>
      <c r="AI100" s="13" t="e">
        <f t="shared" ref="AI100:BK100" si="76">AI99/AI95</f>
        <v>#DIV/0!</v>
      </c>
      <c r="AJ100" s="13" t="e">
        <f t="shared" si="76"/>
        <v>#DIV/0!</v>
      </c>
      <c r="AK100" s="13">
        <f t="shared" si="76"/>
        <v>-0.50953389830508478</v>
      </c>
      <c r="AL100" s="13">
        <f t="shared" si="76"/>
        <v>0.68410383947126363</v>
      </c>
      <c r="AM100" s="13">
        <f t="shared" si="76"/>
        <v>1.2316980395981665</v>
      </c>
      <c r="AN100" s="13" t="e">
        <f t="shared" si="76"/>
        <v>#DIV/0!</v>
      </c>
      <c r="AO100" s="163">
        <f t="shared" si="76"/>
        <v>0.37403112041235514</v>
      </c>
      <c r="AP100" s="13" t="e">
        <f t="shared" si="76"/>
        <v>#DIV/0!</v>
      </c>
      <c r="AQ100" s="14" t="e">
        <f t="shared" si="76"/>
        <v>#DIV/0!</v>
      </c>
      <c r="AR100" s="13" t="e">
        <f t="shared" si="76"/>
        <v>#DIV/0!</v>
      </c>
      <c r="AS100" s="13" t="e">
        <f t="shared" si="76"/>
        <v>#DIV/0!</v>
      </c>
      <c r="AT100" s="13" t="e">
        <f t="shared" si="76"/>
        <v>#DIV/0!</v>
      </c>
      <c r="AU100" s="13" t="e">
        <f t="shared" si="76"/>
        <v>#DIV/0!</v>
      </c>
      <c r="AV100" s="13" t="e">
        <f t="shared" si="76"/>
        <v>#DIV/0!</v>
      </c>
      <c r="AW100" s="13" t="e">
        <f t="shared" si="76"/>
        <v>#DIV/0!</v>
      </c>
      <c r="AX100" s="13" t="e">
        <f t="shared" si="76"/>
        <v>#DIV/0!</v>
      </c>
      <c r="AY100" s="13">
        <f t="shared" si="76"/>
        <v>-1</v>
      </c>
      <c r="AZ100" s="13" t="e">
        <f t="shared" si="76"/>
        <v>#DIV/0!</v>
      </c>
      <c r="BA100" s="13" t="e">
        <f t="shared" si="76"/>
        <v>#DIV/0!</v>
      </c>
      <c r="BB100" s="14" t="e">
        <f t="shared" si="76"/>
        <v>#DIV/0!</v>
      </c>
      <c r="BC100" s="13">
        <f t="shared" si="76"/>
        <v>0.49535776182223323</v>
      </c>
      <c r="BD100" s="13">
        <f t="shared" si="76"/>
        <v>0.49748961755408172</v>
      </c>
      <c r="BE100" s="13" t="e">
        <f t="shared" si="76"/>
        <v>#DIV/0!</v>
      </c>
      <c r="BF100" s="13">
        <f t="shared" si="76"/>
        <v>0.71440642163075618</v>
      </c>
      <c r="BG100" s="13">
        <f t="shared" si="76"/>
        <v>-0.24824143408214205</v>
      </c>
      <c r="BH100" s="163">
        <f t="shared" si="76"/>
        <v>0.65181542067853004</v>
      </c>
      <c r="BI100" s="46">
        <f t="shared" si="76"/>
        <v>0.21359617382147511</v>
      </c>
      <c r="BJ100" s="13" t="e">
        <f t="shared" si="76"/>
        <v>#DIV/0!</v>
      </c>
      <c r="BK100" s="52">
        <f t="shared" si="76"/>
        <v>0.21359617382147511</v>
      </c>
      <c r="BM100" s="14">
        <f>BM99/BM95</f>
        <v>0.65181542067853004</v>
      </c>
    </row>
    <row r="101" spans="1:65" ht="15.75">
      <c r="A101" s="130"/>
      <c r="B101" s="5" t="s">
        <v>328</v>
      </c>
      <c r="C101" s="128">
        <f>C96/C93</f>
        <v>0.9981289428658402</v>
      </c>
      <c r="D101" s="128">
        <f t="shared" ref="D101:BK101" si="77">D96/D93</f>
        <v>0.99812524516024825</v>
      </c>
      <c r="E101" s="128">
        <f t="shared" si="77"/>
        <v>0.99795417348608839</v>
      </c>
      <c r="F101" s="128">
        <f t="shared" si="77"/>
        <v>0.9980352428317063</v>
      </c>
      <c r="G101" s="128">
        <f t="shared" si="77"/>
        <v>0.99811127472949612</v>
      </c>
      <c r="H101" s="128" t="e">
        <f t="shared" si="77"/>
        <v>#DIV/0!</v>
      </c>
      <c r="I101" s="128" t="e">
        <f t="shared" si="77"/>
        <v>#DIV/0!</v>
      </c>
      <c r="J101" s="128" t="e">
        <f t="shared" si="77"/>
        <v>#DIV/0!</v>
      </c>
      <c r="K101" s="128">
        <f t="shared" si="77"/>
        <v>0.99844479004665632</v>
      </c>
      <c r="L101" s="128">
        <f t="shared" si="77"/>
        <v>1</v>
      </c>
      <c r="M101" s="128">
        <f t="shared" si="77"/>
        <v>0.99813159622279457</v>
      </c>
      <c r="N101" s="128">
        <f t="shared" si="77"/>
        <v>1.02</v>
      </c>
      <c r="O101" s="128">
        <f t="shared" si="77"/>
        <v>0.99912510936132981</v>
      </c>
      <c r="P101" s="128">
        <f t="shared" si="77"/>
        <v>0.99748743718592969</v>
      </c>
      <c r="Q101" s="128" t="e">
        <f t="shared" si="77"/>
        <v>#DIV/0!</v>
      </c>
      <c r="R101" s="128">
        <f t="shared" si="77"/>
        <v>0.99850968703427723</v>
      </c>
      <c r="S101" s="128">
        <f t="shared" si="77"/>
        <v>0.99809834399220698</v>
      </c>
      <c r="T101" s="128">
        <f t="shared" si="77"/>
        <v>0.99814063079288551</v>
      </c>
      <c r="U101" s="128" t="e">
        <f t="shared" si="77"/>
        <v>#DIV/0!</v>
      </c>
      <c r="V101" s="178" t="e">
        <f t="shared" si="77"/>
        <v>#DIV/0!</v>
      </c>
      <c r="W101" s="128" t="e">
        <f t="shared" si="77"/>
        <v>#DIV/0!</v>
      </c>
      <c r="X101" s="128" t="e">
        <f t="shared" si="77"/>
        <v>#DIV/0!</v>
      </c>
      <c r="Y101" s="128">
        <f t="shared" si="77"/>
        <v>0.99912510936132981</v>
      </c>
      <c r="Z101" s="128">
        <f t="shared" si="77"/>
        <v>1</v>
      </c>
      <c r="AA101" s="128">
        <f t="shared" si="77"/>
        <v>1</v>
      </c>
      <c r="AB101" s="128" t="e">
        <f>AB96/AB93</f>
        <v>#DIV/0!</v>
      </c>
      <c r="AC101" s="217" t="e">
        <f t="shared" si="77"/>
        <v>#DIV/0!</v>
      </c>
      <c r="AD101" s="128">
        <f t="shared" si="77"/>
        <v>0.99812174872326465</v>
      </c>
      <c r="AE101" s="128" t="e">
        <f t="shared" si="77"/>
        <v>#DIV/0!</v>
      </c>
      <c r="AF101" s="128">
        <f t="shared" si="77"/>
        <v>0.9821428571428571</v>
      </c>
      <c r="AG101" s="128">
        <f t="shared" si="77"/>
        <v>0.99856733524355301</v>
      </c>
      <c r="AH101" s="128" t="e">
        <f t="shared" si="77"/>
        <v>#DIV/0!</v>
      </c>
      <c r="AI101" s="128" t="e">
        <f t="shared" si="77"/>
        <v>#DIV/0!</v>
      </c>
      <c r="AJ101" s="128" t="e">
        <f t="shared" si="77"/>
        <v>#DIV/0!</v>
      </c>
      <c r="AK101" s="128">
        <f t="shared" si="77"/>
        <v>1</v>
      </c>
      <c r="AL101" s="128">
        <f t="shared" si="77"/>
        <v>0.99810206450961592</v>
      </c>
      <c r="AM101" s="128">
        <f t="shared" si="77"/>
        <v>0.99812428570182254</v>
      </c>
      <c r="AN101" s="128" t="e">
        <f t="shared" si="77"/>
        <v>#DIV/0!</v>
      </c>
      <c r="AO101" s="178">
        <f t="shared" si="77"/>
        <v>0.99814541103603605</v>
      </c>
      <c r="AP101" s="128">
        <f t="shared" si="77"/>
        <v>0.99641577060931896</v>
      </c>
      <c r="AQ101" s="217" t="e">
        <f t="shared" si="77"/>
        <v>#DIV/0!</v>
      </c>
      <c r="AR101" s="128" t="e">
        <f t="shared" si="77"/>
        <v>#DIV/0!</v>
      </c>
      <c r="AS101" s="128" t="e">
        <f t="shared" si="77"/>
        <v>#DIV/0!</v>
      </c>
      <c r="AT101" s="128" t="e">
        <f t="shared" si="77"/>
        <v>#DIV/0!</v>
      </c>
      <c r="AU101" s="128" t="e">
        <f t="shared" si="77"/>
        <v>#DIV/0!</v>
      </c>
      <c r="AV101" s="128" t="e">
        <f t="shared" si="77"/>
        <v>#DIV/0!</v>
      </c>
      <c r="AW101" s="128" t="e">
        <f t="shared" si="77"/>
        <v>#DIV/0!</v>
      </c>
      <c r="AX101" s="128" t="e">
        <f t="shared" si="77"/>
        <v>#DIV/0!</v>
      </c>
      <c r="AY101" s="128" t="e">
        <f t="shared" si="77"/>
        <v>#DIV/0!</v>
      </c>
      <c r="AZ101" s="128" t="e">
        <f t="shared" si="77"/>
        <v>#DIV/0!</v>
      </c>
      <c r="BA101" s="128" t="e">
        <f t="shared" si="77"/>
        <v>#DIV/0!</v>
      </c>
      <c r="BB101" s="217" t="e">
        <f t="shared" si="77"/>
        <v>#DIV/0!</v>
      </c>
      <c r="BC101" s="128">
        <f t="shared" si="77"/>
        <v>0.99809956620532947</v>
      </c>
      <c r="BD101" s="128">
        <f t="shared" si="77"/>
        <v>0.99809956620532947</v>
      </c>
      <c r="BE101" s="128" t="e">
        <f t="shared" si="77"/>
        <v>#DIV/0!</v>
      </c>
      <c r="BF101" s="128">
        <f t="shared" si="77"/>
        <v>0.9985236220472441</v>
      </c>
      <c r="BG101" s="128">
        <f t="shared" si="77"/>
        <v>0.99811704451306771</v>
      </c>
      <c r="BH101" s="178">
        <f t="shared" si="77"/>
        <v>0.99813233216691355</v>
      </c>
      <c r="BI101" s="128">
        <f t="shared" si="77"/>
        <v>0.99812426676088362</v>
      </c>
      <c r="BJ101" s="128" t="e">
        <f t="shared" si="77"/>
        <v>#DIV/0!</v>
      </c>
      <c r="BK101" s="128">
        <f t="shared" si="77"/>
        <v>0.99812426676088362</v>
      </c>
      <c r="BM101" s="128">
        <f>BM96/BM93</f>
        <v>0.99813233216691355</v>
      </c>
    </row>
    <row r="102" spans="1:65" s="181" customFormat="1" ht="15.75">
      <c r="A102" s="130"/>
      <c r="B102" s="5" t="s">
        <v>327</v>
      </c>
      <c r="C102" s="11">
        <f>C93-C96</f>
        <v>713</v>
      </c>
      <c r="D102" s="11">
        <f t="shared" ref="D102:BK102" si="78">D93-D96</f>
        <v>325</v>
      </c>
      <c r="E102" s="11">
        <f t="shared" si="78"/>
        <v>25</v>
      </c>
      <c r="F102" s="11">
        <f t="shared" si="78"/>
        <v>64</v>
      </c>
      <c r="G102" s="11">
        <f t="shared" si="78"/>
        <v>59</v>
      </c>
      <c r="H102" s="11">
        <f t="shared" si="78"/>
        <v>0</v>
      </c>
      <c r="I102" s="11">
        <f t="shared" si="78"/>
        <v>0</v>
      </c>
      <c r="J102" s="11">
        <f t="shared" si="78"/>
        <v>0</v>
      </c>
      <c r="K102" s="11">
        <f t="shared" si="78"/>
        <v>1</v>
      </c>
      <c r="L102" s="11">
        <f t="shared" si="78"/>
        <v>0</v>
      </c>
      <c r="M102" s="11">
        <f t="shared" si="78"/>
        <v>74</v>
      </c>
      <c r="N102" s="11">
        <f t="shared" si="78"/>
        <v>-1</v>
      </c>
      <c r="O102" s="11">
        <f t="shared" si="78"/>
        <v>1</v>
      </c>
      <c r="P102" s="11">
        <f t="shared" si="78"/>
        <v>11</v>
      </c>
      <c r="Q102" s="11">
        <f t="shared" si="78"/>
        <v>0</v>
      </c>
      <c r="R102" s="11">
        <f t="shared" si="78"/>
        <v>1</v>
      </c>
      <c r="S102" s="11">
        <f t="shared" si="78"/>
        <v>898</v>
      </c>
      <c r="T102" s="11">
        <f t="shared" si="78"/>
        <v>988</v>
      </c>
      <c r="U102" s="11">
        <f t="shared" si="78"/>
        <v>0</v>
      </c>
      <c r="V102" s="11">
        <f t="shared" si="78"/>
        <v>0</v>
      </c>
      <c r="W102" s="11">
        <f t="shared" si="78"/>
        <v>0</v>
      </c>
      <c r="X102" s="11">
        <f t="shared" si="78"/>
        <v>0</v>
      </c>
      <c r="Y102" s="11">
        <f t="shared" si="78"/>
        <v>1</v>
      </c>
      <c r="Z102" s="11">
        <f t="shared" si="78"/>
        <v>0</v>
      </c>
      <c r="AA102" s="11">
        <f t="shared" si="78"/>
        <v>0</v>
      </c>
      <c r="AB102" s="11">
        <f t="shared" si="78"/>
        <v>0</v>
      </c>
      <c r="AC102" s="11">
        <f t="shared" si="78"/>
        <v>0</v>
      </c>
      <c r="AD102" s="11">
        <f t="shared" si="78"/>
        <v>3160</v>
      </c>
      <c r="AE102" s="11">
        <f t="shared" si="78"/>
        <v>0</v>
      </c>
      <c r="AF102" s="11">
        <f t="shared" si="78"/>
        <v>1</v>
      </c>
      <c r="AG102" s="11">
        <f t="shared" si="78"/>
        <v>1</v>
      </c>
      <c r="AH102" s="11">
        <f t="shared" si="78"/>
        <v>0</v>
      </c>
      <c r="AI102" s="11">
        <f t="shared" si="78"/>
        <v>0</v>
      </c>
      <c r="AJ102" s="11">
        <f t="shared" si="78"/>
        <v>0</v>
      </c>
      <c r="AK102" s="11">
        <f t="shared" si="78"/>
        <v>0</v>
      </c>
      <c r="AL102" s="11">
        <f t="shared" si="78"/>
        <v>188</v>
      </c>
      <c r="AM102" s="11">
        <f t="shared" si="78"/>
        <v>215</v>
      </c>
      <c r="AN102" s="11">
        <f t="shared" si="78"/>
        <v>0</v>
      </c>
      <c r="AO102" s="11">
        <f t="shared" si="78"/>
        <v>527</v>
      </c>
      <c r="AP102" s="11">
        <f t="shared" si="78"/>
        <v>1</v>
      </c>
      <c r="AQ102" s="11">
        <f t="shared" si="78"/>
        <v>0</v>
      </c>
      <c r="AR102" s="11">
        <f t="shared" si="78"/>
        <v>0</v>
      </c>
      <c r="AS102" s="11">
        <f t="shared" si="78"/>
        <v>0</v>
      </c>
      <c r="AT102" s="11">
        <f t="shared" si="78"/>
        <v>0</v>
      </c>
      <c r="AU102" s="11">
        <f t="shared" si="78"/>
        <v>0</v>
      </c>
      <c r="AV102" s="11">
        <f t="shared" si="78"/>
        <v>0</v>
      </c>
      <c r="AW102" s="11">
        <f t="shared" si="78"/>
        <v>0</v>
      </c>
      <c r="AX102" s="11">
        <f t="shared" si="78"/>
        <v>0</v>
      </c>
      <c r="AY102" s="11">
        <f t="shared" si="78"/>
        <v>0</v>
      </c>
      <c r="AZ102" s="11">
        <f t="shared" si="78"/>
        <v>0</v>
      </c>
      <c r="BA102" s="11">
        <f t="shared" si="78"/>
        <v>0</v>
      </c>
      <c r="BB102" s="11">
        <f t="shared" si="78"/>
        <v>0</v>
      </c>
      <c r="BC102" s="11">
        <f t="shared" si="78"/>
        <v>46</v>
      </c>
      <c r="BD102" s="11">
        <f t="shared" si="78"/>
        <v>46</v>
      </c>
      <c r="BE102" s="11">
        <f t="shared" si="78"/>
        <v>0</v>
      </c>
      <c r="BF102" s="11">
        <f t="shared" si="78"/>
        <v>6</v>
      </c>
      <c r="BG102" s="11">
        <f t="shared" si="78"/>
        <v>-50</v>
      </c>
      <c r="BH102" s="11">
        <f t="shared" si="78"/>
        <v>981</v>
      </c>
      <c r="BI102" s="11">
        <f t="shared" si="78"/>
        <v>4141</v>
      </c>
      <c r="BJ102" s="11">
        <f t="shared" si="78"/>
        <v>0</v>
      </c>
      <c r="BK102" s="11">
        <f t="shared" si="78"/>
        <v>4141</v>
      </c>
      <c r="BL102" s="11">
        <f>BL96-BL93</f>
        <v>2203528</v>
      </c>
      <c r="BM102" s="11">
        <f>BM96-BM93</f>
        <v>-981</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44"/>
      <c r="BJ103" s="5"/>
      <c r="BK103" s="50"/>
    </row>
    <row r="104" spans="1:65" s="179" customFormat="1" ht="15.75">
      <c r="A104" s="264" t="s">
        <v>39</v>
      </c>
      <c r="B104" s="9" t="s">
        <v>326</v>
      </c>
      <c r="C104" s="225">
        <v>869241</v>
      </c>
      <c r="D104" s="225">
        <v>383943</v>
      </c>
      <c r="E104" s="225">
        <v>13239</v>
      </c>
      <c r="F104" s="225">
        <v>89732</v>
      </c>
      <c r="G104" s="225">
        <v>60411</v>
      </c>
      <c r="H104" s="225">
        <v>0</v>
      </c>
      <c r="I104" s="225">
        <v>0</v>
      </c>
      <c r="J104" s="225">
        <v>0</v>
      </c>
      <c r="K104" s="225">
        <v>0</v>
      </c>
      <c r="L104" s="225">
        <v>2273</v>
      </c>
      <c r="M104" s="225">
        <v>78889</v>
      </c>
      <c r="N104" s="225">
        <v>284</v>
      </c>
      <c r="O104" s="225">
        <v>7301</v>
      </c>
      <c r="P104" s="225">
        <v>98265</v>
      </c>
      <c r="Q104" s="225">
        <v>0</v>
      </c>
      <c r="R104" s="225">
        <v>3483</v>
      </c>
      <c r="S104" s="225">
        <v>0</v>
      </c>
      <c r="T104" s="225">
        <v>0</v>
      </c>
      <c r="U104" s="225">
        <v>0</v>
      </c>
      <c r="V104" s="225">
        <v>0</v>
      </c>
      <c r="W104" s="225">
        <v>0</v>
      </c>
      <c r="X104" s="225">
        <v>0</v>
      </c>
      <c r="Y104" s="225">
        <v>8868</v>
      </c>
      <c r="Z104" s="225">
        <v>2274</v>
      </c>
      <c r="AA104" s="225">
        <v>1914</v>
      </c>
      <c r="AB104" s="225">
        <v>0</v>
      </c>
      <c r="AC104" s="225">
        <v>0</v>
      </c>
      <c r="AD104" s="226">
        <f>SUM(C104:AC104)</f>
        <v>1620117</v>
      </c>
      <c r="AE104" s="225">
        <v>432</v>
      </c>
      <c r="AF104" s="225">
        <v>321</v>
      </c>
      <c r="AG104" s="225">
        <v>0</v>
      </c>
      <c r="AH104" s="225">
        <v>0</v>
      </c>
      <c r="AI104" s="225">
        <v>0</v>
      </c>
      <c r="AJ104" s="225">
        <v>0</v>
      </c>
      <c r="AK104" s="225">
        <v>5944</v>
      </c>
      <c r="AL104" s="225">
        <v>15128</v>
      </c>
      <c r="AM104" s="225">
        <v>0</v>
      </c>
      <c r="AN104" s="225">
        <v>0</v>
      </c>
      <c r="AO104" s="225">
        <v>44264</v>
      </c>
      <c r="AP104" s="225">
        <v>0</v>
      </c>
      <c r="AQ104" s="225">
        <v>0</v>
      </c>
      <c r="AR104" s="225">
        <v>0</v>
      </c>
      <c r="AS104" s="225">
        <v>0</v>
      </c>
      <c r="AT104" s="225">
        <v>0</v>
      </c>
      <c r="AU104" s="225">
        <v>0</v>
      </c>
      <c r="AV104" s="225">
        <v>0</v>
      </c>
      <c r="AW104" s="225">
        <v>0</v>
      </c>
      <c r="AX104" s="225">
        <v>0</v>
      </c>
      <c r="AY104" s="225">
        <v>0</v>
      </c>
      <c r="AZ104" s="225">
        <v>0</v>
      </c>
      <c r="BA104" s="225">
        <v>0</v>
      </c>
      <c r="BB104" s="225">
        <v>0</v>
      </c>
      <c r="BC104" s="225">
        <v>707</v>
      </c>
      <c r="BD104" s="225">
        <v>707</v>
      </c>
      <c r="BE104" s="225">
        <v>0</v>
      </c>
      <c r="BF104" s="225">
        <v>1117</v>
      </c>
      <c r="BG104" s="231">
        <v>70459</v>
      </c>
      <c r="BH104" s="226">
        <f>SUM(AE104:BG104)</f>
        <v>139079</v>
      </c>
      <c r="BI104" s="125">
        <f>AD104+BH104</f>
        <v>1759196</v>
      </c>
      <c r="BJ104" s="230">
        <v>41</v>
      </c>
      <c r="BK104" s="226">
        <f>BI104-BJ104</f>
        <v>1759155</v>
      </c>
      <c r="BM104" s="228">
        <f>BK104-AD104</f>
        <v>139038</v>
      </c>
    </row>
    <row r="105" spans="1:65" s="41" customFormat="1" ht="15.75">
      <c r="A105" s="136"/>
      <c r="B105" s="234" t="s">
        <v>321</v>
      </c>
      <c r="C105" s="342">
        <v>869241</v>
      </c>
      <c r="D105" s="342">
        <v>383943</v>
      </c>
      <c r="E105" s="342">
        <v>13239</v>
      </c>
      <c r="F105" s="342">
        <v>89732</v>
      </c>
      <c r="G105" s="342">
        <v>60411</v>
      </c>
      <c r="H105" s="342">
        <v>0</v>
      </c>
      <c r="I105" s="342">
        <v>0</v>
      </c>
      <c r="J105" s="342">
        <v>0</v>
      </c>
      <c r="K105" s="342">
        <v>0</v>
      </c>
      <c r="L105" s="342">
        <v>2273</v>
      </c>
      <c r="M105" s="342">
        <v>78889</v>
      </c>
      <c r="N105" s="342">
        <v>284</v>
      </c>
      <c r="O105" s="342">
        <v>7301</v>
      </c>
      <c r="P105" s="342">
        <v>98265</v>
      </c>
      <c r="Q105" s="342">
        <v>0</v>
      </c>
      <c r="R105" s="342">
        <v>3483</v>
      </c>
      <c r="S105" s="342">
        <v>0</v>
      </c>
      <c r="T105" s="342">
        <v>0</v>
      </c>
      <c r="U105" s="342">
        <v>0</v>
      </c>
      <c r="V105" s="342">
        <v>0</v>
      </c>
      <c r="W105" s="342">
        <v>0</v>
      </c>
      <c r="X105" s="342">
        <v>0</v>
      </c>
      <c r="Y105" s="342">
        <v>8868</v>
      </c>
      <c r="Z105" s="342">
        <v>2274</v>
      </c>
      <c r="AA105" s="342">
        <v>1914</v>
      </c>
      <c r="AB105" s="342">
        <v>0</v>
      </c>
      <c r="AC105" s="342">
        <v>0</v>
      </c>
      <c r="AD105" s="123">
        <f>SUM(C105:AC105)</f>
        <v>1620117</v>
      </c>
      <c r="AE105" s="342">
        <v>432</v>
      </c>
      <c r="AF105" s="342">
        <v>321</v>
      </c>
      <c r="AG105" s="342">
        <v>0</v>
      </c>
      <c r="AH105" s="342">
        <v>0</v>
      </c>
      <c r="AI105" s="342">
        <v>0</v>
      </c>
      <c r="AJ105" s="342">
        <v>0</v>
      </c>
      <c r="AK105" s="342">
        <v>5944</v>
      </c>
      <c r="AL105" s="342">
        <v>15128</v>
      </c>
      <c r="AM105" s="342">
        <v>0</v>
      </c>
      <c r="AN105" s="342">
        <v>0</v>
      </c>
      <c r="AO105" s="342">
        <v>44264</v>
      </c>
      <c r="AP105" s="342">
        <v>0</v>
      </c>
      <c r="AQ105" s="342">
        <v>0</v>
      </c>
      <c r="AR105" s="342">
        <v>0</v>
      </c>
      <c r="AS105" s="342">
        <v>0</v>
      </c>
      <c r="AT105" s="342">
        <v>0</v>
      </c>
      <c r="AU105" s="342">
        <v>0</v>
      </c>
      <c r="AV105" s="342">
        <v>0</v>
      </c>
      <c r="AW105" s="342">
        <v>0</v>
      </c>
      <c r="AX105" s="342">
        <v>0</v>
      </c>
      <c r="AY105" s="342">
        <v>0</v>
      </c>
      <c r="AZ105" s="342">
        <v>0</v>
      </c>
      <c r="BA105" s="342">
        <v>0</v>
      </c>
      <c r="BB105" s="342">
        <v>0</v>
      </c>
      <c r="BC105" s="342">
        <v>707</v>
      </c>
      <c r="BD105" s="342">
        <v>707</v>
      </c>
      <c r="BE105" s="342">
        <v>0</v>
      </c>
      <c r="BF105" s="342">
        <v>1117</v>
      </c>
      <c r="BG105" s="348">
        <v>70459</v>
      </c>
      <c r="BH105" s="123">
        <f>SUM(AE105:BG105)</f>
        <v>139079</v>
      </c>
      <c r="BI105" s="220">
        <f>AD105+BH105</f>
        <v>1759196</v>
      </c>
      <c r="BJ105" s="343">
        <v>41</v>
      </c>
      <c r="BK105" s="123">
        <f>BI105-BJ105</f>
        <v>1759155</v>
      </c>
      <c r="BL105" s="41">
        <f>'[1]Upto Month Current'!$K$61</f>
        <v>225057</v>
      </c>
      <c r="BM105" s="218">
        <f>BK105-AD105</f>
        <v>139038</v>
      </c>
    </row>
    <row r="106" spans="1:65" ht="15.75">
      <c r="A106" s="130"/>
      <c r="B106" s="12" t="s">
        <v>322</v>
      </c>
      <c r="C106" s="9">
        <f>IF('Upto Month COPPY'!$K$4="",0,'Upto Month COPPY'!$K$4)</f>
        <v>957971</v>
      </c>
      <c r="D106" s="9">
        <f>IF('Upto Month COPPY'!$K$5="",0,'Upto Month COPPY'!$K$5)</f>
        <v>299935</v>
      </c>
      <c r="E106" s="9">
        <f>IF('Upto Month COPPY'!$K$6="",0,'Upto Month COPPY'!$K$6)</f>
        <v>13197</v>
      </c>
      <c r="F106" s="9">
        <f>IF('Upto Month COPPY'!$K$7="",0,'Upto Month COPPY'!$K$7)</f>
        <v>88113</v>
      </c>
      <c r="G106" s="9">
        <f>IF('Upto Month COPPY'!$K$8="",0,'Upto Month COPPY'!$K$8)</f>
        <v>58805</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727</v>
      </c>
      <c r="M106" s="9">
        <f>IF('Upto Month COPPY'!$K$14="",0,'Upto Month COPPY'!$K$14)</f>
        <v>87843</v>
      </c>
      <c r="N106" s="9">
        <f>IF('Upto Month COPPY'!$K$15="",0,'Upto Month COPPY'!$K$15)</f>
        <v>127</v>
      </c>
      <c r="O106" s="9">
        <f>IF('Upto Month COPPY'!$K$16="",0,'Upto Month COPPY'!$K$16)</f>
        <v>8092</v>
      </c>
      <c r="P106" s="9">
        <f>IF('Upto Month COPPY'!$K$17="",0,'Upto Month COPPY'!$K$17)</f>
        <v>83902</v>
      </c>
      <c r="Q106" s="9">
        <f>IF('Upto Month COPPY'!$K$18="",0,'Upto Month COPPY'!$K$18)</f>
        <v>0</v>
      </c>
      <c r="R106" s="9">
        <f>IF('Upto Month COPPY'!$K$21="",0,'Upto Month COPPY'!$K$21)</f>
        <v>2195</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3151</v>
      </c>
      <c r="Z106" s="9">
        <f>IF('Upto Month COPPY'!$K$43="",0,'Upto Month COPPY'!$K$43)</f>
        <v>832</v>
      </c>
      <c r="AA106" s="9">
        <f>IF('Upto Month COPPY'!$K$44="",0,'Upto Month COPPY'!$K$44)</f>
        <v>667</v>
      </c>
      <c r="AB106" s="9">
        <f>IF('Upto Month COPPY'!$K$48="",0,'Upto Month COPPY'!$K$48)</f>
        <v>9</v>
      </c>
      <c r="AC106" s="10">
        <f>IF('Upto Month COPPY'!$K$51="",0,'Upto Month COPPY'!$K$51)</f>
        <v>0</v>
      </c>
      <c r="AD106" s="123">
        <f>SUM(C106:AC106)</f>
        <v>1605566</v>
      </c>
      <c r="AE106" s="9">
        <f>IF('Upto Month COPPY'!$K$19="",0,'Upto Month COPPY'!$K$19)</f>
        <v>177</v>
      </c>
      <c r="AF106" s="9">
        <f>IF('Upto Month COPPY'!$K$20="",0,'Upto Month COPPY'!$K$20)</f>
        <v>292</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5846</v>
      </c>
      <c r="AL106" s="9">
        <f>IF('Upto Month COPPY'!$K$29="",0,'Upto Month COPPY'!$K$29)</f>
        <v>9965</v>
      </c>
      <c r="AM106" s="9">
        <f>IF('Upto Month COPPY'!$K$31="",0,'Upto Month COPPY'!$K$31)</f>
        <v>0</v>
      </c>
      <c r="AN106" s="9">
        <f>IF('Upto Month COPPY'!$K$32="",0,'Upto Month COPPY'!$K$32)</f>
        <v>0</v>
      </c>
      <c r="AO106" s="9">
        <f>IF('Upto Month COPPY'!$K$33="",0,'Upto Month COPPY'!$K$33)</f>
        <v>71876</v>
      </c>
      <c r="AP106" s="9">
        <f>IF('Upto Month COPPY'!$K$34="",0,'Upto Month COPPY'!$K$34)</f>
        <v>0</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0</v>
      </c>
      <c r="AX106" s="9">
        <f>IF('Upto Month COPPY'!$K$46="",0,'Upto Month COPPY'!$K$46)</f>
        <v>0</v>
      </c>
      <c r="AY106" s="9">
        <f>IF('Upto Month COPPY'!$K$47="",0,'Upto Month COPPY'!$K$47)</f>
        <v>0</v>
      </c>
      <c r="AZ106" s="9">
        <f>IF('Upto Month COPPY'!$K$49="",0,'Upto Month COPPY'!$K$49)</f>
        <v>0</v>
      </c>
      <c r="BA106" s="9">
        <f>IF('Upto Month COPPY'!$K$50="",0,'Upto Month COPPY'!$K$50)</f>
        <v>0</v>
      </c>
      <c r="BB106" s="10">
        <f>IF('Upto Month COPPY'!$K$52="",0,'Upto Month COPPY'!$K$52)</f>
        <v>0</v>
      </c>
      <c r="BC106" s="9">
        <f>IF('Upto Month COPPY'!$K$53="",0,'Upto Month COPPY'!$K$53)</f>
        <v>1071</v>
      </c>
      <c r="BD106" s="9">
        <f>IF('Upto Month COPPY'!$K$54="",0,'Upto Month COPPY'!$K$54)</f>
        <v>1071</v>
      </c>
      <c r="BE106" s="9">
        <f>IF('Upto Month COPPY'!$K$55="",0,'Upto Month COPPY'!$K$55)</f>
        <v>0</v>
      </c>
      <c r="BF106" s="9">
        <f>IF('Upto Month COPPY'!$K$56="",0,'Upto Month COPPY'!$K$56)</f>
        <v>3469</v>
      </c>
      <c r="BG106" s="9">
        <f>IF('Upto Month COPPY'!$K$58="",0,'Upto Month COPPY'!$K$58)</f>
        <v>63757</v>
      </c>
      <c r="BH106" s="9">
        <f>SUM(AE106:BG106)</f>
        <v>157524</v>
      </c>
      <c r="BI106" s="127">
        <f>AD106+BH106</f>
        <v>1763090</v>
      </c>
      <c r="BJ106" s="9">
        <f>IF('Upto Month COPPY'!$K$60="",0,'Upto Month COPPY'!$K$60)</f>
        <v>0</v>
      </c>
      <c r="BK106" s="51">
        <f>BI106-BJ106</f>
        <v>1763090</v>
      </c>
      <c r="BL106">
        <f>'Upto Month COPPY'!$K$61</f>
        <v>1763089</v>
      </c>
      <c r="BM106" s="30">
        <f>BK106-AD106</f>
        <v>157524</v>
      </c>
    </row>
    <row r="107" spans="1:65" ht="16.5" customHeight="1">
      <c r="A107" s="130"/>
      <c r="B107" s="183" t="s">
        <v>323</v>
      </c>
      <c r="C107" s="9">
        <f>IF('Upto Month Current'!$K$4="",0,'Upto Month Current'!$K$4)</f>
        <v>868322</v>
      </c>
      <c r="D107" s="9">
        <f>IF('Upto Month Current'!$K$5="",0,'Upto Month Current'!$K$5)</f>
        <v>383536</v>
      </c>
      <c r="E107" s="9">
        <f>IF('Upto Month Current'!$K$6="",0,'Upto Month Current'!$K$6)</f>
        <v>13217</v>
      </c>
      <c r="F107" s="9">
        <f>IF('Upto Month Current'!$K$7="",0,'Upto Month Current'!$K$7)</f>
        <v>89632</v>
      </c>
      <c r="G107" s="9">
        <f>IF('Upto Month Current'!$K$8="",0,'Upto Month Current'!$K$8)</f>
        <v>60340</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2270</v>
      </c>
      <c r="M107" s="9">
        <f>IF('Upto Month Current'!$K$14="",0,'Upto Month Current'!$K$14)</f>
        <v>78800</v>
      </c>
      <c r="N107" s="9">
        <f>IF('Upto Month Current'!$K$15="",0,'Upto Month Current'!$K$15)</f>
        <v>282</v>
      </c>
      <c r="O107" s="9">
        <f>IF('Upto Month Current'!$K$16="",0,'Upto Month Current'!$K$16)</f>
        <v>7292</v>
      </c>
      <c r="P107" s="9">
        <f>IF('Upto Month Current'!$K$17="",0,'Upto Month Current'!$K$17)</f>
        <v>98160</v>
      </c>
      <c r="Q107" s="9">
        <f>IF('Upto Month Current'!$K$18="",0,'Upto Month Current'!$K$18)</f>
        <v>0</v>
      </c>
      <c r="R107" s="9">
        <f>IF('Upto Month Current'!$K$21="",0,'Upto Month Current'!$K$21)</f>
        <v>3476</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8855</v>
      </c>
      <c r="Z107" s="9">
        <f>IF('Upto Month Current'!$K$43="",0,'Upto Month Current'!$K$43)</f>
        <v>2270</v>
      </c>
      <c r="AA107" s="9">
        <f>IF('Upto Month Current'!$K$44="",0,'Upto Month Current'!$K$44)</f>
        <v>1911</v>
      </c>
      <c r="AB107" s="9">
        <f>IF('Upto Month Current'!$K$48="",0,'Upto Month Current'!$K$48)</f>
        <v>0</v>
      </c>
      <c r="AC107" s="10">
        <f>IF('Upto Month Current'!$K$51="",0,'Upto Month Current'!$K$51)</f>
        <v>0</v>
      </c>
      <c r="AD107" s="123">
        <f>SUM(C107:AC107)</f>
        <v>1618363</v>
      </c>
      <c r="AE107" s="9">
        <f>IF('Upto Month Current'!$K$19="",0,'Upto Month Current'!$K$19)</f>
        <v>432</v>
      </c>
      <c r="AF107" s="9">
        <f>IF('Upto Month Current'!$K$20="",0,'Upto Month Current'!$K$20)</f>
        <v>319</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5936</v>
      </c>
      <c r="AL107" s="9">
        <f>IF('Upto Month Current'!$K$29="",0,'Upto Month Current'!$K$29)</f>
        <v>15113</v>
      </c>
      <c r="AM107" s="9">
        <f>IF('Upto Month Current'!$K$31="",0,'Upto Month Current'!$K$31)</f>
        <v>0</v>
      </c>
      <c r="AN107" s="9">
        <f>IF('Upto Month Current'!$K$32="",0,'Upto Month Current'!$K$32)</f>
        <v>0</v>
      </c>
      <c r="AO107" s="9">
        <f>IF('Upto Month Current'!$K$33="",0,'Upto Month Current'!$K$33)</f>
        <v>44213</v>
      </c>
      <c r="AP107" s="9">
        <f>IF('Upto Month Current'!$K$34="",0,'Upto Month Current'!$K$34)</f>
        <v>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0</v>
      </c>
      <c r="AX107" s="9">
        <f>IF('Upto Month Current'!$K$46="",0,'Upto Month Current'!$K$46)</f>
        <v>0</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708</v>
      </c>
      <c r="BD107" s="9">
        <f>IF('Upto Month Current'!$K$54="",0,'Upto Month Current'!$K$54)</f>
        <v>708</v>
      </c>
      <c r="BE107" s="9">
        <f>IF('Upto Month Current'!$K$55="",0,'Upto Month Current'!$K$55)</f>
        <v>0</v>
      </c>
      <c r="BF107" s="9">
        <f>IF('Upto Month Current'!$K$56="",0,'Upto Month Current'!$K$56)</f>
        <v>1116</v>
      </c>
      <c r="BG107" s="9">
        <f>IF('Upto Month Current'!$K$58="",0,'Upto Month Current'!$K$58)</f>
        <v>70374</v>
      </c>
      <c r="BH107" s="9">
        <f>SUM(AE107:BG107)</f>
        <v>138919</v>
      </c>
      <c r="BI107" s="127">
        <f>AD107+BH107</f>
        <v>1757282</v>
      </c>
      <c r="BJ107" s="9">
        <f>IF('Upto Month Current'!$K$60="",0,'Upto Month Current'!$K$60)</f>
        <v>41</v>
      </c>
      <c r="BK107" s="51">
        <f>BI107-BJ107</f>
        <v>1757241</v>
      </c>
      <c r="BL107">
        <f>'Upto Month Current'!$K$61</f>
        <v>1757242</v>
      </c>
      <c r="BM107" s="30">
        <f>BK107-AD107</f>
        <v>138878</v>
      </c>
    </row>
    <row r="108" spans="1:65" ht="15.75">
      <c r="A108" s="130"/>
      <c r="B108" s="5" t="s">
        <v>124</v>
      </c>
      <c r="C108" s="11">
        <f t="shared" ref="C108:AH108" si="79">C107-C105</f>
        <v>-919</v>
      </c>
      <c r="D108" s="11">
        <f t="shared" si="79"/>
        <v>-407</v>
      </c>
      <c r="E108" s="11">
        <f t="shared" si="79"/>
        <v>-22</v>
      </c>
      <c r="F108" s="11">
        <f t="shared" si="79"/>
        <v>-100</v>
      </c>
      <c r="G108" s="11">
        <f t="shared" si="79"/>
        <v>-71</v>
      </c>
      <c r="H108" s="11">
        <f t="shared" si="79"/>
        <v>0</v>
      </c>
      <c r="I108" s="11">
        <f t="shared" si="79"/>
        <v>0</v>
      </c>
      <c r="J108" s="11">
        <f t="shared" si="79"/>
        <v>0</v>
      </c>
      <c r="K108" s="11">
        <f t="shared" si="79"/>
        <v>0</v>
      </c>
      <c r="L108" s="11">
        <f t="shared" si="79"/>
        <v>-3</v>
      </c>
      <c r="M108" s="11">
        <f t="shared" si="79"/>
        <v>-89</v>
      </c>
      <c r="N108" s="11">
        <f t="shared" si="79"/>
        <v>-2</v>
      </c>
      <c r="O108" s="11">
        <f t="shared" si="79"/>
        <v>-9</v>
      </c>
      <c r="P108" s="11">
        <f t="shared" si="79"/>
        <v>-105</v>
      </c>
      <c r="Q108" s="11">
        <f t="shared" si="79"/>
        <v>0</v>
      </c>
      <c r="R108" s="11">
        <f t="shared" si="79"/>
        <v>-7</v>
      </c>
      <c r="S108" s="11">
        <f t="shared" si="79"/>
        <v>0</v>
      </c>
      <c r="T108" s="11">
        <f t="shared" si="79"/>
        <v>0</v>
      </c>
      <c r="U108" s="11">
        <f t="shared" si="79"/>
        <v>0</v>
      </c>
      <c r="V108" s="9">
        <f t="shared" si="79"/>
        <v>0</v>
      </c>
      <c r="W108" s="11">
        <f t="shared" si="79"/>
        <v>0</v>
      </c>
      <c r="X108" s="11">
        <f t="shared" si="79"/>
        <v>0</v>
      </c>
      <c r="Y108" s="11">
        <f t="shared" si="79"/>
        <v>-13</v>
      </c>
      <c r="Z108" s="11">
        <f t="shared" si="79"/>
        <v>-4</v>
      </c>
      <c r="AA108" s="11">
        <f t="shared" si="79"/>
        <v>-3</v>
      </c>
      <c r="AB108" s="11">
        <f t="shared" si="79"/>
        <v>0</v>
      </c>
      <c r="AC108" s="10">
        <f t="shared" si="79"/>
        <v>0</v>
      </c>
      <c r="AD108" s="11">
        <f t="shared" si="79"/>
        <v>-1754</v>
      </c>
      <c r="AE108" s="11">
        <f t="shared" si="79"/>
        <v>0</v>
      </c>
      <c r="AF108" s="11">
        <f t="shared" si="79"/>
        <v>-2</v>
      </c>
      <c r="AG108" s="11">
        <f t="shared" si="79"/>
        <v>0</v>
      </c>
      <c r="AH108" s="11">
        <f t="shared" si="79"/>
        <v>0</v>
      </c>
      <c r="AI108" s="11">
        <f t="shared" ref="AI108:BK108" si="80">AI107-AI105</f>
        <v>0</v>
      </c>
      <c r="AJ108" s="11">
        <f t="shared" si="80"/>
        <v>0</v>
      </c>
      <c r="AK108" s="11">
        <f t="shared" si="80"/>
        <v>-8</v>
      </c>
      <c r="AL108" s="11">
        <f t="shared" si="80"/>
        <v>-15</v>
      </c>
      <c r="AM108" s="11">
        <f t="shared" si="80"/>
        <v>0</v>
      </c>
      <c r="AN108" s="11">
        <f t="shared" si="80"/>
        <v>0</v>
      </c>
      <c r="AO108" s="9">
        <f t="shared" si="80"/>
        <v>-51</v>
      </c>
      <c r="AP108" s="11">
        <f t="shared" si="80"/>
        <v>0</v>
      </c>
      <c r="AQ108" s="10">
        <f t="shared" si="80"/>
        <v>0</v>
      </c>
      <c r="AR108" s="11">
        <f t="shared" si="80"/>
        <v>0</v>
      </c>
      <c r="AS108" s="11">
        <f t="shared" si="80"/>
        <v>0</v>
      </c>
      <c r="AT108" s="11">
        <f t="shared" si="80"/>
        <v>0</v>
      </c>
      <c r="AU108" s="11">
        <f t="shared" si="80"/>
        <v>0</v>
      </c>
      <c r="AV108" s="11">
        <f t="shared" si="80"/>
        <v>0</v>
      </c>
      <c r="AW108" s="11">
        <f t="shared" si="80"/>
        <v>0</v>
      </c>
      <c r="AX108" s="11">
        <f t="shared" si="80"/>
        <v>0</v>
      </c>
      <c r="AY108" s="11">
        <f t="shared" si="80"/>
        <v>0</v>
      </c>
      <c r="AZ108" s="11">
        <f t="shared" si="80"/>
        <v>0</v>
      </c>
      <c r="BA108" s="11">
        <f t="shared" si="80"/>
        <v>0</v>
      </c>
      <c r="BB108" s="10">
        <f t="shared" si="80"/>
        <v>0</v>
      </c>
      <c r="BC108" s="11">
        <f t="shared" si="80"/>
        <v>1</v>
      </c>
      <c r="BD108" s="11">
        <f t="shared" si="80"/>
        <v>1</v>
      </c>
      <c r="BE108" s="11">
        <f t="shared" si="80"/>
        <v>0</v>
      </c>
      <c r="BF108" s="11">
        <f t="shared" si="80"/>
        <v>-1</v>
      </c>
      <c r="BG108" s="11">
        <f t="shared" si="80"/>
        <v>-85</v>
      </c>
      <c r="BH108" s="9">
        <f t="shared" si="80"/>
        <v>-160</v>
      </c>
      <c r="BI108" s="45">
        <f t="shared" si="80"/>
        <v>-1914</v>
      </c>
      <c r="BJ108" s="11">
        <f t="shared" si="80"/>
        <v>0</v>
      </c>
      <c r="BK108" s="51">
        <f t="shared" si="80"/>
        <v>-1914</v>
      </c>
      <c r="BM108" s="30">
        <f>BK108-AD108</f>
        <v>-160</v>
      </c>
    </row>
    <row r="109" spans="1:65" ht="15.75">
      <c r="A109" s="130"/>
      <c r="B109" s="5" t="s">
        <v>125</v>
      </c>
      <c r="C109" s="13">
        <f t="shared" ref="C109:AH109" si="81">C108/C105</f>
        <v>-1.0572441934975456E-3</v>
      </c>
      <c r="D109" s="13">
        <f t="shared" si="81"/>
        <v>-1.0600531849779785E-3</v>
      </c>
      <c r="E109" s="13">
        <f t="shared" si="81"/>
        <v>-1.6617569302817433E-3</v>
      </c>
      <c r="F109" s="13">
        <f t="shared" si="81"/>
        <v>-1.1144296349128516E-3</v>
      </c>
      <c r="G109" s="13">
        <f t="shared" si="81"/>
        <v>-1.1752826472000133E-3</v>
      </c>
      <c r="H109" s="13" t="e">
        <f t="shared" si="81"/>
        <v>#DIV/0!</v>
      </c>
      <c r="I109" s="13" t="e">
        <f t="shared" si="81"/>
        <v>#DIV/0!</v>
      </c>
      <c r="J109" s="13" t="e">
        <f t="shared" si="81"/>
        <v>#DIV/0!</v>
      </c>
      <c r="K109" s="13" t="e">
        <f t="shared" si="81"/>
        <v>#DIV/0!</v>
      </c>
      <c r="L109" s="13">
        <f t="shared" si="81"/>
        <v>-1.3198416190057193E-3</v>
      </c>
      <c r="M109" s="13">
        <f t="shared" si="81"/>
        <v>-1.1281674251163026E-3</v>
      </c>
      <c r="N109" s="13">
        <f t="shared" si="81"/>
        <v>-7.0422535211267607E-3</v>
      </c>
      <c r="O109" s="13">
        <f t="shared" si="81"/>
        <v>-1.2327078482399672E-3</v>
      </c>
      <c r="P109" s="13">
        <f t="shared" si="81"/>
        <v>-1.0685391543275836E-3</v>
      </c>
      <c r="Q109" s="13" t="e">
        <f t="shared" si="81"/>
        <v>#DIV/0!</v>
      </c>
      <c r="R109" s="13">
        <f t="shared" si="81"/>
        <v>-2.0097616996841805E-3</v>
      </c>
      <c r="S109" s="13" t="e">
        <f t="shared" si="81"/>
        <v>#DIV/0!</v>
      </c>
      <c r="T109" s="13" t="e">
        <f t="shared" si="81"/>
        <v>#DIV/0!</v>
      </c>
      <c r="U109" s="13" t="e">
        <f t="shared" si="81"/>
        <v>#DIV/0!</v>
      </c>
      <c r="V109" s="163" t="e">
        <f t="shared" si="81"/>
        <v>#DIV/0!</v>
      </c>
      <c r="W109" s="13" t="e">
        <f t="shared" si="81"/>
        <v>#DIV/0!</v>
      </c>
      <c r="X109" s="13" t="e">
        <f t="shared" si="81"/>
        <v>#DIV/0!</v>
      </c>
      <c r="Y109" s="13">
        <f t="shared" si="81"/>
        <v>-1.4659449706811007E-3</v>
      </c>
      <c r="Z109" s="13">
        <f t="shared" si="81"/>
        <v>-1.7590149516270889E-3</v>
      </c>
      <c r="AA109" s="13">
        <f t="shared" si="81"/>
        <v>-1.567398119122257E-3</v>
      </c>
      <c r="AB109" s="13" t="e">
        <f t="shared" si="81"/>
        <v>#DIV/0!</v>
      </c>
      <c r="AC109" s="14" t="e">
        <f t="shared" si="81"/>
        <v>#DIV/0!</v>
      </c>
      <c r="AD109" s="13">
        <f t="shared" si="81"/>
        <v>-1.0826378588706866E-3</v>
      </c>
      <c r="AE109" s="13">
        <f t="shared" si="81"/>
        <v>0</v>
      </c>
      <c r="AF109" s="13">
        <f t="shared" si="81"/>
        <v>-6.2305295950155761E-3</v>
      </c>
      <c r="AG109" s="13" t="e">
        <f t="shared" si="81"/>
        <v>#DIV/0!</v>
      </c>
      <c r="AH109" s="13" t="e">
        <f t="shared" si="81"/>
        <v>#DIV/0!</v>
      </c>
      <c r="AI109" s="13" t="e">
        <f t="shared" ref="AI109:BK109" si="82">AI108/AI105</f>
        <v>#DIV/0!</v>
      </c>
      <c r="AJ109" s="13" t="e">
        <f t="shared" si="82"/>
        <v>#DIV/0!</v>
      </c>
      <c r="AK109" s="13">
        <f t="shared" si="82"/>
        <v>-1.3458950201884253E-3</v>
      </c>
      <c r="AL109" s="13">
        <f t="shared" si="82"/>
        <v>-9.9153886832363839E-4</v>
      </c>
      <c r="AM109" s="13" t="e">
        <f t="shared" si="82"/>
        <v>#DIV/0!</v>
      </c>
      <c r="AN109" s="13" t="e">
        <f t="shared" si="82"/>
        <v>#DIV/0!</v>
      </c>
      <c r="AO109" s="163">
        <f t="shared" si="82"/>
        <v>-1.152177842038677E-3</v>
      </c>
      <c r="AP109" s="13" t="e">
        <f t="shared" si="82"/>
        <v>#DIV/0!</v>
      </c>
      <c r="AQ109" s="14" t="e">
        <f t="shared" si="82"/>
        <v>#DIV/0!</v>
      </c>
      <c r="AR109" s="13" t="e">
        <f t="shared" si="82"/>
        <v>#DIV/0!</v>
      </c>
      <c r="AS109" s="13" t="e">
        <f t="shared" si="82"/>
        <v>#DIV/0!</v>
      </c>
      <c r="AT109" s="13" t="e">
        <f t="shared" si="82"/>
        <v>#DIV/0!</v>
      </c>
      <c r="AU109" s="13" t="e">
        <f t="shared" si="82"/>
        <v>#DIV/0!</v>
      </c>
      <c r="AV109" s="13" t="e">
        <f t="shared" si="82"/>
        <v>#DIV/0!</v>
      </c>
      <c r="AW109" s="13" t="e">
        <f t="shared" si="82"/>
        <v>#DIV/0!</v>
      </c>
      <c r="AX109" s="13" t="e">
        <f t="shared" si="82"/>
        <v>#DIV/0!</v>
      </c>
      <c r="AY109" s="13" t="e">
        <f t="shared" si="82"/>
        <v>#DIV/0!</v>
      </c>
      <c r="AZ109" s="13" t="e">
        <f t="shared" si="82"/>
        <v>#DIV/0!</v>
      </c>
      <c r="BA109" s="13" t="e">
        <f t="shared" si="82"/>
        <v>#DIV/0!</v>
      </c>
      <c r="BB109" s="14" t="e">
        <f t="shared" si="82"/>
        <v>#DIV/0!</v>
      </c>
      <c r="BC109" s="13">
        <f t="shared" si="82"/>
        <v>1.4144271570014145E-3</v>
      </c>
      <c r="BD109" s="13">
        <f t="shared" si="82"/>
        <v>1.4144271570014145E-3</v>
      </c>
      <c r="BE109" s="13" t="e">
        <f t="shared" si="82"/>
        <v>#DIV/0!</v>
      </c>
      <c r="BF109" s="13">
        <f t="shared" si="82"/>
        <v>-8.9525514771709937E-4</v>
      </c>
      <c r="BG109" s="13">
        <f t="shared" si="82"/>
        <v>-1.2063753388495437E-3</v>
      </c>
      <c r="BH109" s="163">
        <f t="shared" si="82"/>
        <v>-1.1504252978522997E-3</v>
      </c>
      <c r="BI109" s="46">
        <f t="shared" si="82"/>
        <v>-1.0879970168190469E-3</v>
      </c>
      <c r="BJ109" s="13">
        <f t="shared" si="82"/>
        <v>0</v>
      </c>
      <c r="BK109" s="52">
        <f t="shared" si="82"/>
        <v>-1.0880223743786079E-3</v>
      </c>
      <c r="BM109" s="163">
        <f>BM108/BM105</f>
        <v>-1.1507645391907249E-3</v>
      </c>
    </row>
    <row r="110" spans="1:65" ht="15.75">
      <c r="A110" s="130"/>
      <c r="B110" s="5" t="s">
        <v>126</v>
      </c>
      <c r="C110" s="11">
        <f>C107-C106</f>
        <v>-89649</v>
      </c>
      <c r="D110" s="11">
        <f t="shared" ref="D110:BK110" si="83">D107-D106</f>
        <v>83601</v>
      </c>
      <c r="E110" s="11">
        <f t="shared" si="83"/>
        <v>20</v>
      </c>
      <c r="F110" s="11">
        <f t="shared" si="83"/>
        <v>1519</v>
      </c>
      <c r="G110" s="11">
        <f t="shared" si="83"/>
        <v>1535</v>
      </c>
      <c r="H110" s="11">
        <f t="shared" si="83"/>
        <v>0</v>
      </c>
      <c r="I110" s="11">
        <f t="shared" si="83"/>
        <v>0</v>
      </c>
      <c r="J110" s="11">
        <f t="shared" si="83"/>
        <v>0</v>
      </c>
      <c r="K110" s="11">
        <f t="shared" si="83"/>
        <v>0</v>
      </c>
      <c r="L110" s="11">
        <f t="shared" si="83"/>
        <v>1543</v>
      </c>
      <c r="M110" s="11">
        <f t="shared" si="83"/>
        <v>-9043</v>
      </c>
      <c r="N110" s="11">
        <f t="shared" si="83"/>
        <v>155</v>
      </c>
      <c r="O110" s="11">
        <f t="shared" si="83"/>
        <v>-800</v>
      </c>
      <c r="P110" s="11">
        <f t="shared" si="83"/>
        <v>14258</v>
      </c>
      <c r="Q110" s="11">
        <f t="shared" si="83"/>
        <v>0</v>
      </c>
      <c r="R110" s="11">
        <f t="shared" si="83"/>
        <v>1281</v>
      </c>
      <c r="S110" s="11">
        <f t="shared" si="83"/>
        <v>0</v>
      </c>
      <c r="T110" s="11">
        <f t="shared" si="83"/>
        <v>0</v>
      </c>
      <c r="U110" s="11">
        <f>U107-U106</f>
        <v>0</v>
      </c>
      <c r="V110" s="9">
        <f t="shared" si="83"/>
        <v>0</v>
      </c>
      <c r="W110" s="11">
        <f t="shared" si="83"/>
        <v>0</v>
      </c>
      <c r="X110" s="11">
        <f t="shared" si="83"/>
        <v>0</v>
      </c>
      <c r="Y110" s="11">
        <f t="shared" si="83"/>
        <v>5704</v>
      </c>
      <c r="Z110" s="11">
        <f t="shared" si="83"/>
        <v>1438</v>
      </c>
      <c r="AA110" s="11">
        <f t="shared" si="83"/>
        <v>1244</v>
      </c>
      <c r="AB110" s="11">
        <f>AB107-AB106</f>
        <v>-9</v>
      </c>
      <c r="AC110" s="10">
        <f>AC107-AC106</f>
        <v>0</v>
      </c>
      <c r="AD110" s="11">
        <f>AD107-AD106</f>
        <v>12797</v>
      </c>
      <c r="AE110" s="11">
        <f t="shared" si="83"/>
        <v>255</v>
      </c>
      <c r="AF110" s="11">
        <f t="shared" si="83"/>
        <v>27</v>
      </c>
      <c r="AG110" s="11">
        <f t="shared" si="83"/>
        <v>0</v>
      </c>
      <c r="AH110" s="11">
        <f t="shared" si="83"/>
        <v>0</v>
      </c>
      <c r="AI110" s="11">
        <f t="shared" si="83"/>
        <v>0</v>
      </c>
      <c r="AJ110" s="11">
        <f t="shared" si="83"/>
        <v>0</v>
      </c>
      <c r="AK110" s="11">
        <f t="shared" si="83"/>
        <v>90</v>
      </c>
      <c r="AL110" s="11">
        <f t="shared" si="83"/>
        <v>5148</v>
      </c>
      <c r="AM110" s="11">
        <f t="shared" si="83"/>
        <v>0</v>
      </c>
      <c r="AN110" s="11">
        <f t="shared" si="83"/>
        <v>0</v>
      </c>
      <c r="AO110" s="9">
        <f t="shared" si="83"/>
        <v>-27663</v>
      </c>
      <c r="AP110" s="11">
        <f t="shared" si="83"/>
        <v>0</v>
      </c>
      <c r="AQ110" s="10">
        <f t="shared" si="83"/>
        <v>0</v>
      </c>
      <c r="AR110" s="11">
        <f t="shared" si="83"/>
        <v>0</v>
      </c>
      <c r="AS110" s="11">
        <f t="shared" si="83"/>
        <v>0</v>
      </c>
      <c r="AT110" s="11">
        <f t="shared" si="83"/>
        <v>0</v>
      </c>
      <c r="AU110" s="11">
        <f t="shared" si="83"/>
        <v>0</v>
      </c>
      <c r="AV110" s="11">
        <f t="shared" si="83"/>
        <v>0</v>
      </c>
      <c r="AW110" s="11">
        <f t="shared" si="83"/>
        <v>0</v>
      </c>
      <c r="AX110" s="11">
        <f t="shared" si="83"/>
        <v>0</v>
      </c>
      <c r="AY110" s="11">
        <f t="shared" si="83"/>
        <v>0</v>
      </c>
      <c r="AZ110" s="11">
        <f t="shared" si="83"/>
        <v>0</v>
      </c>
      <c r="BA110" s="11">
        <f t="shared" si="83"/>
        <v>0</v>
      </c>
      <c r="BB110" s="10">
        <f t="shared" si="83"/>
        <v>0</v>
      </c>
      <c r="BC110" s="11">
        <f t="shared" si="83"/>
        <v>-363</v>
      </c>
      <c r="BD110" s="11">
        <f t="shared" si="83"/>
        <v>-363</v>
      </c>
      <c r="BE110" s="11">
        <f t="shared" si="83"/>
        <v>0</v>
      </c>
      <c r="BF110" s="11">
        <f t="shared" si="83"/>
        <v>-2353</v>
      </c>
      <c r="BG110" s="11">
        <f t="shared" si="83"/>
        <v>6617</v>
      </c>
      <c r="BH110" s="9">
        <f t="shared" si="83"/>
        <v>-18605</v>
      </c>
      <c r="BI110" s="45">
        <f t="shared" si="83"/>
        <v>-5808</v>
      </c>
      <c r="BJ110" s="11">
        <f t="shared" si="83"/>
        <v>41</v>
      </c>
      <c r="BK110" s="51">
        <f t="shared" si="83"/>
        <v>-5849</v>
      </c>
      <c r="BM110" s="30">
        <f>BK110-AD110</f>
        <v>-18646</v>
      </c>
    </row>
    <row r="111" spans="1:65" ht="15.75">
      <c r="A111" s="130"/>
      <c r="B111" s="5" t="s">
        <v>127</v>
      </c>
      <c r="C111" s="13">
        <f t="shared" ref="C111:AH111" si="84">C110/C106</f>
        <v>-9.3582164804571322E-2</v>
      </c>
      <c r="D111" s="13">
        <f t="shared" si="84"/>
        <v>0.27873039158484336</v>
      </c>
      <c r="E111" s="13">
        <f t="shared" si="84"/>
        <v>1.5154959460483442E-3</v>
      </c>
      <c r="F111" s="13">
        <f t="shared" si="84"/>
        <v>1.7239226901819255E-2</v>
      </c>
      <c r="G111" s="13">
        <f t="shared" si="84"/>
        <v>2.6103222515092252E-2</v>
      </c>
      <c r="H111" s="13" t="e">
        <f t="shared" si="84"/>
        <v>#DIV/0!</v>
      </c>
      <c r="I111" s="13" t="e">
        <f t="shared" si="84"/>
        <v>#DIV/0!</v>
      </c>
      <c r="J111" s="13" t="e">
        <f t="shared" si="84"/>
        <v>#DIV/0!</v>
      </c>
      <c r="K111" s="13" t="e">
        <f t="shared" si="84"/>
        <v>#DIV/0!</v>
      </c>
      <c r="L111" s="13">
        <f t="shared" si="84"/>
        <v>2.1224209078404401</v>
      </c>
      <c r="M111" s="13">
        <f t="shared" si="84"/>
        <v>-0.10294502692303314</v>
      </c>
      <c r="N111" s="13">
        <f t="shared" si="84"/>
        <v>1.2204724409448819</v>
      </c>
      <c r="O111" s="13">
        <f t="shared" si="84"/>
        <v>-9.8863074641621349E-2</v>
      </c>
      <c r="P111" s="13">
        <f t="shared" si="84"/>
        <v>0.16993635431813306</v>
      </c>
      <c r="Q111" s="13" t="e">
        <f t="shared" si="84"/>
        <v>#DIV/0!</v>
      </c>
      <c r="R111" s="13">
        <f t="shared" si="84"/>
        <v>0.58359908883826883</v>
      </c>
      <c r="S111" s="13" t="e">
        <f t="shared" si="84"/>
        <v>#DIV/0!</v>
      </c>
      <c r="T111" s="13" t="e">
        <f t="shared" si="84"/>
        <v>#DIV/0!</v>
      </c>
      <c r="U111" s="13" t="e">
        <f t="shared" si="84"/>
        <v>#DIV/0!</v>
      </c>
      <c r="V111" s="163" t="e">
        <f t="shared" si="84"/>
        <v>#DIV/0!</v>
      </c>
      <c r="W111" s="13" t="e">
        <f t="shared" si="84"/>
        <v>#DIV/0!</v>
      </c>
      <c r="X111" s="13" t="e">
        <f t="shared" si="84"/>
        <v>#DIV/0!</v>
      </c>
      <c r="Y111" s="13">
        <f t="shared" si="84"/>
        <v>1.8102189781021898</v>
      </c>
      <c r="Z111" s="13">
        <f t="shared" si="84"/>
        <v>1.7283653846153846</v>
      </c>
      <c r="AA111" s="13">
        <f t="shared" si="84"/>
        <v>1.8650674662668665</v>
      </c>
      <c r="AB111" s="13">
        <f t="shared" si="84"/>
        <v>-1</v>
      </c>
      <c r="AC111" s="14" t="e">
        <f t="shared" si="84"/>
        <v>#DIV/0!</v>
      </c>
      <c r="AD111" s="13">
        <f t="shared" si="84"/>
        <v>7.9703979780339149E-3</v>
      </c>
      <c r="AE111" s="13">
        <f t="shared" si="84"/>
        <v>1.4406779661016949</v>
      </c>
      <c r="AF111" s="13">
        <f t="shared" si="84"/>
        <v>9.2465753424657529E-2</v>
      </c>
      <c r="AG111" s="13" t="e">
        <f t="shared" si="84"/>
        <v>#DIV/0!</v>
      </c>
      <c r="AH111" s="13" t="e">
        <f t="shared" si="84"/>
        <v>#DIV/0!</v>
      </c>
      <c r="AI111" s="13" t="e">
        <f t="shared" ref="AI111:BK111" si="85">AI110/AI106</f>
        <v>#DIV/0!</v>
      </c>
      <c r="AJ111" s="13" t="e">
        <f t="shared" si="85"/>
        <v>#DIV/0!</v>
      </c>
      <c r="AK111" s="13">
        <f t="shared" si="85"/>
        <v>1.5395141977420458E-2</v>
      </c>
      <c r="AL111" s="13">
        <f t="shared" si="85"/>
        <v>0.51660812844957349</v>
      </c>
      <c r="AM111" s="13" t="e">
        <f t="shared" si="85"/>
        <v>#DIV/0!</v>
      </c>
      <c r="AN111" s="13" t="e">
        <f t="shared" si="85"/>
        <v>#DIV/0!</v>
      </c>
      <c r="AO111" s="163">
        <f t="shared" si="85"/>
        <v>-0.3848711670098503</v>
      </c>
      <c r="AP111" s="13" t="e">
        <f t="shared" si="85"/>
        <v>#DIV/0!</v>
      </c>
      <c r="AQ111" s="14" t="e">
        <f t="shared" si="85"/>
        <v>#DIV/0!</v>
      </c>
      <c r="AR111" s="13" t="e">
        <f t="shared" si="85"/>
        <v>#DIV/0!</v>
      </c>
      <c r="AS111" s="13" t="e">
        <f t="shared" si="85"/>
        <v>#DIV/0!</v>
      </c>
      <c r="AT111" s="13" t="e">
        <f t="shared" si="85"/>
        <v>#DIV/0!</v>
      </c>
      <c r="AU111" s="13" t="e">
        <f t="shared" si="85"/>
        <v>#DIV/0!</v>
      </c>
      <c r="AV111" s="13" t="e">
        <f t="shared" si="85"/>
        <v>#DIV/0!</v>
      </c>
      <c r="AW111" s="13" t="e">
        <f t="shared" si="85"/>
        <v>#DIV/0!</v>
      </c>
      <c r="AX111" s="13" t="e">
        <f t="shared" si="85"/>
        <v>#DIV/0!</v>
      </c>
      <c r="AY111" s="13" t="e">
        <f t="shared" si="85"/>
        <v>#DIV/0!</v>
      </c>
      <c r="AZ111" s="13" t="e">
        <f t="shared" si="85"/>
        <v>#DIV/0!</v>
      </c>
      <c r="BA111" s="13" t="e">
        <f t="shared" si="85"/>
        <v>#DIV/0!</v>
      </c>
      <c r="BB111" s="14" t="e">
        <f t="shared" si="85"/>
        <v>#DIV/0!</v>
      </c>
      <c r="BC111" s="13">
        <f t="shared" si="85"/>
        <v>-0.33893557422969189</v>
      </c>
      <c r="BD111" s="13">
        <f t="shared" si="85"/>
        <v>-0.33893557422969189</v>
      </c>
      <c r="BE111" s="13" t="e">
        <f t="shared" si="85"/>
        <v>#DIV/0!</v>
      </c>
      <c r="BF111" s="13">
        <f t="shared" si="85"/>
        <v>-0.67829345632747184</v>
      </c>
      <c r="BG111" s="13">
        <f t="shared" si="85"/>
        <v>0.10378468246623899</v>
      </c>
      <c r="BH111" s="163">
        <f t="shared" si="85"/>
        <v>-0.11810898656712628</v>
      </c>
      <c r="BI111" s="46">
        <f t="shared" si="85"/>
        <v>-3.2942164041540704E-3</v>
      </c>
      <c r="BJ111" s="13" t="e">
        <f t="shared" si="85"/>
        <v>#DIV/0!</v>
      </c>
      <c r="BK111" s="52">
        <f t="shared" si="85"/>
        <v>-3.3174710309740287E-3</v>
      </c>
      <c r="BM111" s="14">
        <f>BM110/BM106</f>
        <v>-0.11836926436606485</v>
      </c>
    </row>
    <row r="112" spans="1:65" ht="15.75">
      <c r="A112" s="130"/>
      <c r="B112" s="5" t="s">
        <v>328</v>
      </c>
      <c r="C112" s="128">
        <f>C107/C104</f>
        <v>0.99894275580650249</v>
      </c>
      <c r="D112" s="128">
        <f t="shared" ref="D112:BK112" si="86">D107/D104</f>
        <v>0.99893994681502207</v>
      </c>
      <c r="E112" s="128">
        <f t="shared" si="86"/>
        <v>0.9983382430697183</v>
      </c>
      <c r="F112" s="128">
        <f t="shared" si="86"/>
        <v>0.99888557036508718</v>
      </c>
      <c r="G112" s="128">
        <f t="shared" si="86"/>
        <v>0.99882471735279998</v>
      </c>
      <c r="H112" s="128" t="e">
        <f t="shared" si="86"/>
        <v>#DIV/0!</v>
      </c>
      <c r="I112" s="128" t="e">
        <f t="shared" si="86"/>
        <v>#DIV/0!</v>
      </c>
      <c r="J112" s="128" t="e">
        <f t="shared" si="86"/>
        <v>#DIV/0!</v>
      </c>
      <c r="K112" s="128" t="e">
        <f t="shared" si="86"/>
        <v>#DIV/0!</v>
      </c>
      <c r="L112" s="128">
        <f t="shared" si="86"/>
        <v>0.99868015838099433</v>
      </c>
      <c r="M112" s="128">
        <f t="shared" si="86"/>
        <v>0.99887183257488366</v>
      </c>
      <c r="N112" s="128">
        <f t="shared" si="86"/>
        <v>0.99295774647887325</v>
      </c>
      <c r="O112" s="128">
        <f t="shared" si="86"/>
        <v>0.99876729215176008</v>
      </c>
      <c r="P112" s="128">
        <f t="shared" si="86"/>
        <v>0.99893146084567241</v>
      </c>
      <c r="Q112" s="128" t="e">
        <f t="shared" si="86"/>
        <v>#DIV/0!</v>
      </c>
      <c r="R112" s="128">
        <f t="shared" si="86"/>
        <v>0.99799023830031586</v>
      </c>
      <c r="S112" s="128" t="e">
        <f t="shared" si="86"/>
        <v>#DIV/0!</v>
      </c>
      <c r="T112" s="128" t="e">
        <f t="shared" si="86"/>
        <v>#DIV/0!</v>
      </c>
      <c r="U112" s="128" t="e">
        <f t="shared" si="86"/>
        <v>#DIV/0!</v>
      </c>
      <c r="V112" s="178" t="e">
        <f t="shared" si="86"/>
        <v>#DIV/0!</v>
      </c>
      <c r="W112" s="128" t="e">
        <f t="shared" si="86"/>
        <v>#DIV/0!</v>
      </c>
      <c r="X112" s="128" t="e">
        <f t="shared" si="86"/>
        <v>#DIV/0!</v>
      </c>
      <c r="Y112" s="128">
        <f t="shared" si="86"/>
        <v>0.99853405502931891</v>
      </c>
      <c r="Z112" s="128">
        <f t="shared" si="86"/>
        <v>0.99824098504837289</v>
      </c>
      <c r="AA112" s="128">
        <f t="shared" si="86"/>
        <v>0.99843260188087779</v>
      </c>
      <c r="AB112" s="128" t="e">
        <f>AB107/AB104</f>
        <v>#DIV/0!</v>
      </c>
      <c r="AC112" s="217" t="e">
        <f t="shared" si="86"/>
        <v>#DIV/0!</v>
      </c>
      <c r="AD112" s="128">
        <f t="shared" si="86"/>
        <v>0.99891736214112936</v>
      </c>
      <c r="AE112" s="128">
        <f t="shared" si="86"/>
        <v>1</v>
      </c>
      <c r="AF112" s="128">
        <f t="shared" si="86"/>
        <v>0.99376947040498442</v>
      </c>
      <c r="AG112" s="128" t="e">
        <f t="shared" si="86"/>
        <v>#DIV/0!</v>
      </c>
      <c r="AH112" s="128" t="e">
        <f t="shared" si="86"/>
        <v>#DIV/0!</v>
      </c>
      <c r="AI112" s="128" t="e">
        <f t="shared" si="86"/>
        <v>#DIV/0!</v>
      </c>
      <c r="AJ112" s="128" t="e">
        <f t="shared" si="86"/>
        <v>#DIV/0!</v>
      </c>
      <c r="AK112" s="128">
        <f t="shared" si="86"/>
        <v>0.99865410497981155</v>
      </c>
      <c r="AL112" s="128">
        <f t="shared" si="86"/>
        <v>0.99900846113167641</v>
      </c>
      <c r="AM112" s="128" t="e">
        <f t="shared" si="86"/>
        <v>#DIV/0!</v>
      </c>
      <c r="AN112" s="128" t="e">
        <f t="shared" si="86"/>
        <v>#DIV/0!</v>
      </c>
      <c r="AO112" s="178">
        <f t="shared" si="86"/>
        <v>0.99884782215796131</v>
      </c>
      <c r="AP112" s="128" t="e">
        <f t="shared" si="86"/>
        <v>#DIV/0!</v>
      </c>
      <c r="AQ112" s="217" t="e">
        <f t="shared" si="86"/>
        <v>#DIV/0!</v>
      </c>
      <c r="AR112" s="128" t="e">
        <f t="shared" si="86"/>
        <v>#DIV/0!</v>
      </c>
      <c r="AS112" s="128" t="e">
        <f t="shared" si="86"/>
        <v>#DIV/0!</v>
      </c>
      <c r="AT112" s="128" t="e">
        <f t="shared" si="86"/>
        <v>#DIV/0!</v>
      </c>
      <c r="AU112" s="128" t="e">
        <f t="shared" si="86"/>
        <v>#DIV/0!</v>
      </c>
      <c r="AV112" s="128" t="e">
        <f t="shared" si="86"/>
        <v>#DIV/0!</v>
      </c>
      <c r="AW112" s="128" t="e">
        <f t="shared" si="86"/>
        <v>#DIV/0!</v>
      </c>
      <c r="AX112" s="128" t="e">
        <f t="shared" si="86"/>
        <v>#DIV/0!</v>
      </c>
      <c r="AY112" s="128" t="e">
        <f t="shared" si="86"/>
        <v>#DIV/0!</v>
      </c>
      <c r="AZ112" s="128" t="e">
        <f t="shared" si="86"/>
        <v>#DIV/0!</v>
      </c>
      <c r="BA112" s="128" t="e">
        <f t="shared" si="86"/>
        <v>#DIV/0!</v>
      </c>
      <c r="BB112" s="217" t="e">
        <f t="shared" si="86"/>
        <v>#DIV/0!</v>
      </c>
      <c r="BC112" s="128">
        <f t="shared" si="86"/>
        <v>1.0014144271570014</v>
      </c>
      <c r="BD112" s="128">
        <f t="shared" si="86"/>
        <v>1.0014144271570014</v>
      </c>
      <c r="BE112" s="128" t="e">
        <f t="shared" si="86"/>
        <v>#DIV/0!</v>
      </c>
      <c r="BF112" s="128">
        <f t="shared" si="86"/>
        <v>0.99910474485228296</v>
      </c>
      <c r="BG112" s="128">
        <f t="shared" si="86"/>
        <v>0.9987936246611504</v>
      </c>
      <c r="BH112" s="178">
        <f t="shared" si="86"/>
        <v>0.99884957470214775</v>
      </c>
      <c r="BI112" s="128">
        <f t="shared" si="86"/>
        <v>0.99891200298318095</v>
      </c>
      <c r="BJ112" s="128">
        <f t="shared" si="86"/>
        <v>1</v>
      </c>
      <c r="BK112" s="128">
        <f t="shared" si="86"/>
        <v>0.99891197762562134</v>
      </c>
      <c r="BM112" s="128">
        <f>BM107/BM104</f>
        <v>0.99884923546080928</v>
      </c>
    </row>
    <row r="113" spans="1:65" s="181" customFormat="1" ht="15.75">
      <c r="A113" s="130"/>
      <c r="B113" s="5" t="s">
        <v>327</v>
      </c>
      <c r="C113" s="11">
        <f>C104-C107</f>
        <v>919</v>
      </c>
      <c r="D113" s="11">
        <f t="shared" ref="D113:BK113" si="87">D104-D107</f>
        <v>407</v>
      </c>
      <c r="E113" s="11">
        <f t="shared" si="87"/>
        <v>22</v>
      </c>
      <c r="F113" s="11">
        <f t="shared" si="87"/>
        <v>100</v>
      </c>
      <c r="G113" s="11">
        <f t="shared" si="87"/>
        <v>71</v>
      </c>
      <c r="H113" s="11">
        <f t="shared" si="87"/>
        <v>0</v>
      </c>
      <c r="I113" s="11">
        <f t="shared" si="87"/>
        <v>0</v>
      </c>
      <c r="J113" s="11">
        <f t="shared" si="87"/>
        <v>0</v>
      </c>
      <c r="K113" s="11">
        <f t="shared" si="87"/>
        <v>0</v>
      </c>
      <c r="L113" s="11">
        <f t="shared" si="87"/>
        <v>3</v>
      </c>
      <c r="M113" s="11">
        <f t="shared" si="87"/>
        <v>89</v>
      </c>
      <c r="N113" s="11">
        <f t="shared" si="87"/>
        <v>2</v>
      </c>
      <c r="O113" s="11">
        <f t="shared" si="87"/>
        <v>9</v>
      </c>
      <c r="P113" s="11">
        <f t="shared" si="87"/>
        <v>105</v>
      </c>
      <c r="Q113" s="11">
        <f t="shared" si="87"/>
        <v>0</v>
      </c>
      <c r="R113" s="11">
        <f t="shared" si="87"/>
        <v>7</v>
      </c>
      <c r="S113" s="11">
        <f t="shared" si="87"/>
        <v>0</v>
      </c>
      <c r="T113" s="11">
        <f t="shared" si="87"/>
        <v>0</v>
      </c>
      <c r="U113" s="11">
        <f t="shared" si="87"/>
        <v>0</v>
      </c>
      <c r="V113" s="11">
        <f t="shared" si="87"/>
        <v>0</v>
      </c>
      <c r="W113" s="11">
        <f t="shared" si="87"/>
        <v>0</v>
      </c>
      <c r="X113" s="11">
        <f t="shared" si="87"/>
        <v>0</v>
      </c>
      <c r="Y113" s="11">
        <f t="shared" si="87"/>
        <v>13</v>
      </c>
      <c r="Z113" s="11">
        <f t="shared" si="87"/>
        <v>4</v>
      </c>
      <c r="AA113" s="11">
        <f t="shared" si="87"/>
        <v>3</v>
      </c>
      <c r="AB113" s="11">
        <f t="shared" si="87"/>
        <v>0</v>
      </c>
      <c r="AC113" s="11">
        <f t="shared" si="87"/>
        <v>0</v>
      </c>
      <c r="AD113" s="11">
        <f t="shared" si="87"/>
        <v>1754</v>
      </c>
      <c r="AE113" s="11">
        <f t="shared" si="87"/>
        <v>0</v>
      </c>
      <c r="AF113" s="11">
        <f t="shared" si="87"/>
        <v>2</v>
      </c>
      <c r="AG113" s="11">
        <f t="shared" si="87"/>
        <v>0</v>
      </c>
      <c r="AH113" s="11">
        <f t="shared" si="87"/>
        <v>0</v>
      </c>
      <c r="AI113" s="11">
        <f t="shared" si="87"/>
        <v>0</v>
      </c>
      <c r="AJ113" s="11">
        <f t="shared" si="87"/>
        <v>0</v>
      </c>
      <c r="AK113" s="11">
        <f t="shared" si="87"/>
        <v>8</v>
      </c>
      <c r="AL113" s="11">
        <f t="shared" si="87"/>
        <v>15</v>
      </c>
      <c r="AM113" s="11">
        <f t="shared" si="87"/>
        <v>0</v>
      </c>
      <c r="AN113" s="11">
        <f t="shared" si="87"/>
        <v>0</v>
      </c>
      <c r="AO113" s="11">
        <f t="shared" si="87"/>
        <v>51</v>
      </c>
      <c r="AP113" s="11">
        <f t="shared" si="87"/>
        <v>0</v>
      </c>
      <c r="AQ113" s="11">
        <f t="shared" si="87"/>
        <v>0</v>
      </c>
      <c r="AR113" s="11">
        <f t="shared" si="87"/>
        <v>0</v>
      </c>
      <c r="AS113" s="11">
        <f t="shared" si="87"/>
        <v>0</v>
      </c>
      <c r="AT113" s="11">
        <f t="shared" si="87"/>
        <v>0</v>
      </c>
      <c r="AU113" s="11">
        <f t="shared" si="87"/>
        <v>0</v>
      </c>
      <c r="AV113" s="11">
        <f t="shared" si="87"/>
        <v>0</v>
      </c>
      <c r="AW113" s="11">
        <f t="shared" si="87"/>
        <v>0</v>
      </c>
      <c r="AX113" s="11">
        <f t="shared" si="87"/>
        <v>0</v>
      </c>
      <c r="AY113" s="11">
        <f t="shared" si="87"/>
        <v>0</v>
      </c>
      <c r="AZ113" s="11">
        <f t="shared" si="87"/>
        <v>0</v>
      </c>
      <c r="BA113" s="11">
        <f t="shared" si="87"/>
        <v>0</v>
      </c>
      <c r="BB113" s="11">
        <f t="shared" si="87"/>
        <v>0</v>
      </c>
      <c r="BC113" s="11">
        <f t="shared" si="87"/>
        <v>-1</v>
      </c>
      <c r="BD113" s="11">
        <f t="shared" si="87"/>
        <v>-1</v>
      </c>
      <c r="BE113" s="11">
        <f t="shared" si="87"/>
        <v>0</v>
      </c>
      <c r="BF113" s="11">
        <f t="shared" si="87"/>
        <v>1</v>
      </c>
      <c r="BG113" s="11">
        <f t="shared" si="87"/>
        <v>85</v>
      </c>
      <c r="BH113" s="11">
        <f t="shared" si="87"/>
        <v>160</v>
      </c>
      <c r="BI113" s="11">
        <f t="shared" si="87"/>
        <v>1914</v>
      </c>
      <c r="BJ113" s="11">
        <f t="shared" si="87"/>
        <v>0</v>
      </c>
      <c r="BK113" s="11">
        <f t="shared" si="87"/>
        <v>1914</v>
      </c>
      <c r="BL113" s="11">
        <f>BL107-BL104</f>
        <v>1757242</v>
      </c>
      <c r="BM113" s="11">
        <f>BM107-BM104</f>
        <v>-160</v>
      </c>
    </row>
    <row r="114" spans="1:65"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44"/>
      <c r="BJ114" s="5"/>
      <c r="BK114" s="50"/>
    </row>
    <row r="115" spans="1:65" s="179" customFormat="1" ht="15.75">
      <c r="A115" s="264" t="s">
        <v>135</v>
      </c>
      <c r="B115" s="9" t="s">
        <v>326</v>
      </c>
      <c r="C115" s="225">
        <v>0</v>
      </c>
      <c r="D115" s="225">
        <v>0</v>
      </c>
      <c r="E115" s="225">
        <v>0</v>
      </c>
      <c r="F115" s="225">
        <v>0</v>
      </c>
      <c r="G115" s="225">
        <v>0</v>
      </c>
      <c r="H115" s="225">
        <v>1820115</v>
      </c>
      <c r="I115" s="225">
        <v>0</v>
      </c>
      <c r="J115" s="225">
        <v>0</v>
      </c>
      <c r="K115" s="225">
        <v>0</v>
      </c>
      <c r="L115" s="225">
        <v>0</v>
      </c>
      <c r="M115" s="225">
        <v>0</v>
      </c>
      <c r="N115" s="225">
        <v>0</v>
      </c>
      <c r="O115" s="225">
        <v>0</v>
      </c>
      <c r="P115" s="225">
        <v>0</v>
      </c>
      <c r="Q115" s="225">
        <v>0</v>
      </c>
      <c r="R115" s="225">
        <v>0</v>
      </c>
      <c r="S115" s="225">
        <v>0</v>
      </c>
      <c r="T115" s="225">
        <v>0</v>
      </c>
      <c r="U115" s="225">
        <v>0</v>
      </c>
      <c r="V115" s="225">
        <v>0</v>
      </c>
      <c r="W115" s="225">
        <v>0</v>
      </c>
      <c r="X115" s="225">
        <v>0</v>
      </c>
      <c r="Y115" s="225">
        <v>0</v>
      </c>
      <c r="Z115" s="225">
        <v>0</v>
      </c>
      <c r="AA115" s="225">
        <v>0</v>
      </c>
      <c r="AB115" s="225">
        <v>0</v>
      </c>
      <c r="AC115" s="225">
        <v>0</v>
      </c>
      <c r="AD115" s="226">
        <f>SUM(C115:AC115)</f>
        <v>1820115</v>
      </c>
      <c r="AE115" s="225">
        <v>0</v>
      </c>
      <c r="AF115" s="225">
        <v>0</v>
      </c>
      <c r="AG115" s="225">
        <v>0</v>
      </c>
      <c r="AH115" s="225">
        <v>0</v>
      </c>
      <c r="AI115" s="225">
        <v>0</v>
      </c>
      <c r="AJ115" s="225">
        <v>0</v>
      </c>
      <c r="AK115" s="225">
        <v>0</v>
      </c>
      <c r="AL115" s="225">
        <v>0</v>
      </c>
      <c r="AM115" s="225">
        <v>0</v>
      </c>
      <c r="AN115" s="225">
        <v>0</v>
      </c>
      <c r="AO115" s="225">
        <v>0</v>
      </c>
      <c r="AP115" s="225">
        <v>0</v>
      </c>
      <c r="AQ115" s="225">
        <v>0</v>
      </c>
      <c r="AR115" s="225">
        <v>0</v>
      </c>
      <c r="AS115" s="225">
        <v>0</v>
      </c>
      <c r="AT115" s="225">
        <v>0</v>
      </c>
      <c r="AU115" s="225">
        <v>0</v>
      </c>
      <c r="AV115" s="225">
        <v>0</v>
      </c>
      <c r="AW115" s="225">
        <v>0</v>
      </c>
      <c r="AX115" s="225">
        <v>0</v>
      </c>
      <c r="AY115" s="225">
        <v>0</v>
      </c>
      <c r="AZ115" s="225">
        <v>0</v>
      </c>
      <c r="BA115" s="225">
        <v>0</v>
      </c>
      <c r="BB115" s="225">
        <v>0</v>
      </c>
      <c r="BC115" s="225">
        <v>0</v>
      </c>
      <c r="BD115" s="225">
        <v>0</v>
      </c>
      <c r="BE115" s="225">
        <v>0</v>
      </c>
      <c r="BF115" s="225">
        <v>0</v>
      </c>
      <c r="BG115" s="225">
        <v>2515955</v>
      </c>
      <c r="BH115" s="229">
        <f>SUM(AE115:BG115)</f>
        <v>2515955</v>
      </c>
      <c r="BI115" s="125">
        <f>AD115+BH115</f>
        <v>4336070</v>
      </c>
      <c r="BJ115" s="230">
        <v>2510854</v>
      </c>
      <c r="BK115" s="226">
        <f>BI115-BJ115</f>
        <v>1825216</v>
      </c>
      <c r="BM115" s="228">
        <f>BK115-AD115</f>
        <v>5101</v>
      </c>
    </row>
    <row r="116" spans="1:65" s="41" customFormat="1" ht="15.75">
      <c r="A116" s="136"/>
      <c r="B116" s="234" t="s">
        <v>321</v>
      </c>
      <c r="C116" s="225">
        <v>0</v>
      </c>
      <c r="D116" s="225">
        <v>0</v>
      </c>
      <c r="E116" s="225">
        <v>0</v>
      </c>
      <c r="F116" s="225">
        <v>0</v>
      </c>
      <c r="G116" s="225">
        <v>0</v>
      </c>
      <c r="H116" s="225">
        <v>1820115</v>
      </c>
      <c r="I116" s="225">
        <v>0</v>
      </c>
      <c r="J116" s="225">
        <v>0</v>
      </c>
      <c r="K116" s="225">
        <v>0</v>
      </c>
      <c r="L116" s="225">
        <v>0</v>
      </c>
      <c r="M116" s="225">
        <v>0</v>
      </c>
      <c r="N116" s="225">
        <v>0</v>
      </c>
      <c r="O116" s="225">
        <v>0</v>
      </c>
      <c r="P116" s="225">
        <v>0</v>
      </c>
      <c r="Q116" s="225">
        <v>0</v>
      </c>
      <c r="R116" s="225">
        <v>0</v>
      </c>
      <c r="S116" s="225">
        <v>0</v>
      </c>
      <c r="T116" s="225">
        <v>0</v>
      </c>
      <c r="U116" s="225">
        <v>0</v>
      </c>
      <c r="V116" s="225">
        <v>0</v>
      </c>
      <c r="W116" s="225">
        <v>0</v>
      </c>
      <c r="X116" s="225">
        <v>0</v>
      </c>
      <c r="Y116" s="225">
        <v>0</v>
      </c>
      <c r="Z116" s="225">
        <v>0</v>
      </c>
      <c r="AA116" s="225">
        <v>0</v>
      </c>
      <c r="AB116" s="225">
        <v>0</v>
      </c>
      <c r="AC116" s="225">
        <v>0</v>
      </c>
      <c r="AD116" s="226">
        <f>SUM(C116:AC116)</f>
        <v>1820115</v>
      </c>
      <c r="AE116" s="225">
        <v>0</v>
      </c>
      <c r="AF116" s="225">
        <v>0</v>
      </c>
      <c r="AG116" s="225">
        <v>0</v>
      </c>
      <c r="AH116" s="225">
        <v>0</v>
      </c>
      <c r="AI116" s="225">
        <v>0</v>
      </c>
      <c r="AJ116" s="225">
        <v>0</v>
      </c>
      <c r="AK116" s="225">
        <v>0</v>
      </c>
      <c r="AL116" s="225">
        <v>0</v>
      </c>
      <c r="AM116" s="225">
        <v>0</v>
      </c>
      <c r="AN116" s="225">
        <v>0</v>
      </c>
      <c r="AO116" s="225">
        <v>0</v>
      </c>
      <c r="AP116" s="225">
        <v>0</v>
      </c>
      <c r="AQ116" s="225">
        <v>0</v>
      </c>
      <c r="AR116" s="225">
        <v>0</v>
      </c>
      <c r="AS116" s="225">
        <v>0</v>
      </c>
      <c r="AT116" s="225">
        <v>0</v>
      </c>
      <c r="AU116" s="225">
        <v>0</v>
      </c>
      <c r="AV116" s="225">
        <v>0</v>
      </c>
      <c r="AW116" s="225">
        <v>0</v>
      </c>
      <c r="AX116" s="225">
        <v>0</v>
      </c>
      <c r="AY116" s="225">
        <v>0</v>
      </c>
      <c r="AZ116" s="225">
        <v>0</v>
      </c>
      <c r="BA116" s="225">
        <v>0</v>
      </c>
      <c r="BB116" s="225">
        <v>0</v>
      </c>
      <c r="BC116" s="225">
        <v>0</v>
      </c>
      <c r="BD116" s="225">
        <v>0</v>
      </c>
      <c r="BE116" s="225">
        <v>0</v>
      </c>
      <c r="BF116" s="225">
        <v>0</v>
      </c>
      <c r="BG116" s="225">
        <v>2515955</v>
      </c>
      <c r="BH116" s="229">
        <f>SUM(AE116:BG116)</f>
        <v>2515955</v>
      </c>
      <c r="BI116" s="125">
        <f>AD116+BH116</f>
        <v>4336070</v>
      </c>
      <c r="BJ116" s="230">
        <v>2510854</v>
      </c>
      <c r="BK116" s="226">
        <f>BI116-BJ116</f>
        <v>1825216</v>
      </c>
      <c r="BL116" s="41">
        <f>'[1]Upto Month Current'!$L$61</f>
        <v>297912</v>
      </c>
      <c r="BM116" s="218">
        <f>BK116-AD116</f>
        <v>5101</v>
      </c>
    </row>
    <row r="117" spans="1:65" ht="15.75">
      <c r="A117" s="130"/>
      <c r="B117" s="12" t="s">
        <v>322</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1563992</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123">
        <f>SUM(C117:AC117)</f>
        <v>1563992</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2263743</v>
      </c>
      <c r="BH117" s="9">
        <f>SUM(AE117:BG117)</f>
        <v>2263743</v>
      </c>
      <c r="BI117" s="127">
        <f>AD117+BH117</f>
        <v>3827735</v>
      </c>
      <c r="BJ117" s="9">
        <f>IF('Upto Month COPPY'!$L$60="",0,'Upto Month COPPY'!$L$60)</f>
        <v>2260090</v>
      </c>
      <c r="BK117" s="51">
        <f>BI117-BJ117</f>
        <v>1567645</v>
      </c>
      <c r="BL117">
        <f>'Upto Month COPPY'!$L$61</f>
        <v>1567644</v>
      </c>
      <c r="BM117" s="30">
        <f>BK117-AD117</f>
        <v>3653</v>
      </c>
    </row>
    <row r="118" spans="1:65" ht="17.25" customHeight="1">
      <c r="A118" s="130"/>
      <c r="B118" s="183" t="s">
        <v>323</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1820109</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123">
        <f>SUM(C118:AC118)</f>
        <v>1820109</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2515904</v>
      </c>
      <c r="BH118" s="9">
        <f>SUM(AE118:BG118)</f>
        <v>2515904</v>
      </c>
      <c r="BI118" s="127">
        <f>AD118+BH118</f>
        <v>4336013</v>
      </c>
      <c r="BJ118" s="9">
        <f>IF('Upto Month Current'!$L$60="",0,'Upto Month Current'!$L$60)</f>
        <v>2512161</v>
      </c>
      <c r="BK118" s="51">
        <f>BI118-BJ118</f>
        <v>1823852</v>
      </c>
      <c r="BL118">
        <f>'Upto Month Current'!$L$61</f>
        <v>1823851</v>
      </c>
      <c r="BM118" s="30">
        <f>BK118-AD118</f>
        <v>3743</v>
      </c>
    </row>
    <row r="119" spans="1:65" ht="15.75">
      <c r="A119" s="130"/>
      <c r="B119" s="5" t="s">
        <v>124</v>
      </c>
      <c r="C119" s="11">
        <f t="shared" ref="C119:AH119" si="88">C118-C116</f>
        <v>0</v>
      </c>
      <c r="D119" s="11">
        <f t="shared" si="88"/>
        <v>0</v>
      </c>
      <c r="E119" s="11">
        <f t="shared" si="88"/>
        <v>0</v>
      </c>
      <c r="F119" s="11">
        <f t="shared" si="88"/>
        <v>0</v>
      </c>
      <c r="G119" s="11">
        <f t="shared" si="88"/>
        <v>0</v>
      </c>
      <c r="H119" s="11">
        <f t="shared" si="88"/>
        <v>-6</v>
      </c>
      <c r="I119" s="11">
        <f t="shared" si="88"/>
        <v>0</v>
      </c>
      <c r="J119" s="11">
        <f t="shared" si="88"/>
        <v>0</v>
      </c>
      <c r="K119" s="11">
        <f t="shared" si="88"/>
        <v>0</v>
      </c>
      <c r="L119" s="11">
        <f t="shared" si="88"/>
        <v>0</v>
      </c>
      <c r="M119" s="11">
        <f t="shared" si="88"/>
        <v>0</v>
      </c>
      <c r="N119" s="11">
        <f t="shared" si="88"/>
        <v>0</v>
      </c>
      <c r="O119" s="11">
        <f t="shared" si="88"/>
        <v>0</v>
      </c>
      <c r="P119" s="11">
        <f t="shared" si="88"/>
        <v>0</v>
      </c>
      <c r="Q119" s="11">
        <f t="shared" si="88"/>
        <v>0</v>
      </c>
      <c r="R119" s="11">
        <f t="shared" si="88"/>
        <v>0</v>
      </c>
      <c r="S119" s="11">
        <f t="shared" si="88"/>
        <v>0</v>
      </c>
      <c r="T119" s="11">
        <f t="shared" si="88"/>
        <v>0</v>
      </c>
      <c r="U119" s="11">
        <f t="shared" si="88"/>
        <v>0</v>
      </c>
      <c r="V119" s="9">
        <f t="shared" si="88"/>
        <v>0</v>
      </c>
      <c r="W119" s="11">
        <f t="shared" si="88"/>
        <v>0</v>
      </c>
      <c r="X119" s="11">
        <f t="shared" si="88"/>
        <v>0</v>
      </c>
      <c r="Y119" s="11">
        <f t="shared" si="88"/>
        <v>0</v>
      </c>
      <c r="Z119" s="11">
        <f t="shared" si="88"/>
        <v>0</v>
      </c>
      <c r="AA119" s="11">
        <f t="shared" si="88"/>
        <v>0</v>
      </c>
      <c r="AB119" s="11">
        <f t="shared" si="88"/>
        <v>0</v>
      </c>
      <c r="AC119" s="10">
        <f t="shared" si="88"/>
        <v>0</v>
      </c>
      <c r="AD119" s="11">
        <f t="shared" si="88"/>
        <v>-6</v>
      </c>
      <c r="AE119" s="11">
        <f t="shared" si="88"/>
        <v>0</v>
      </c>
      <c r="AF119" s="11">
        <f t="shared" si="88"/>
        <v>0</v>
      </c>
      <c r="AG119" s="11">
        <f t="shared" si="88"/>
        <v>0</v>
      </c>
      <c r="AH119" s="11">
        <f t="shared" si="88"/>
        <v>0</v>
      </c>
      <c r="AI119" s="11">
        <f t="shared" ref="AI119:BK119" si="89">AI118-AI116</f>
        <v>0</v>
      </c>
      <c r="AJ119" s="11">
        <f t="shared" si="89"/>
        <v>0</v>
      </c>
      <c r="AK119" s="11">
        <f t="shared" si="89"/>
        <v>0</v>
      </c>
      <c r="AL119" s="11">
        <f t="shared" si="89"/>
        <v>0</v>
      </c>
      <c r="AM119" s="11">
        <f t="shared" si="89"/>
        <v>0</v>
      </c>
      <c r="AN119" s="11">
        <f t="shared" si="89"/>
        <v>0</v>
      </c>
      <c r="AO119" s="9">
        <f t="shared" si="89"/>
        <v>0</v>
      </c>
      <c r="AP119" s="11">
        <f t="shared" si="89"/>
        <v>0</v>
      </c>
      <c r="AQ119" s="10">
        <f t="shared" si="89"/>
        <v>0</v>
      </c>
      <c r="AR119" s="11">
        <f t="shared" si="89"/>
        <v>0</v>
      </c>
      <c r="AS119" s="11">
        <f t="shared" si="89"/>
        <v>0</v>
      </c>
      <c r="AT119" s="11">
        <f t="shared" si="89"/>
        <v>0</v>
      </c>
      <c r="AU119" s="11">
        <f t="shared" si="89"/>
        <v>0</v>
      </c>
      <c r="AV119" s="11">
        <f t="shared" si="89"/>
        <v>0</v>
      </c>
      <c r="AW119" s="11">
        <f t="shared" si="89"/>
        <v>0</v>
      </c>
      <c r="AX119" s="11">
        <f t="shared" si="89"/>
        <v>0</v>
      </c>
      <c r="AY119" s="11">
        <f t="shared" si="89"/>
        <v>0</v>
      </c>
      <c r="AZ119" s="11">
        <f t="shared" si="89"/>
        <v>0</v>
      </c>
      <c r="BA119" s="11">
        <f t="shared" si="89"/>
        <v>0</v>
      </c>
      <c r="BB119" s="10">
        <f t="shared" si="89"/>
        <v>0</v>
      </c>
      <c r="BC119" s="11">
        <f t="shared" si="89"/>
        <v>0</v>
      </c>
      <c r="BD119" s="11">
        <f t="shared" si="89"/>
        <v>0</v>
      </c>
      <c r="BE119" s="11">
        <f t="shared" si="89"/>
        <v>0</v>
      </c>
      <c r="BF119" s="11">
        <f t="shared" si="89"/>
        <v>0</v>
      </c>
      <c r="BG119" s="11">
        <f t="shared" si="89"/>
        <v>-51</v>
      </c>
      <c r="BH119" s="9">
        <f t="shared" si="89"/>
        <v>-51</v>
      </c>
      <c r="BI119" s="45">
        <f t="shared" si="89"/>
        <v>-57</v>
      </c>
      <c r="BJ119" s="11">
        <f t="shared" si="89"/>
        <v>1307</v>
      </c>
      <c r="BK119" s="51">
        <f t="shared" si="89"/>
        <v>-1364</v>
      </c>
      <c r="BM119" s="30">
        <f>BK119-AD119</f>
        <v>-1358</v>
      </c>
    </row>
    <row r="120" spans="1:65" ht="15.75">
      <c r="A120" s="130"/>
      <c r="B120" s="5" t="s">
        <v>125</v>
      </c>
      <c r="C120" s="13" t="e">
        <f t="shared" ref="C120:AH120" si="90">C119/C116</f>
        <v>#DIV/0!</v>
      </c>
      <c r="D120" s="13" t="e">
        <f t="shared" si="90"/>
        <v>#DIV/0!</v>
      </c>
      <c r="E120" s="13" t="e">
        <f t="shared" si="90"/>
        <v>#DIV/0!</v>
      </c>
      <c r="F120" s="13" t="e">
        <f t="shared" si="90"/>
        <v>#DIV/0!</v>
      </c>
      <c r="G120" s="13" t="e">
        <f t="shared" si="90"/>
        <v>#DIV/0!</v>
      </c>
      <c r="H120" s="13">
        <f t="shared" si="90"/>
        <v>-3.2964950016894536E-6</v>
      </c>
      <c r="I120" s="13" t="e">
        <f t="shared" si="90"/>
        <v>#DIV/0!</v>
      </c>
      <c r="J120" s="13" t="e">
        <f t="shared" si="90"/>
        <v>#DIV/0!</v>
      </c>
      <c r="K120" s="13" t="e">
        <f t="shared" si="90"/>
        <v>#DIV/0!</v>
      </c>
      <c r="L120" s="13" t="e">
        <f t="shared" si="90"/>
        <v>#DIV/0!</v>
      </c>
      <c r="M120" s="13" t="e">
        <f t="shared" si="90"/>
        <v>#DIV/0!</v>
      </c>
      <c r="N120" s="13" t="e">
        <f t="shared" si="90"/>
        <v>#DIV/0!</v>
      </c>
      <c r="O120" s="13" t="e">
        <f t="shared" si="90"/>
        <v>#DIV/0!</v>
      </c>
      <c r="P120" s="13" t="e">
        <f t="shared" si="90"/>
        <v>#DIV/0!</v>
      </c>
      <c r="Q120" s="13" t="e">
        <f t="shared" si="90"/>
        <v>#DIV/0!</v>
      </c>
      <c r="R120" s="13" t="e">
        <f t="shared" si="90"/>
        <v>#DIV/0!</v>
      </c>
      <c r="S120" s="13" t="e">
        <f t="shared" si="90"/>
        <v>#DIV/0!</v>
      </c>
      <c r="T120" s="13" t="e">
        <f t="shared" si="90"/>
        <v>#DIV/0!</v>
      </c>
      <c r="U120" s="13" t="e">
        <f t="shared" si="90"/>
        <v>#DIV/0!</v>
      </c>
      <c r="V120" s="163" t="e">
        <f t="shared" si="90"/>
        <v>#DIV/0!</v>
      </c>
      <c r="W120" s="13" t="e">
        <f t="shared" si="90"/>
        <v>#DIV/0!</v>
      </c>
      <c r="X120" s="13" t="e">
        <f t="shared" si="90"/>
        <v>#DIV/0!</v>
      </c>
      <c r="Y120" s="13" t="e">
        <f t="shared" si="90"/>
        <v>#DIV/0!</v>
      </c>
      <c r="Z120" s="13" t="e">
        <f t="shared" si="90"/>
        <v>#DIV/0!</v>
      </c>
      <c r="AA120" s="13" t="e">
        <f t="shared" si="90"/>
        <v>#DIV/0!</v>
      </c>
      <c r="AB120" s="13" t="e">
        <f t="shared" si="90"/>
        <v>#DIV/0!</v>
      </c>
      <c r="AC120" s="14" t="e">
        <f t="shared" si="90"/>
        <v>#DIV/0!</v>
      </c>
      <c r="AD120" s="13">
        <f t="shared" si="90"/>
        <v>-3.2964950016894536E-6</v>
      </c>
      <c r="AE120" s="13" t="e">
        <f t="shared" si="90"/>
        <v>#DIV/0!</v>
      </c>
      <c r="AF120" s="13" t="e">
        <f t="shared" si="90"/>
        <v>#DIV/0!</v>
      </c>
      <c r="AG120" s="13" t="e">
        <f t="shared" si="90"/>
        <v>#DIV/0!</v>
      </c>
      <c r="AH120" s="13" t="e">
        <f t="shared" si="90"/>
        <v>#DIV/0!</v>
      </c>
      <c r="AI120" s="13" t="e">
        <f t="shared" ref="AI120:BK120" si="91">AI119/AI116</f>
        <v>#DIV/0!</v>
      </c>
      <c r="AJ120" s="13" t="e">
        <f t="shared" si="91"/>
        <v>#DIV/0!</v>
      </c>
      <c r="AK120" s="13" t="e">
        <f t="shared" si="91"/>
        <v>#DIV/0!</v>
      </c>
      <c r="AL120" s="13" t="e">
        <f t="shared" si="91"/>
        <v>#DIV/0!</v>
      </c>
      <c r="AM120" s="13" t="e">
        <f t="shared" si="91"/>
        <v>#DIV/0!</v>
      </c>
      <c r="AN120" s="13" t="e">
        <f t="shared" si="91"/>
        <v>#DIV/0!</v>
      </c>
      <c r="AO120" s="163" t="e">
        <f t="shared" si="91"/>
        <v>#DIV/0!</v>
      </c>
      <c r="AP120" s="13" t="e">
        <f t="shared" si="91"/>
        <v>#DIV/0!</v>
      </c>
      <c r="AQ120" s="14" t="e">
        <f t="shared" si="91"/>
        <v>#DIV/0!</v>
      </c>
      <c r="AR120" s="13" t="e">
        <f t="shared" si="91"/>
        <v>#DIV/0!</v>
      </c>
      <c r="AS120" s="13" t="e">
        <f t="shared" si="91"/>
        <v>#DIV/0!</v>
      </c>
      <c r="AT120" s="13" t="e">
        <f t="shared" si="91"/>
        <v>#DIV/0!</v>
      </c>
      <c r="AU120" s="13" t="e">
        <f t="shared" si="91"/>
        <v>#DIV/0!</v>
      </c>
      <c r="AV120" s="13" t="e">
        <f t="shared" si="91"/>
        <v>#DIV/0!</v>
      </c>
      <c r="AW120" s="13" t="e">
        <f t="shared" si="91"/>
        <v>#DIV/0!</v>
      </c>
      <c r="AX120" s="13" t="e">
        <f t="shared" si="91"/>
        <v>#DIV/0!</v>
      </c>
      <c r="AY120" s="13" t="e">
        <f t="shared" si="91"/>
        <v>#DIV/0!</v>
      </c>
      <c r="AZ120" s="13" t="e">
        <f t="shared" si="91"/>
        <v>#DIV/0!</v>
      </c>
      <c r="BA120" s="13" t="e">
        <f t="shared" si="91"/>
        <v>#DIV/0!</v>
      </c>
      <c r="BB120" s="14" t="e">
        <f t="shared" si="91"/>
        <v>#DIV/0!</v>
      </c>
      <c r="BC120" s="13" t="e">
        <f t="shared" si="91"/>
        <v>#DIV/0!</v>
      </c>
      <c r="BD120" s="13" t="e">
        <f t="shared" si="91"/>
        <v>#DIV/0!</v>
      </c>
      <c r="BE120" s="13" t="e">
        <f t="shared" si="91"/>
        <v>#DIV/0!</v>
      </c>
      <c r="BF120" s="13" t="e">
        <f t="shared" si="91"/>
        <v>#DIV/0!</v>
      </c>
      <c r="BG120" s="13">
        <f t="shared" si="91"/>
        <v>-2.0270632821334245E-5</v>
      </c>
      <c r="BH120" s="163">
        <f t="shared" si="91"/>
        <v>-2.0270632821334245E-5</v>
      </c>
      <c r="BI120" s="46">
        <f t="shared" si="91"/>
        <v>-1.3145544237062594E-5</v>
      </c>
      <c r="BJ120" s="13">
        <f t="shared" si="91"/>
        <v>5.2054002343425779E-4</v>
      </c>
      <c r="BK120" s="52">
        <f t="shared" si="91"/>
        <v>-7.4730881166941334E-4</v>
      </c>
      <c r="BM120" s="163">
        <f>BM119/BM116</f>
        <v>-0.26622230935110763</v>
      </c>
    </row>
    <row r="121" spans="1:65" ht="15.75">
      <c r="A121" s="130"/>
      <c r="B121" s="5" t="s">
        <v>126</v>
      </c>
      <c r="C121" s="11">
        <f>C118-C117</f>
        <v>0</v>
      </c>
      <c r="D121" s="11">
        <f t="shared" ref="D121:BK121" si="92">D118-D117</f>
        <v>0</v>
      </c>
      <c r="E121" s="11">
        <f t="shared" si="92"/>
        <v>0</v>
      </c>
      <c r="F121" s="11">
        <f t="shared" si="92"/>
        <v>0</v>
      </c>
      <c r="G121" s="11">
        <f t="shared" si="92"/>
        <v>0</v>
      </c>
      <c r="H121" s="11">
        <f t="shared" si="92"/>
        <v>256117</v>
      </c>
      <c r="I121" s="11">
        <f t="shared" si="92"/>
        <v>0</v>
      </c>
      <c r="J121" s="11">
        <f t="shared" si="92"/>
        <v>0</v>
      </c>
      <c r="K121" s="11">
        <f t="shared" si="92"/>
        <v>0</v>
      </c>
      <c r="L121" s="11">
        <f t="shared" si="92"/>
        <v>0</v>
      </c>
      <c r="M121" s="11">
        <f t="shared" si="92"/>
        <v>0</v>
      </c>
      <c r="N121" s="11">
        <f t="shared" si="92"/>
        <v>0</v>
      </c>
      <c r="O121" s="11">
        <f t="shared" si="92"/>
        <v>0</v>
      </c>
      <c r="P121" s="11">
        <f t="shared" si="92"/>
        <v>0</v>
      </c>
      <c r="Q121" s="11">
        <f t="shared" si="92"/>
        <v>0</v>
      </c>
      <c r="R121" s="11">
        <f t="shared" si="92"/>
        <v>0</v>
      </c>
      <c r="S121" s="11">
        <f t="shared" si="92"/>
        <v>0</v>
      </c>
      <c r="T121" s="11">
        <f t="shared" si="92"/>
        <v>0</v>
      </c>
      <c r="U121" s="11">
        <f>U118-U117</f>
        <v>0</v>
      </c>
      <c r="V121" s="9">
        <f t="shared" si="92"/>
        <v>0</v>
      </c>
      <c r="W121" s="11">
        <f t="shared" si="92"/>
        <v>0</v>
      </c>
      <c r="X121" s="11">
        <f t="shared" si="92"/>
        <v>0</v>
      </c>
      <c r="Y121" s="11">
        <f t="shared" si="92"/>
        <v>0</v>
      </c>
      <c r="Z121" s="11">
        <f t="shared" si="92"/>
        <v>0</v>
      </c>
      <c r="AA121" s="11">
        <f t="shared" si="92"/>
        <v>0</v>
      </c>
      <c r="AB121" s="11">
        <f>AB118-AB117</f>
        <v>0</v>
      </c>
      <c r="AC121" s="10">
        <f>AC118-AC117</f>
        <v>0</v>
      </c>
      <c r="AD121" s="11">
        <f>AD118-AD117</f>
        <v>256117</v>
      </c>
      <c r="AE121" s="11">
        <f t="shared" si="92"/>
        <v>0</v>
      </c>
      <c r="AF121" s="11">
        <f t="shared" si="92"/>
        <v>0</v>
      </c>
      <c r="AG121" s="11">
        <f t="shared" si="92"/>
        <v>0</v>
      </c>
      <c r="AH121" s="11">
        <f t="shared" si="92"/>
        <v>0</v>
      </c>
      <c r="AI121" s="11">
        <f t="shared" si="92"/>
        <v>0</v>
      </c>
      <c r="AJ121" s="11">
        <f t="shared" si="92"/>
        <v>0</v>
      </c>
      <c r="AK121" s="11">
        <f t="shared" si="92"/>
        <v>0</v>
      </c>
      <c r="AL121" s="11">
        <f t="shared" si="92"/>
        <v>0</v>
      </c>
      <c r="AM121" s="11">
        <f t="shared" si="92"/>
        <v>0</v>
      </c>
      <c r="AN121" s="11">
        <f t="shared" si="92"/>
        <v>0</v>
      </c>
      <c r="AO121" s="9">
        <f t="shared" si="92"/>
        <v>0</v>
      </c>
      <c r="AP121" s="11">
        <f t="shared" si="92"/>
        <v>0</v>
      </c>
      <c r="AQ121" s="10">
        <f t="shared" si="92"/>
        <v>0</v>
      </c>
      <c r="AR121" s="11">
        <f t="shared" si="92"/>
        <v>0</v>
      </c>
      <c r="AS121" s="11">
        <f t="shared" si="92"/>
        <v>0</v>
      </c>
      <c r="AT121" s="11">
        <f t="shared" si="92"/>
        <v>0</v>
      </c>
      <c r="AU121" s="11">
        <f t="shared" si="92"/>
        <v>0</v>
      </c>
      <c r="AV121" s="11">
        <f t="shared" si="92"/>
        <v>0</v>
      </c>
      <c r="AW121" s="11">
        <f t="shared" si="92"/>
        <v>0</v>
      </c>
      <c r="AX121" s="11">
        <f t="shared" si="92"/>
        <v>0</v>
      </c>
      <c r="AY121" s="11">
        <f t="shared" si="92"/>
        <v>0</v>
      </c>
      <c r="AZ121" s="11">
        <f t="shared" si="92"/>
        <v>0</v>
      </c>
      <c r="BA121" s="11">
        <f t="shared" si="92"/>
        <v>0</v>
      </c>
      <c r="BB121" s="10">
        <f t="shared" si="92"/>
        <v>0</v>
      </c>
      <c r="BC121" s="11">
        <f t="shared" si="92"/>
        <v>0</v>
      </c>
      <c r="BD121" s="11">
        <f t="shared" si="92"/>
        <v>0</v>
      </c>
      <c r="BE121" s="11">
        <f t="shared" si="92"/>
        <v>0</v>
      </c>
      <c r="BF121" s="11">
        <f t="shared" si="92"/>
        <v>0</v>
      </c>
      <c r="BG121" s="11">
        <f t="shared" si="92"/>
        <v>252161</v>
      </c>
      <c r="BH121" s="9">
        <f t="shared" si="92"/>
        <v>252161</v>
      </c>
      <c r="BI121" s="45">
        <f t="shared" si="92"/>
        <v>508278</v>
      </c>
      <c r="BJ121" s="11">
        <f t="shared" si="92"/>
        <v>252071</v>
      </c>
      <c r="BK121" s="51">
        <f t="shared" si="92"/>
        <v>256207</v>
      </c>
      <c r="BM121" s="30">
        <f>BK121-AD121</f>
        <v>90</v>
      </c>
    </row>
    <row r="122" spans="1:65" ht="15.75">
      <c r="A122" s="130"/>
      <c r="B122" s="5" t="s">
        <v>127</v>
      </c>
      <c r="C122" s="13" t="e">
        <f t="shared" ref="C122:AH122" si="93">C121/C117</f>
        <v>#DIV/0!</v>
      </c>
      <c r="D122" s="13" t="e">
        <f t="shared" si="93"/>
        <v>#DIV/0!</v>
      </c>
      <c r="E122" s="13" t="e">
        <f t="shared" si="93"/>
        <v>#DIV/0!</v>
      </c>
      <c r="F122" s="13" t="e">
        <f t="shared" si="93"/>
        <v>#DIV/0!</v>
      </c>
      <c r="G122" s="13" t="e">
        <f t="shared" si="93"/>
        <v>#DIV/0!</v>
      </c>
      <c r="H122" s="13">
        <f t="shared" si="93"/>
        <v>0.16375851027370983</v>
      </c>
      <c r="I122" s="13" t="e">
        <f t="shared" si="93"/>
        <v>#DIV/0!</v>
      </c>
      <c r="J122" s="13" t="e">
        <f t="shared" si="93"/>
        <v>#DIV/0!</v>
      </c>
      <c r="K122" s="13" t="e">
        <f t="shared" si="93"/>
        <v>#DIV/0!</v>
      </c>
      <c r="L122" s="13" t="e">
        <f t="shared" si="93"/>
        <v>#DIV/0!</v>
      </c>
      <c r="M122" s="13" t="e">
        <f t="shared" si="93"/>
        <v>#DIV/0!</v>
      </c>
      <c r="N122" s="13" t="e">
        <f t="shared" si="93"/>
        <v>#DIV/0!</v>
      </c>
      <c r="O122" s="13" t="e">
        <f t="shared" si="93"/>
        <v>#DIV/0!</v>
      </c>
      <c r="P122" s="13" t="e">
        <f t="shared" si="93"/>
        <v>#DIV/0!</v>
      </c>
      <c r="Q122" s="13" t="e">
        <f t="shared" si="93"/>
        <v>#DIV/0!</v>
      </c>
      <c r="R122" s="13" t="e">
        <f t="shared" si="93"/>
        <v>#DIV/0!</v>
      </c>
      <c r="S122" s="13" t="e">
        <f t="shared" si="93"/>
        <v>#DIV/0!</v>
      </c>
      <c r="T122" s="13" t="e">
        <f t="shared" si="93"/>
        <v>#DIV/0!</v>
      </c>
      <c r="U122" s="13" t="e">
        <f t="shared" si="93"/>
        <v>#DIV/0!</v>
      </c>
      <c r="V122" s="163" t="e">
        <f t="shared" si="93"/>
        <v>#DIV/0!</v>
      </c>
      <c r="W122" s="13" t="e">
        <f t="shared" si="93"/>
        <v>#DIV/0!</v>
      </c>
      <c r="X122" s="13" t="e">
        <f t="shared" si="93"/>
        <v>#DIV/0!</v>
      </c>
      <c r="Y122" s="13" t="e">
        <f t="shared" si="93"/>
        <v>#DIV/0!</v>
      </c>
      <c r="Z122" s="13" t="e">
        <f t="shared" si="93"/>
        <v>#DIV/0!</v>
      </c>
      <c r="AA122" s="13" t="e">
        <f t="shared" si="93"/>
        <v>#DIV/0!</v>
      </c>
      <c r="AB122" s="13" t="e">
        <f t="shared" si="93"/>
        <v>#DIV/0!</v>
      </c>
      <c r="AC122" s="14" t="e">
        <f t="shared" si="93"/>
        <v>#DIV/0!</v>
      </c>
      <c r="AD122" s="13">
        <f t="shared" si="93"/>
        <v>0.16375851027370983</v>
      </c>
      <c r="AE122" s="13" t="e">
        <f t="shared" si="93"/>
        <v>#DIV/0!</v>
      </c>
      <c r="AF122" s="13" t="e">
        <f t="shared" si="93"/>
        <v>#DIV/0!</v>
      </c>
      <c r="AG122" s="13" t="e">
        <f t="shared" si="93"/>
        <v>#DIV/0!</v>
      </c>
      <c r="AH122" s="13" t="e">
        <f t="shared" si="93"/>
        <v>#DIV/0!</v>
      </c>
      <c r="AI122" s="13" t="e">
        <f t="shared" ref="AI122:BK122" si="94">AI121/AI117</f>
        <v>#DIV/0!</v>
      </c>
      <c r="AJ122" s="13" t="e">
        <f t="shared" si="94"/>
        <v>#DIV/0!</v>
      </c>
      <c r="AK122" s="13" t="e">
        <f t="shared" si="94"/>
        <v>#DIV/0!</v>
      </c>
      <c r="AL122" s="13" t="e">
        <f t="shared" si="94"/>
        <v>#DIV/0!</v>
      </c>
      <c r="AM122" s="13" t="e">
        <f t="shared" si="94"/>
        <v>#DIV/0!</v>
      </c>
      <c r="AN122" s="13" t="e">
        <f t="shared" si="94"/>
        <v>#DIV/0!</v>
      </c>
      <c r="AO122" s="163" t="e">
        <f t="shared" si="94"/>
        <v>#DIV/0!</v>
      </c>
      <c r="AP122" s="13" t="e">
        <f t="shared" si="94"/>
        <v>#DIV/0!</v>
      </c>
      <c r="AQ122" s="14" t="e">
        <f t="shared" si="94"/>
        <v>#DIV/0!</v>
      </c>
      <c r="AR122" s="13" t="e">
        <f t="shared" si="94"/>
        <v>#DIV/0!</v>
      </c>
      <c r="AS122" s="13" t="e">
        <f t="shared" si="94"/>
        <v>#DIV/0!</v>
      </c>
      <c r="AT122" s="13" t="e">
        <f t="shared" si="94"/>
        <v>#DIV/0!</v>
      </c>
      <c r="AU122" s="13" t="e">
        <f t="shared" si="94"/>
        <v>#DIV/0!</v>
      </c>
      <c r="AV122" s="13" t="e">
        <f t="shared" si="94"/>
        <v>#DIV/0!</v>
      </c>
      <c r="AW122" s="13" t="e">
        <f t="shared" si="94"/>
        <v>#DIV/0!</v>
      </c>
      <c r="AX122" s="13" t="e">
        <f t="shared" si="94"/>
        <v>#DIV/0!</v>
      </c>
      <c r="AY122" s="13" t="e">
        <f t="shared" si="94"/>
        <v>#DIV/0!</v>
      </c>
      <c r="AZ122" s="13" t="e">
        <f t="shared" si="94"/>
        <v>#DIV/0!</v>
      </c>
      <c r="BA122" s="13" t="e">
        <f t="shared" si="94"/>
        <v>#DIV/0!</v>
      </c>
      <c r="BB122" s="14" t="e">
        <f t="shared" si="94"/>
        <v>#DIV/0!</v>
      </c>
      <c r="BC122" s="13" t="e">
        <f t="shared" si="94"/>
        <v>#DIV/0!</v>
      </c>
      <c r="BD122" s="13" t="e">
        <f t="shared" si="94"/>
        <v>#DIV/0!</v>
      </c>
      <c r="BE122" s="13" t="e">
        <f t="shared" si="94"/>
        <v>#DIV/0!</v>
      </c>
      <c r="BF122" s="13" t="e">
        <f t="shared" si="94"/>
        <v>#DIV/0!</v>
      </c>
      <c r="BG122" s="13">
        <f t="shared" si="94"/>
        <v>0.11139117823887253</v>
      </c>
      <c r="BH122" s="163">
        <f t="shared" si="94"/>
        <v>0.11139117823887253</v>
      </c>
      <c r="BI122" s="46">
        <f t="shared" si="94"/>
        <v>0.13278818936002623</v>
      </c>
      <c r="BJ122" s="13">
        <f t="shared" si="94"/>
        <v>0.11153139919206757</v>
      </c>
      <c r="BK122" s="52">
        <f t="shared" si="94"/>
        <v>0.16343432345971187</v>
      </c>
      <c r="BM122" s="14">
        <f>BM121/BM117</f>
        <v>2.4637284423761292E-2</v>
      </c>
    </row>
    <row r="123" spans="1:65" ht="15.75">
      <c r="A123" s="130"/>
      <c r="B123" s="5" t="s">
        <v>328</v>
      </c>
      <c r="C123" s="128" t="e">
        <f>C118/C115</f>
        <v>#DIV/0!</v>
      </c>
      <c r="D123" s="128" t="e">
        <f t="shared" ref="D123:BK123" si="95">D118/D115</f>
        <v>#DIV/0!</v>
      </c>
      <c r="E123" s="128" t="e">
        <f t="shared" si="95"/>
        <v>#DIV/0!</v>
      </c>
      <c r="F123" s="128" t="e">
        <f t="shared" si="95"/>
        <v>#DIV/0!</v>
      </c>
      <c r="G123" s="128" t="e">
        <f t="shared" si="95"/>
        <v>#DIV/0!</v>
      </c>
      <c r="H123" s="128">
        <f t="shared" si="95"/>
        <v>0.99999670350499836</v>
      </c>
      <c r="I123" s="128" t="e">
        <f t="shared" si="95"/>
        <v>#DIV/0!</v>
      </c>
      <c r="J123" s="128" t="e">
        <f t="shared" si="95"/>
        <v>#DIV/0!</v>
      </c>
      <c r="K123" s="128" t="e">
        <f t="shared" si="95"/>
        <v>#DIV/0!</v>
      </c>
      <c r="L123" s="128" t="e">
        <f t="shared" si="95"/>
        <v>#DIV/0!</v>
      </c>
      <c r="M123" s="128" t="e">
        <f t="shared" si="95"/>
        <v>#DIV/0!</v>
      </c>
      <c r="N123" s="128" t="e">
        <f t="shared" si="95"/>
        <v>#DIV/0!</v>
      </c>
      <c r="O123" s="128" t="e">
        <f t="shared" si="95"/>
        <v>#DIV/0!</v>
      </c>
      <c r="P123" s="128" t="e">
        <f t="shared" si="95"/>
        <v>#DIV/0!</v>
      </c>
      <c r="Q123" s="128" t="e">
        <f t="shared" si="95"/>
        <v>#DIV/0!</v>
      </c>
      <c r="R123" s="128" t="e">
        <f t="shared" si="95"/>
        <v>#DIV/0!</v>
      </c>
      <c r="S123" s="128" t="e">
        <f t="shared" si="95"/>
        <v>#DIV/0!</v>
      </c>
      <c r="T123" s="128" t="e">
        <f t="shared" si="95"/>
        <v>#DIV/0!</v>
      </c>
      <c r="U123" s="128" t="e">
        <f t="shared" si="95"/>
        <v>#DIV/0!</v>
      </c>
      <c r="V123" s="178" t="e">
        <f t="shared" si="95"/>
        <v>#DIV/0!</v>
      </c>
      <c r="W123" s="128" t="e">
        <f t="shared" si="95"/>
        <v>#DIV/0!</v>
      </c>
      <c r="X123" s="128" t="e">
        <f t="shared" si="95"/>
        <v>#DIV/0!</v>
      </c>
      <c r="Y123" s="128" t="e">
        <f t="shared" si="95"/>
        <v>#DIV/0!</v>
      </c>
      <c r="Z123" s="128" t="e">
        <f t="shared" si="95"/>
        <v>#DIV/0!</v>
      </c>
      <c r="AA123" s="128" t="e">
        <f t="shared" si="95"/>
        <v>#DIV/0!</v>
      </c>
      <c r="AB123" s="128" t="e">
        <f>AB118/AB115</f>
        <v>#DIV/0!</v>
      </c>
      <c r="AC123" s="217" t="e">
        <f t="shared" si="95"/>
        <v>#DIV/0!</v>
      </c>
      <c r="AD123" s="128">
        <f t="shared" si="95"/>
        <v>0.99999670350499836</v>
      </c>
      <c r="AE123" s="128" t="e">
        <f t="shared" si="95"/>
        <v>#DIV/0!</v>
      </c>
      <c r="AF123" s="128" t="e">
        <f t="shared" si="95"/>
        <v>#DIV/0!</v>
      </c>
      <c r="AG123" s="128" t="e">
        <f t="shared" si="95"/>
        <v>#DIV/0!</v>
      </c>
      <c r="AH123" s="128" t="e">
        <f t="shared" si="95"/>
        <v>#DIV/0!</v>
      </c>
      <c r="AI123" s="128" t="e">
        <f t="shared" si="95"/>
        <v>#DIV/0!</v>
      </c>
      <c r="AJ123" s="128" t="e">
        <f t="shared" si="95"/>
        <v>#DIV/0!</v>
      </c>
      <c r="AK123" s="128" t="e">
        <f t="shared" si="95"/>
        <v>#DIV/0!</v>
      </c>
      <c r="AL123" s="128" t="e">
        <f t="shared" si="95"/>
        <v>#DIV/0!</v>
      </c>
      <c r="AM123" s="128" t="e">
        <f t="shared" si="95"/>
        <v>#DIV/0!</v>
      </c>
      <c r="AN123" s="128" t="e">
        <f t="shared" si="95"/>
        <v>#DIV/0!</v>
      </c>
      <c r="AO123" s="178" t="e">
        <f t="shared" si="95"/>
        <v>#DIV/0!</v>
      </c>
      <c r="AP123" s="128" t="e">
        <f t="shared" si="95"/>
        <v>#DIV/0!</v>
      </c>
      <c r="AQ123" s="217" t="e">
        <f t="shared" si="95"/>
        <v>#DIV/0!</v>
      </c>
      <c r="AR123" s="128" t="e">
        <f t="shared" si="95"/>
        <v>#DIV/0!</v>
      </c>
      <c r="AS123" s="128" t="e">
        <f t="shared" si="95"/>
        <v>#DIV/0!</v>
      </c>
      <c r="AT123" s="128" t="e">
        <f t="shared" si="95"/>
        <v>#DIV/0!</v>
      </c>
      <c r="AU123" s="128" t="e">
        <f t="shared" si="95"/>
        <v>#DIV/0!</v>
      </c>
      <c r="AV123" s="128" t="e">
        <f t="shared" si="95"/>
        <v>#DIV/0!</v>
      </c>
      <c r="AW123" s="128" t="e">
        <f t="shared" si="95"/>
        <v>#DIV/0!</v>
      </c>
      <c r="AX123" s="128" t="e">
        <f t="shared" si="95"/>
        <v>#DIV/0!</v>
      </c>
      <c r="AY123" s="128" t="e">
        <f t="shared" si="95"/>
        <v>#DIV/0!</v>
      </c>
      <c r="AZ123" s="128" t="e">
        <f t="shared" si="95"/>
        <v>#DIV/0!</v>
      </c>
      <c r="BA123" s="128" t="e">
        <f t="shared" si="95"/>
        <v>#DIV/0!</v>
      </c>
      <c r="BB123" s="217" t="e">
        <f t="shared" si="95"/>
        <v>#DIV/0!</v>
      </c>
      <c r="BC123" s="128" t="e">
        <f t="shared" si="95"/>
        <v>#DIV/0!</v>
      </c>
      <c r="BD123" s="128" t="e">
        <f t="shared" si="95"/>
        <v>#DIV/0!</v>
      </c>
      <c r="BE123" s="128" t="e">
        <f t="shared" si="95"/>
        <v>#DIV/0!</v>
      </c>
      <c r="BF123" s="128" t="e">
        <f t="shared" si="95"/>
        <v>#DIV/0!</v>
      </c>
      <c r="BG123" s="128">
        <f t="shared" si="95"/>
        <v>0.99997972936717872</v>
      </c>
      <c r="BH123" s="178">
        <f t="shared" si="95"/>
        <v>0.99997972936717872</v>
      </c>
      <c r="BI123" s="128">
        <f t="shared" si="95"/>
        <v>0.99998685445576296</v>
      </c>
      <c r="BJ123" s="128">
        <f t="shared" si="95"/>
        <v>1.0005205400234343</v>
      </c>
      <c r="BK123" s="128">
        <f t="shared" si="95"/>
        <v>0.9992526911883306</v>
      </c>
      <c r="BM123" s="128">
        <f>BM118/BM115</f>
        <v>0.73377769064889242</v>
      </c>
    </row>
    <row r="124" spans="1:65" s="181" customFormat="1" ht="15.75">
      <c r="A124" s="130"/>
      <c r="B124" s="5" t="s">
        <v>327</v>
      </c>
      <c r="C124" s="11">
        <f>C115-C118</f>
        <v>0</v>
      </c>
      <c r="D124" s="11">
        <f t="shared" ref="D124:BK124" si="96">D115-D118</f>
        <v>0</v>
      </c>
      <c r="E124" s="11">
        <f t="shared" si="96"/>
        <v>0</v>
      </c>
      <c r="F124" s="11">
        <f t="shared" si="96"/>
        <v>0</v>
      </c>
      <c r="G124" s="11">
        <f t="shared" si="96"/>
        <v>0</v>
      </c>
      <c r="H124" s="11">
        <f t="shared" si="96"/>
        <v>6</v>
      </c>
      <c r="I124" s="11">
        <f t="shared" si="96"/>
        <v>0</v>
      </c>
      <c r="J124" s="11">
        <f t="shared" si="96"/>
        <v>0</v>
      </c>
      <c r="K124" s="11">
        <f t="shared" si="96"/>
        <v>0</v>
      </c>
      <c r="L124" s="11">
        <f t="shared" si="96"/>
        <v>0</v>
      </c>
      <c r="M124" s="11">
        <f t="shared" si="96"/>
        <v>0</v>
      </c>
      <c r="N124" s="11">
        <f t="shared" si="96"/>
        <v>0</v>
      </c>
      <c r="O124" s="11">
        <f t="shared" si="96"/>
        <v>0</v>
      </c>
      <c r="P124" s="11">
        <f t="shared" si="96"/>
        <v>0</v>
      </c>
      <c r="Q124" s="11">
        <f t="shared" si="96"/>
        <v>0</v>
      </c>
      <c r="R124" s="11">
        <f t="shared" si="96"/>
        <v>0</v>
      </c>
      <c r="S124" s="11">
        <f t="shared" si="96"/>
        <v>0</v>
      </c>
      <c r="T124" s="11">
        <f t="shared" si="96"/>
        <v>0</v>
      </c>
      <c r="U124" s="11">
        <f t="shared" si="96"/>
        <v>0</v>
      </c>
      <c r="V124" s="11">
        <f t="shared" si="96"/>
        <v>0</v>
      </c>
      <c r="W124" s="11">
        <f t="shared" si="96"/>
        <v>0</v>
      </c>
      <c r="X124" s="11">
        <f t="shared" si="96"/>
        <v>0</v>
      </c>
      <c r="Y124" s="11">
        <f t="shared" si="96"/>
        <v>0</v>
      </c>
      <c r="Z124" s="11">
        <f t="shared" si="96"/>
        <v>0</v>
      </c>
      <c r="AA124" s="11">
        <f t="shared" si="96"/>
        <v>0</v>
      </c>
      <c r="AB124" s="11">
        <f t="shared" si="96"/>
        <v>0</v>
      </c>
      <c r="AC124" s="11">
        <f t="shared" si="96"/>
        <v>0</v>
      </c>
      <c r="AD124" s="11">
        <f t="shared" si="96"/>
        <v>6</v>
      </c>
      <c r="AE124" s="11">
        <f t="shared" si="96"/>
        <v>0</v>
      </c>
      <c r="AF124" s="11">
        <f t="shared" si="96"/>
        <v>0</v>
      </c>
      <c r="AG124" s="11">
        <f t="shared" si="96"/>
        <v>0</v>
      </c>
      <c r="AH124" s="11">
        <f t="shared" si="96"/>
        <v>0</v>
      </c>
      <c r="AI124" s="11">
        <f t="shared" si="96"/>
        <v>0</v>
      </c>
      <c r="AJ124" s="11">
        <f t="shared" si="96"/>
        <v>0</v>
      </c>
      <c r="AK124" s="11">
        <f t="shared" si="96"/>
        <v>0</v>
      </c>
      <c r="AL124" s="11">
        <f t="shared" si="96"/>
        <v>0</v>
      </c>
      <c r="AM124" s="11">
        <f t="shared" si="96"/>
        <v>0</v>
      </c>
      <c r="AN124" s="11">
        <f t="shared" si="96"/>
        <v>0</v>
      </c>
      <c r="AO124" s="11">
        <f t="shared" si="96"/>
        <v>0</v>
      </c>
      <c r="AP124" s="11">
        <f t="shared" si="96"/>
        <v>0</v>
      </c>
      <c r="AQ124" s="11">
        <f t="shared" si="96"/>
        <v>0</v>
      </c>
      <c r="AR124" s="11">
        <f t="shared" si="96"/>
        <v>0</v>
      </c>
      <c r="AS124" s="11">
        <f t="shared" si="96"/>
        <v>0</v>
      </c>
      <c r="AT124" s="11">
        <f t="shared" si="96"/>
        <v>0</v>
      </c>
      <c r="AU124" s="11">
        <f t="shared" si="96"/>
        <v>0</v>
      </c>
      <c r="AV124" s="11">
        <f t="shared" si="96"/>
        <v>0</v>
      </c>
      <c r="AW124" s="11">
        <f t="shared" si="96"/>
        <v>0</v>
      </c>
      <c r="AX124" s="11">
        <f t="shared" si="96"/>
        <v>0</v>
      </c>
      <c r="AY124" s="11">
        <f t="shared" si="96"/>
        <v>0</v>
      </c>
      <c r="AZ124" s="11">
        <f t="shared" si="96"/>
        <v>0</v>
      </c>
      <c r="BA124" s="11">
        <f t="shared" si="96"/>
        <v>0</v>
      </c>
      <c r="BB124" s="11">
        <f t="shared" si="96"/>
        <v>0</v>
      </c>
      <c r="BC124" s="11">
        <f t="shared" si="96"/>
        <v>0</v>
      </c>
      <c r="BD124" s="11">
        <f t="shared" si="96"/>
        <v>0</v>
      </c>
      <c r="BE124" s="11">
        <f t="shared" si="96"/>
        <v>0</v>
      </c>
      <c r="BF124" s="11">
        <f t="shared" si="96"/>
        <v>0</v>
      </c>
      <c r="BG124" s="11">
        <f t="shared" si="96"/>
        <v>51</v>
      </c>
      <c r="BH124" s="11">
        <f t="shared" si="96"/>
        <v>51</v>
      </c>
      <c r="BI124" s="11">
        <f t="shared" si="96"/>
        <v>57</v>
      </c>
      <c r="BJ124" s="11">
        <f t="shared" si="96"/>
        <v>-1307</v>
      </c>
      <c r="BK124" s="11">
        <f t="shared" si="96"/>
        <v>1364</v>
      </c>
      <c r="BL124" s="11">
        <f>BL118-BL115</f>
        <v>1823851</v>
      </c>
      <c r="BM124" s="11">
        <f>BM118-BM115</f>
        <v>-1358</v>
      </c>
    </row>
    <row r="125" spans="1:65"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44"/>
      <c r="BJ125" s="5"/>
      <c r="BK125" s="50"/>
    </row>
    <row r="126" spans="1:65" ht="15.75">
      <c r="A126" s="130" t="s">
        <v>122</v>
      </c>
      <c r="B126" s="9" t="s">
        <v>326</v>
      </c>
      <c r="C126" s="5">
        <f t="shared" ref="C126:AC126" si="97">C5+C16+C27+C38+C49+C60+C71+C82+C93+C104+C115</f>
        <v>12980969</v>
      </c>
      <c r="D126" s="5">
        <f t="shared" si="97"/>
        <v>6382927</v>
      </c>
      <c r="E126" s="5">
        <f t="shared" si="97"/>
        <v>515874</v>
      </c>
      <c r="F126" s="5">
        <f t="shared" si="97"/>
        <v>1506455</v>
      </c>
      <c r="G126" s="5">
        <f t="shared" si="97"/>
        <v>1033795</v>
      </c>
      <c r="H126" s="5">
        <f t="shared" si="97"/>
        <v>1820115</v>
      </c>
      <c r="I126" s="5">
        <f t="shared" si="97"/>
        <v>0</v>
      </c>
      <c r="J126" s="5">
        <f t="shared" si="97"/>
        <v>1797666</v>
      </c>
      <c r="K126" s="5">
        <f t="shared" si="97"/>
        <v>102204</v>
      </c>
      <c r="L126" s="5">
        <f t="shared" si="97"/>
        <v>430865</v>
      </c>
      <c r="M126" s="5">
        <f t="shared" si="97"/>
        <v>715444</v>
      </c>
      <c r="N126" s="5">
        <f t="shared" si="97"/>
        <v>1947</v>
      </c>
      <c r="O126" s="5">
        <f t="shared" si="97"/>
        <v>44029</v>
      </c>
      <c r="P126" s="5">
        <f t="shared" si="97"/>
        <v>620691</v>
      </c>
      <c r="Q126" s="5">
        <f t="shared" si="97"/>
        <v>0</v>
      </c>
      <c r="R126" s="5">
        <f t="shared" si="97"/>
        <v>36670</v>
      </c>
      <c r="S126" s="5">
        <f t="shared" si="97"/>
        <v>472220</v>
      </c>
      <c r="T126" s="5">
        <f t="shared" si="97"/>
        <v>531363</v>
      </c>
      <c r="U126" s="5">
        <f t="shared" si="97"/>
        <v>0</v>
      </c>
      <c r="V126" s="16">
        <f t="shared" si="97"/>
        <v>105320</v>
      </c>
      <c r="W126" s="5">
        <f t="shared" si="97"/>
        <v>91</v>
      </c>
      <c r="X126" s="5">
        <f t="shared" si="97"/>
        <v>0</v>
      </c>
      <c r="Y126" s="5">
        <f t="shared" si="97"/>
        <v>43100</v>
      </c>
      <c r="Z126" s="5">
        <f t="shared" si="97"/>
        <v>11804</v>
      </c>
      <c r="AA126" s="5">
        <f t="shared" si="97"/>
        <v>12424</v>
      </c>
      <c r="AB126" s="5">
        <f t="shared" si="97"/>
        <v>0</v>
      </c>
      <c r="AC126" s="6">
        <f t="shared" si="97"/>
        <v>211039</v>
      </c>
      <c r="AD126" s="123">
        <f>SUM(C126:AC126)</f>
        <v>29377012</v>
      </c>
      <c r="AE126" s="5">
        <f t="shared" ref="AE126:BH126" si="98">AE5+AE16+AE27+AE38+AE49+AE60+AE71+AE82+AE93+AE104+AE115</f>
        <v>1184</v>
      </c>
      <c r="AF126" s="5">
        <f t="shared" si="98"/>
        <v>20223</v>
      </c>
      <c r="AG126" s="5">
        <f t="shared" si="98"/>
        <v>46752</v>
      </c>
      <c r="AH126" s="5">
        <f t="shared" si="98"/>
        <v>0</v>
      </c>
      <c r="AI126" s="5">
        <f t="shared" si="98"/>
        <v>0</v>
      </c>
      <c r="AJ126" s="5">
        <f t="shared" si="98"/>
        <v>17318</v>
      </c>
      <c r="AK126" s="5">
        <f t="shared" si="98"/>
        <v>1127718</v>
      </c>
      <c r="AL126" s="5">
        <f t="shared" si="98"/>
        <v>659322</v>
      </c>
      <c r="AM126" s="5">
        <f t="shared" si="98"/>
        <v>10369736</v>
      </c>
      <c r="AN126" s="5">
        <f t="shared" si="98"/>
        <v>316113</v>
      </c>
      <c r="AO126" s="16">
        <f t="shared" si="98"/>
        <v>2247773</v>
      </c>
      <c r="AP126" s="5">
        <f t="shared" si="98"/>
        <v>-678735</v>
      </c>
      <c r="AQ126" s="6">
        <f t="shared" si="98"/>
        <v>141655</v>
      </c>
      <c r="AR126" s="5">
        <f t="shared" si="98"/>
        <v>13476</v>
      </c>
      <c r="AS126" s="5">
        <f t="shared" si="98"/>
        <v>0</v>
      </c>
      <c r="AT126" s="5">
        <f t="shared" si="98"/>
        <v>0</v>
      </c>
      <c r="AU126" s="5">
        <f t="shared" si="98"/>
        <v>8671</v>
      </c>
      <c r="AV126" s="5">
        <f t="shared" si="98"/>
        <v>0</v>
      </c>
      <c r="AW126" s="5">
        <f t="shared" si="98"/>
        <v>0</v>
      </c>
      <c r="AX126" s="5">
        <f t="shared" si="98"/>
        <v>2292</v>
      </c>
      <c r="AY126" s="5">
        <f t="shared" si="98"/>
        <v>0</v>
      </c>
      <c r="AZ126" s="5">
        <f t="shared" si="98"/>
        <v>0</v>
      </c>
      <c r="BA126" s="5">
        <f t="shared" si="98"/>
        <v>405370</v>
      </c>
      <c r="BB126" s="6">
        <f t="shared" si="98"/>
        <v>155985</v>
      </c>
      <c r="BC126" s="5">
        <f t="shared" si="98"/>
        <v>102900</v>
      </c>
      <c r="BD126" s="5">
        <f t="shared" si="98"/>
        <v>102900</v>
      </c>
      <c r="BE126" s="5">
        <f t="shared" si="98"/>
        <v>0</v>
      </c>
      <c r="BF126" s="5">
        <f t="shared" si="98"/>
        <v>84423</v>
      </c>
      <c r="BG126" s="11">
        <f t="shared" si="98"/>
        <v>3085065</v>
      </c>
      <c r="BH126" s="16">
        <f t="shared" si="98"/>
        <v>18230141</v>
      </c>
      <c r="BI126" s="125">
        <f>AD126+BH126</f>
        <v>47607153</v>
      </c>
      <c r="BJ126" s="5">
        <f t="shared" ref="BJ126:BK129" si="99">BJ5+BJ16+BJ27+BJ38+BJ49+BJ60+BJ71+BJ82+BJ93+BJ104+BJ115</f>
        <v>2810106</v>
      </c>
      <c r="BK126" s="51">
        <f t="shared" si="99"/>
        <v>44797047</v>
      </c>
      <c r="BM126" s="30">
        <f>BK126-AD126</f>
        <v>15420035</v>
      </c>
    </row>
    <row r="127" spans="1:65" s="41" customFormat="1" ht="15.75">
      <c r="A127" s="136"/>
      <c r="B127" s="234" t="s">
        <v>321</v>
      </c>
      <c r="C127" s="10">
        <f t="shared" ref="C127:AC127" si="100">C6+C17+C28+C39+C50+C61+C72+C83+C94+C105+C116</f>
        <v>12980969</v>
      </c>
      <c r="D127" s="10">
        <f t="shared" si="100"/>
        <v>6382927</v>
      </c>
      <c r="E127" s="10">
        <f>E6+E17+E28+E39+F50+E61+E72+E83+E94+E105+E116</f>
        <v>569678</v>
      </c>
      <c r="F127" s="10">
        <f>F6+F17+F28+F39+G50+F61+F72+F83+F94+F105+F116</f>
        <v>1501559</v>
      </c>
      <c r="G127" s="10">
        <f>G6+G17+G28+G39+H50+G61+G72+G83+G94+G105+G116</f>
        <v>920660</v>
      </c>
      <c r="H127" s="10">
        <f>H6+H17+H28+H39+I50+H61+H72+H83+H94+H105+H116</f>
        <v>1820115</v>
      </c>
      <c r="I127" s="10">
        <f t="shared" si="100"/>
        <v>0</v>
      </c>
      <c r="J127" s="10">
        <f t="shared" si="100"/>
        <v>1797666</v>
      </c>
      <c r="K127" s="10">
        <f t="shared" si="100"/>
        <v>102204</v>
      </c>
      <c r="L127" s="10">
        <f t="shared" si="100"/>
        <v>430865</v>
      </c>
      <c r="M127" s="10">
        <f t="shared" si="100"/>
        <v>715444</v>
      </c>
      <c r="N127" s="10">
        <f t="shared" si="100"/>
        <v>1947</v>
      </c>
      <c r="O127" s="10">
        <f t="shared" si="100"/>
        <v>44029</v>
      </c>
      <c r="P127" s="10">
        <f t="shared" si="100"/>
        <v>620691</v>
      </c>
      <c r="Q127" s="10">
        <f t="shared" si="100"/>
        <v>0</v>
      </c>
      <c r="R127" s="10">
        <f t="shared" si="100"/>
        <v>36670</v>
      </c>
      <c r="S127" s="10">
        <f t="shared" si="100"/>
        <v>472220</v>
      </c>
      <c r="T127" s="10">
        <f t="shared" si="100"/>
        <v>531363</v>
      </c>
      <c r="U127" s="10">
        <f t="shared" si="100"/>
        <v>0</v>
      </c>
      <c r="V127" s="10">
        <f t="shared" si="100"/>
        <v>105320</v>
      </c>
      <c r="W127" s="10">
        <f t="shared" si="100"/>
        <v>91</v>
      </c>
      <c r="X127" s="10">
        <f t="shared" si="100"/>
        <v>0</v>
      </c>
      <c r="Y127" s="10">
        <f t="shared" si="100"/>
        <v>43100</v>
      </c>
      <c r="Z127" s="10">
        <f t="shared" si="100"/>
        <v>11804</v>
      </c>
      <c r="AA127" s="10">
        <f t="shared" si="100"/>
        <v>12424</v>
      </c>
      <c r="AB127" s="10">
        <f t="shared" si="100"/>
        <v>0</v>
      </c>
      <c r="AC127" s="10">
        <f t="shared" si="100"/>
        <v>211039</v>
      </c>
      <c r="AD127" s="123">
        <f>SUM(C127:AC127)</f>
        <v>29312785</v>
      </c>
      <c r="AE127" s="6">
        <f t="shared" ref="AE127:BH127" si="101">AE6+AE17+AE28+AE39+AE50+AE61+AE72+AE83+AE94+AE105+AE116</f>
        <v>1184</v>
      </c>
      <c r="AF127" s="6">
        <f t="shared" si="101"/>
        <v>20223</v>
      </c>
      <c r="AG127" s="6">
        <f t="shared" si="101"/>
        <v>46752</v>
      </c>
      <c r="AH127" s="6">
        <f t="shared" si="101"/>
        <v>0</v>
      </c>
      <c r="AI127" s="6">
        <f t="shared" si="101"/>
        <v>0</v>
      </c>
      <c r="AJ127" s="6">
        <f t="shared" si="101"/>
        <v>17318</v>
      </c>
      <c r="AK127" s="6">
        <f t="shared" si="101"/>
        <v>1127718</v>
      </c>
      <c r="AL127" s="6">
        <f t="shared" si="101"/>
        <v>659322</v>
      </c>
      <c r="AM127" s="6">
        <f t="shared" si="101"/>
        <v>10369736</v>
      </c>
      <c r="AN127" s="6">
        <f t="shared" si="101"/>
        <v>316113</v>
      </c>
      <c r="AO127" s="6">
        <f t="shared" si="101"/>
        <v>2247773</v>
      </c>
      <c r="AP127" s="6">
        <f t="shared" si="101"/>
        <v>-678735</v>
      </c>
      <c r="AQ127" s="6">
        <f t="shared" si="101"/>
        <v>141655</v>
      </c>
      <c r="AR127" s="6">
        <f t="shared" si="101"/>
        <v>13476</v>
      </c>
      <c r="AS127" s="6">
        <f t="shared" si="101"/>
        <v>0</v>
      </c>
      <c r="AT127" s="6">
        <f t="shared" si="101"/>
        <v>0</v>
      </c>
      <c r="AU127" s="6">
        <f t="shared" si="101"/>
        <v>8671</v>
      </c>
      <c r="AV127" s="6">
        <f t="shared" si="101"/>
        <v>0</v>
      </c>
      <c r="AW127" s="6">
        <f t="shared" si="101"/>
        <v>0</v>
      </c>
      <c r="AX127" s="6">
        <f t="shared" si="101"/>
        <v>2292</v>
      </c>
      <c r="AY127" s="6">
        <f t="shared" si="101"/>
        <v>0</v>
      </c>
      <c r="AZ127" s="10">
        <f t="shared" si="101"/>
        <v>0</v>
      </c>
      <c r="BA127" s="6">
        <f t="shared" si="101"/>
        <v>405370</v>
      </c>
      <c r="BB127" s="6">
        <f t="shared" si="101"/>
        <v>155985</v>
      </c>
      <c r="BC127" s="6">
        <f t="shared" si="101"/>
        <v>102900</v>
      </c>
      <c r="BD127" s="6">
        <f t="shared" si="101"/>
        <v>102900</v>
      </c>
      <c r="BE127" s="6">
        <f t="shared" si="101"/>
        <v>0</v>
      </c>
      <c r="BF127" s="6">
        <f t="shared" si="101"/>
        <v>84423</v>
      </c>
      <c r="BG127" s="10">
        <f t="shared" si="101"/>
        <v>3085065</v>
      </c>
      <c r="BH127" s="10">
        <f t="shared" si="101"/>
        <v>18230141</v>
      </c>
      <c r="BI127" s="220">
        <f>AD127+BH127</f>
        <v>47542926</v>
      </c>
      <c r="BJ127" s="10">
        <f t="shared" si="99"/>
        <v>2810106</v>
      </c>
      <c r="BK127" s="10">
        <f t="shared" si="99"/>
        <v>44797047</v>
      </c>
      <c r="BM127" s="218">
        <f t="shared" ref="BM127:BM132" si="102">BK127-AD127</f>
        <v>15484262</v>
      </c>
    </row>
    <row r="128" spans="1:65" ht="15.75">
      <c r="B128" s="12" t="s">
        <v>322</v>
      </c>
      <c r="C128" s="11">
        <f>C7+C18+C29+C40+C51+C62+C73+C84+C95+C106+C117</f>
        <v>12580947</v>
      </c>
      <c r="D128" s="5">
        <f t="shared" ref="D128:AC128" si="103">D7+D18+D29+D40+D51+D62+D73+D84+D95+D106+D117</f>
        <v>5003052</v>
      </c>
      <c r="E128" s="5">
        <f t="shared" si="103"/>
        <v>508114</v>
      </c>
      <c r="F128" s="5">
        <f t="shared" si="103"/>
        <v>1436122</v>
      </c>
      <c r="G128" s="5">
        <f t="shared" si="103"/>
        <v>935964</v>
      </c>
      <c r="H128" s="5">
        <f t="shared" si="103"/>
        <v>1563992</v>
      </c>
      <c r="I128" s="5">
        <f t="shared" si="103"/>
        <v>0</v>
      </c>
      <c r="J128" s="5">
        <f t="shared" si="103"/>
        <v>1436998</v>
      </c>
      <c r="K128" s="5">
        <f t="shared" si="103"/>
        <v>89757</v>
      </c>
      <c r="L128" s="5">
        <f t="shared" si="103"/>
        <v>267935</v>
      </c>
      <c r="M128" s="5">
        <f t="shared" si="103"/>
        <v>665072</v>
      </c>
      <c r="N128" s="5">
        <f t="shared" si="103"/>
        <v>1321</v>
      </c>
      <c r="O128" s="5">
        <f t="shared" si="103"/>
        <v>30379</v>
      </c>
      <c r="P128" s="5">
        <f t="shared" si="103"/>
        <v>498153</v>
      </c>
      <c r="Q128" s="5">
        <f t="shared" si="103"/>
        <v>0</v>
      </c>
      <c r="R128" s="5">
        <f t="shared" si="103"/>
        <v>34093</v>
      </c>
      <c r="S128" s="5">
        <f t="shared" si="103"/>
        <v>424698</v>
      </c>
      <c r="T128" s="5">
        <f t="shared" si="103"/>
        <v>378075</v>
      </c>
      <c r="U128" s="5">
        <f t="shared" si="103"/>
        <v>0</v>
      </c>
      <c r="V128" s="16">
        <f t="shared" si="103"/>
        <v>111842</v>
      </c>
      <c r="W128" s="5">
        <f t="shared" si="103"/>
        <v>0</v>
      </c>
      <c r="X128" s="5">
        <f t="shared" si="103"/>
        <v>0</v>
      </c>
      <c r="Y128" s="5">
        <f t="shared" si="103"/>
        <v>51823</v>
      </c>
      <c r="Z128" s="5">
        <f t="shared" si="103"/>
        <v>24289</v>
      </c>
      <c r="AA128" s="5">
        <f t="shared" si="103"/>
        <v>12691</v>
      </c>
      <c r="AB128" s="5">
        <f t="shared" si="103"/>
        <v>96</v>
      </c>
      <c r="AC128" s="6">
        <f t="shared" si="103"/>
        <v>283906</v>
      </c>
      <c r="AD128" s="123">
        <f>SUM(C128:AC128)</f>
        <v>26339319</v>
      </c>
      <c r="AE128" s="5">
        <f t="shared" ref="AE128:BH128" si="104">AE7+AE18+AE29+AE40+AE51+AE62+AE73+AE84+AE95+AE106+AE117</f>
        <v>757</v>
      </c>
      <c r="AF128" s="5">
        <f t="shared" si="104"/>
        <v>15155</v>
      </c>
      <c r="AG128" s="5">
        <f t="shared" si="104"/>
        <v>42075</v>
      </c>
      <c r="AH128" s="5">
        <f t="shared" si="104"/>
        <v>0</v>
      </c>
      <c r="AI128" s="5">
        <f t="shared" si="104"/>
        <v>0</v>
      </c>
      <c r="AJ128" s="5">
        <f t="shared" si="104"/>
        <v>22304</v>
      </c>
      <c r="AK128" s="5">
        <f t="shared" si="104"/>
        <v>1201284</v>
      </c>
      <c r="AL128" s="5">
        <f t="shared" si="104"/>
        <v>462910</v>
      </c>
      <c r="AM128" s="5">
        <f t="shared" si="104"/>
        <v>9673710</v>
      </c>
      <c r="AN128" s="5">
        <f t="shared" si="104"/>
        <v>217266</v>
      </c>
      <c r="AO128" s="16">
        <f t="shared" si="104"/>
        <v>2017418</v>
      </c>
      <c r="AP128" s="5">
        <f t="shared" si="104"/>
        <v>-723788</v>
      </c>
      <c r="AQ128" s="6">
        <f t="shared" si="104"/>
        <v>223623</v>
      </c>
      <c r="AR128" s="5">
        <f t="shared" si="104"/>
        <v>-11401</v>
      </c>
      <c r="AS128" s="5">
        <f t="shared" si="104"/>
        <v>0</v>
      </c>
      <c r="AT128" s="5">
        <f t="shared" si="104"/>
        <v>0</v>
      </c>
      <c r="AU128" s="5">
        <f t="shared" si="104"/>
        <v>-30475</v>
      </c>
      <c r="AV128" s="5">
        <f t="shared" si="104"/>
        <v>0</v>
      </c>
      <c r="AW128" s="5">
        <f t="shared" si="104"/>
        <v>4116</v>
      </c>
      <c r="AX128" s="5">
        <f t="shared" si="104"/>
        <v>1458</v>
      </c>
      <c r="AY128" s="5">
        <f t="shared" si="104"/>
        <v>1976</v>
      </c>
      <c r="AZ128" s="5">
        <f t="shared" si="104"/>
        <v>0</v>
      </c>
      <c r="BA128" s="5">
        <f t="shared" si="104"/>
        <v>858702</v>
      </c>
      <c r="BB128" s="6">
        <f t="shared" si="104"/>
        <v>205627</v>
      </c>
      <c r="BC128" s="5">
        <f t="shared" si="104"/>
        <v>105522</v>
      </c>
      <c r="BD128" s="5">
        <f t="shared" si="104"/>
        <v>104902</v>
      </c>
      <c r="BE128" s="5">
        <f t="shared" si="104"/>
        <v>0</v>
      </c>
      <c r="BF128" s="5">
        <f t="shared" si="104"/>
        <v>147852</v>
      </c>
      <c r="BG128" s="11">
        <f t="shared" si="104"/>
        <v>3102657</v>
      </c>
      <c r="BH128" s="9">
        <f t="shared" si="104"/>
        <v>17643650</v>
      </c>
      <c r="BI128" s="127">
        <f>AD128+BH128</f>
        <v>43982969</v>
      </c>
      <c r="BJ128" s="5">
        <f t="shared" si="99"/>
        <v>2759796</v>
      </c>
      <c r="BK128" s="51">
        <f t="shared" si="99"/>
        <v>41223173</v>
      </c>
      <c r="BL128" s="30">
        <f>'Upto Month COPPY'!N61-'Upto Month COPPY'!M61</f>
        <v>-41223174</v>
      </c>
      <c r="BM128" s="30">
        <f t="shared" si="102"/>
        <v>14883854</v>
      </c>
    </row>
    <row r="129" spans="1:65" ht="16.5" customHeight="1">
      <c r="A129" s="130"/>
      <c r="B129" s="183" t="s">
        <v>323</v>
      </c>
      <c r="C129" s="5">
        <f t="shared" ref="C129:AC129" si="105">C8+C19+C30+C41+C52+C63+C74+C85+C96+C107+C118</f>
        <v>12959712</v>
      </c>
      <c r="D129" s="5">
        <f t="shared" si="105"/>
        <v>6372468</v>
      </c>
      <c r="E129" s="5">
        <f t="shared" si="105"/>
        <v>514987</v>
      </c>
      <c r="F129" s="5">
        <f t="shared" si="105"/>
        <v>1503962</v>
      </c>
      <c r="G129" s="5">
        <f t="shared" si="105"/>
        <v>1032063</v>
      </c>
      <c r="H129" s="5">
        <f t="shared" si="105"/>
        <v>1820109</v>
      </c>
      <c r="I129" s="5">
        <f t="shared" si="105"/>
        <v>0</v>
      </c>
      <c r="J129" s="5">
        <f t="shared" si="105"/>
        <v>1794700</v>
      </c>
      <c r="K129" s="5">
        <f t="shared" si="105"/>
        <v>102067</v>
      </c>
      <c r="L129" s="5">
        <f t="shared" si="105"/>
        <v>430170</v>
      </c>
      <c r="M129" s="5">
        <f t="shared" si="105"/>
        <v>714247</v>
      </c>
      <c r="N129" s="5">
        <f t="shared" si="105"/>
        <v>1943</v>
      </c>
      <c r="O129" s="5">
        <f t="shared" si="105"/>
        <v>43960</v>
      </c>
      <c r="P129" s="5">
        <f t="shared" si="105"/>
        <v>619713</v>
      </c>
      <c r="Q129" s="5">
        <f t="shared" si="105"/>
        <v>0</v>
      </c>
      <c r="R129" s="5">
        <f t="shared" si="105"/>
        <v>36600</v>
      </c>
      <c r="S129" s="5">
        <f t="shared" si="105"/>
        <v>471322</v>
      </c>
      <c r="T129" s="5">
        <f t="shared" si="105"/>
        <v>530375</v>
      </c>
      <c r="U129" s="5">
        <f t="shared" si="105"/>
        <v>0</v>
      </c>
      <c r="V129" s="16">
        <f t="shared" si="105"/>
        <v>100878</v>
      </c>
      <c r="W129" s="5">
        <f t="shared" si="105"/>
        <v>91</v>
      </c>
      <c r="X129" s="5">
        <f t="shared" si="105"/>
        <v>0</v>
      </c>
      <c r="Y129" s="5">
        <f t="shared" si="105"/>
        <v>43039</v>
      </c>
      <c r="Z129" s="5">
        <f t="shared" si="105"/>
        <v>11789</v>
      </c>
      <c r="AA129" s="5">
        <f t="shared" si="105"/>
        <v>12407</v>
      </c>
      <c r="AB129" s="5">
        <f t="shared" si="105"/>
        <v>0</v>
      </c>
      <c r="AC129" s="6">
        <f t="shared" si="105"/>
        <v>210649</v>
      </c>
      <c r="AD129" s="123">
        <f>SUM(C129:AC129)</f>
        <v>29327251</v>
      </c>
      <c r="AE129" s="5">
        <f t="shared" ref="AE129:BH129" si="106">AE8+AE19+AE30+AE41+AE52+AE63+AE74+AE85+AE96+AE107+AE118</f>
        <v>1185</v>
      </c>
      <c r="AF129" s="5">
        <f t="shared" si="106"/>
        <v>20175</v>
      </c>
      <c r="AG129" s="5">
        <f t="shared" si="106"/>
        <v>46674</v>
      </c>
      <c r="AH129" s="5">
        <f t="shared" si="106"/>
        <v>0</v>
      </c>
      <c r="AI129" s="5">
        <f t="shared" si="106"/>
        <v>0</v>
      </c>
      <c r="AJ129" s="5">
        <f t="shared" si="106"/>
        <v>17295</v>
      </c>
      <c r="AK129" s="5">
        <f t="shared" si="106"/>
        <v>1125639</v>
      </c>
      <c r="AL129" s="5">
        <f t="shared" si="106"/>
        <v>658124</v>
      </c>
      <c r="AM129" s="5">
        <f t="shared" si="106"/>
        <v>10351012</v>
      </c>
      <c r="AN129" s="5">
        <f t="shared" si="106"/>
        <v>315525</v>
      </c>
      <c r="AO129" s="16">
        <f t="shared" si="106"/>
        <v>2241595</v>
      </c>
      <c r="AP129" s="5">
        <f t="shared" si="106"/>
        <v>-677477</v>
      </c>
      <c r="AQ129" s="6">
        <f t="shared" si="106"/>
        <v>145640</v>
      </c>
      <c r="AR129" s="5">
        <f t="shared" si="106"/>
        <v>13453</v>
      </c>
      <c r="AS129" s="5">
        <f t="shared" si="106"/>
        <v>0</v>
      </c>
      <c r="AT129" s="5">
        <f t="shared" si="106"/>
        <v>0</v>
      </c>
      <c r="AU129" s="5">
        <f t="shared" si="106"/>
        <v>8656</v>
      </c>
      <c r="AV129" s="5">
        <f t="shared" si="106"/>
        <v>0</v>
      </c>
      <c r="AW129" s="5">
        <f t="shared" si="106"/>
        <v>0</v>
      </c>
      <c r="AX129" s="5">
        <f t="shared" si="106"/>
        <v>2290</v>
      </c>
      <c r="AY129" s="5">
        <f t="shared" si="106"/>
        <v>0</v>
      </c>
      <c r="AZ129" s="5">
        <f t="shared" si="106"/>
        <v>0</v>
      </c>
      <c r="BA129" s="5">
        <f t="shared" si="106"/>
        <v>404640</v>
      </c>
      <c r="BB129" s="6">
        <f t="shared" si="106"/>
        <v>155698</v>
      </c>
      <c r="BC129" s="5">
        <f t="shared" si="106"/>
        <v>102557</v>
      </c>
      <c r="BD129" s="5">
        <f t="shared" si="106"/>
        <v>102557</v>
      </c>
      <c r="BE129" s="5">
        <f t="shared" si="106"/>
        <v>0</v>
      </c>
      <c r="BF129" s="5">
        <f t="shared" si="106"/>
        <v>84275</v>
      </c>
      <c r="BG129" s="5">
        <f t="shared" si="106"/>
        <v>3084028</v>
      </c>
      <c r="BH129" s="16">
        <f t="shared" si="106"/>
        <v>18203541</v>
      </c>
      <c r="BI129" s="127">
        <f>AD129+BH129</f>
        <v>47530792</v>
      </c>
      <c r="BJ129" s="5">
        <f t="shared" si="99"/>
        <v>2811409</v>
      </c>
      <c r="BK129" s="51">
        <f t="shared" si="99"/>
        <v>44719383</v>
      </c>
      <c r="BL129" s="30">
        <f>'Upto Month Current'!N61-'Upto Month Current'!M61</f>
        <v>-44719376</v>
      </c>
      <c r="BM129" s="30">
        <f t="shared" si="102"/>
        <v>15392132</v>
      </c>
    </row>
    <row r="130" spans="1:65" ht="15.75">
      <c r="A130" s="130"/>
      <c r="B130" s="5" t="s">
        <v>124</v>
      </c>
      <c r="C130" s="11">
        <f t="shared" ref="C130:AH130" si="107">C129-C127</f>
        <v>-21257</v>
      </c>
      <c r="D130" s="11">
        <f t="shared" si="107"/>
        <v>-10459</v>
      </c>
      <c r="E130" s="11">
        <f t="shared" si="107"/>
        <v>-54691</v>
      </c>
      <c r="F130" s="11">
        <f t="shared" si="107"/>
        <v>2403</v>
      </c>
      <c r="G130" s="11">
        <f t="shared" si="107"/>
        <v>111403</v>
      </c>
      <c r="H130" s="11">
        <f t="shared" si="107"/>
        <v>-6</v>
      </c>
      <c r="I130" s="11">
        <f t="shared" si="107"/>
        <v>0</v>
      </c>
      <c r="J130" s="11">
        <f t="shared" si="107"/>
        <v>-2966</v>
      </c>
      <c r="K130" s="11">
        <f t="shared" si="107"/>
        <v>-137</v>
      </c>
      <c r="L130" s="11">
        <f t="shared" si="107"/>
        <v>-695</v>
      </c>
      <c r="M130" s="11">
        <f t="shared" si="107"/>
        <v>-1197</v>
      </c>
      <c r="N130" s="11">
        <f t="shared" si="107"/>
        <v>-4</v>
      </c>
      <c r="O130" s="11">
        <f t="shared" si="107"/>
        <v>-69</v>
      </c>
      <c r="P130" s="11">
        <f t="shared" si="107"/>
        <v>-978</v>
      </c>
      <c r="Q130" s="11">
        <f t="shared" si="107"/>
        <v>0</v>
      </c>
      <c r="R130" s="11">
        <f t="shared" si="107"/>
        <v>-70</v>
      </c>
      <c r="S130" s="11">
        <f t="shared" si="107"/>
        <v>-898</v>
      </c>
      <c r="T130" s="11">
        <f t="shared" si="107"/>
        <v>-988</v>
      </c>
      <c r="U130" s="11">
        <f t="shared" si="107"/>
        <v>0</v>
      </c>
      <c r="V130" s="9">
        <f t="shared" si="107"/>
        <v>-4442</v>
      </c>
      <c r="W130" s="11">
        <f t="shared" si="107"/>
        <v>0</v>
      </c>
      <c r="X130" s="11">
        <f t="shared" si="107"/>
        <v>0</v>
      </c>
      <c r="Y130" s="11">
        <f t="shared" si="107"/>
        <v>-61</v>
      </c>
      <c r="Z130" s="11">
        <f t="shared" si="107"/>
        <v>-15</v>
      </c>
      <c r="AA130" s="11">
        <f t="shared" si="107"/>
        <v>-17</v>
      </c>
      <c r="AB130" s="11">
        <f t="shared" si="107"/>
        <v>0</v>
      </c>
      <c r="AC130" s="10">
        <f t="shared" si="107"/>
        <v>-390</v>
      </c>
      <c r="AD130" s="11">
        <f t="shared" si="107"/>
        <v>14466</v>
      </c>
      <c r="AE130" s="11">
        <f t="shared" si="107"/>
        <v>1</v>
      </c>
      <c r="AF130" s="11">
        <f t="shared" si="107"/>
        <v>-48</v>
      </c>
      <c r="AG130" s="11">
        <f t="shared" si="107"/>
        <v>-78</v>
      </c>
      <c r="AH130" s="11">
        <f t="shared" si="107"/>
        <v>0</v>
      </c>
      <c r="AI130" s="11">
        <f t="shared" ref="AI130:BK130" si="108">AI129-AI127</f>
        <v>0</v>
      </c>
      <c r="AJ130" s="11">
        <f t="shared" si="108"/>
        <v>-23</v>
      </c>
      <c r="AK130" s="11">
        <f t="shared" si="108"/>
        <v>-2079</v>
      </c>
      <c r="AL130" s="11">
        <f t="shared" si="108"/>
        <v>-1198</v>
      </c>
      <c r="AM130" s="11">
        <f t="shared" si="108"/>
        <v>-18724</v>
      </c>
      <c r="AN130" s="11">
        <f t="shared" si="108"/>
        <v>-588</v>
      </c>
      <c r="AO130" s="9">
        <f t="shared" si="108"/>
        <v>-6178</v>
      </c>
      <c r="AP130" s="11">
        <f t="shared" si="108"/>
        <v>1258</v>
      </c>
      <c r="AQ130" s="10">
        <f t="shared" si="108"/>
        <v>3985</v>
      </c>
      <c r="AR130" s="11">
        <f t="shared" si="108"/>
        <v>-23</v>
      </c>
      <c r="AS130" s="11">
        <f t="shared" si="108"/>
        <v>0</v>
      </c>
      <c r="AT130" s="11">
        <f t="shared" si="108"/>
        <v>0</v>
      </c>
      <c r="AU130" s="11">
        <f t="shared" si="108"/>
        <v>-15</v>
      </c>
      <c r="AV130" s="11">
        <f t="shared" si="108"/>
        <v>0</v>
      </c>
      <c r="AW130" s="11">
        <f t="shared" si="108"/>
        <v>0</v>
      </c>
      <c r="AX130" s="11">
        <f t="shared" si="108"/>
        <v>-2</v>
      </c>
      <c r="AY130" s="11">
        <f t="shared" si="108"/>
        <v>0</v>
      </c>
      <c r="AZ130" s="11">
        <f t="shared" si="108"/>
        <v>0</v>
      </c>
      <c r="BA130" s="11">
        <f t="shared" si="108"/>
        <v>-730</v>
      </c>
      <c r="BB130" s="10">
        <f t="shared" si="108"/>
        <v>-287</v>
      </c>
      <c r="BC130" s="11">
        <f t="shared" si="108"/>
        <v>-343</v>
      </c>
      <c r="BD130" s="11">
        <f t="shared" si="108"/>
        <v>-343</v>
      </c>
      <c r="BE130" s="11">
        <f t="shared" si="108"/>
        <v>0</v>
      </c>
      <c r="BF130" s="11">
        <f t="shared" si="108"/>
        <v>-148</v>
      </c>
      <c r="BG130" s="11">
        <f t="shared" si="108"/>
        <v>-1037</v>
      </c>
      <c r="BH130" s="9">
        <f t="shared" si="108"/>
        <v>-26600</v>
      </c>
      <c r="BI130" s="45">
        <f t="shared" si="108"/>
        <v>-12134</v>
      </c>
      <c r="BJ130" s="11">
        <f t="shared" si="108"/>
        <v>1303</v>
      </c>
      <c r="BK130" s="51">
        <f t="shared" si="108"/>
        <v>-77664</v>
      </c>
      <c r="BM130" s="30">
        <f t="shared" si="102"/>
        <v>-92130</v>
      </c>
    </row>
    <row r="131" spans="1:65" ht="15.75">
      <c r="A131" s="130"/>
      <c r="B131" s="5" t="s">
        <v>125</v>
      </c>
      <c r="C131" s="13">
        <f t="shared" ref="C131:AH131" si="109">C130/C127</f>
        <v>-1.6375510949914447E-3</v>
      </c>
      <c r="D131" s="13">
        <f t="shared" si="109"/>
        <v>-1.6385899447071853E-3</v>
      </c>
      <c r="E131" s="13">
        <f t="shared" si="109"/>
        <v>-9.6003356281969821E-2</v>
      </c>
      <c r="F131" s="13">
        <f t="shared" si="109"/>
        <v>1.6003367167057704E-3</v>
      </c>
      <c r="G131" s="13">
        <f t="shared" si="109"/>
        <v>0.12100341059674581</v>
      </c>
      <c r="H131" s="13">
        <f t="shared" si="109"/>
        <v>-3.2964950016894536E-6</v>
      </c>
      <c r="I131" s="13" t="e">
        <f t="shared" si="109"/>
        <v>#DIV/0!</v>
      </c>
      <c r="J131" s="13">
        <f t="shared" si="109"/>
        <v>-1.6499171703753645E-3</v>
      </c>
      <c r="K131" s="13">
        <f t="shared" si="109"/>
        <v>-1.3404563422175257E-3</v>
      </c>
      <c r="L131" s="13">
        <f t="shared" si="109"/>
        <v>-1.6130342450651595E-3</v>
      </c>
      <c r="M131" s="13">
        <f t="shared" si="109"/>
        <v>-1.6730869222468844E-3</v>
      </c>
      <c r="N131" s="13">
        <f t="shared" si="109"/>
        <v>-2.0544427324088342E-3</v>
      </c>
      <c r="O131" s="13">
        <f t="shared" si="109"/>
        <v>-1.5671489245724409E-3</v>
      </c>
      <c r="P131" s="13">
        <f t="shared" si="109"/>
        <v>-1.5756632527296191E-3</v>
      </c>
      <c r="Q131" s="13" t="e">
        <f t="shared" si="109"/>
        <v>#DIV/0!</v>
      </c>
      <c r="R131" s="13">
        <f t="shared" si="109"/>
        <v>-1.9089173711480775E-3</v>
      </c>
      <c r="S131" s="13">
        <f t="shared" si="109"/>
        <v>-1.9016560077929779E-3</v>
      </c>
      <c r="T131" s="13">
        <f t="shared" si="109"/>
        <v>-1.8593692071145337E-3</v>
      </c>
      <c r="U131" s="13" t="e">
        <f t="shared" si="109"/>
        <v>#DIV/0!</v>
      </c>
      <c r="V131" s="163">
        <f t="shared" si="109"/>
        <v>-4.2176224838587163E-2</v>
      </c>
      <c r="W131" s="13">
        <f t="shared" si="109"/>
        <v>0</v>
      </c>
      <c r="X131" s="13" t="e">
        <f t="shared" si="109"/>
        <v>#DIV/0!</v>
      </c>
      <c r="Y131" s="13">
        <f t="shared" si="109"/>
        <v>-1.4153132250580046E-3</v>
      </c>
      <c r="Z131" s="13">
        <f t="shared" si="109"/>
        <v>-1.2707556760420196E-3</v>
      </c>
      <c r="AA131" s="13">
        <f t="shared" si="109"/>
        <v>-1.368319381841597E-3</v>
      </c>
      <c r="AB131" s="13" t="e">
        <f t="shared" si="109"/>
        <v>#DIV/0!</v>
      </c>
      <c r="AC131" s="14">
        <f t="shared" si="109"/>
        <v>-1.8479996588308322E-3</v>
      </c>
      <c r="AD131" s="13">
        <f t="shared" si="109"/>
        <v>4.9350479662713727E-4</v>
      </c>
      <c r="AE131" s="13">
        <f t="shared" si="109"/>
        <v>8.4459459459459464E-4</v>
      </c>
      <c r="AF131" s="13">
        <f t="shared" si="109"/>
        <v>-2.3735350838154576E-3</v>
      </c>
      <c r="AG131" s="13">
        <f t="shared" si="109"/>
        <v>-1.6683778234086242E-3</v>
      </c>
      <c r="AH131" s="13" t="e">
        <f t="shared" si="109"/>
        <v>#DIV/0!</v>
      </c>
      <c r="AI131" s="13" t="e">
        <f t="shared" ref="AI131:BK131" si="110">AI130/AI127</f>
        <v>#DIV/0!</v>
      </c>
      <c r="AJ131" s="13">
        <f t="shared" si="110"/>
        <v>-1.3280979327866958E-3</v>
      </c>
      <c r="AK131" s="13">
        <f t="shared" si="110"/>
        <v>-1.843545992881199E-3</v>
      </c>
      <c r="AL131" s="13">
        <f t="shared" si="110"/>
        <v>-1.8170180882785649E-3</v>
      </c>
      <c r="AM131" s="13">
        <f t="shared" si="110"/>
        <v>-1.8056390249472118E-3</v>
      </c>
      <c r="AN131" s="13">
        <f t="shared" si="110"/>
        <v>-1.8600943333554774E-3</v>
      </c>
      <c r="AO131" s="163">
        <f t="shared" si="110"/>
        <v>-2.748498180198801E-3</v>
      </c>
      <c r="AP131" s="13">
        <f t="shared" si="110"/>
        <v>-1.8534479583342542E-3</v>
      </c>
      <c r="AQ131" s="14">
        <f t="shared" si="110"/>
        <v>2.8131728495287847E-2</v>
      </c>
      <c r="AR131" s="13">
        <f t="shared" si="110"/>
        <v>-1.7067379044226774E-3</v>
      </c>
      <c r="AS131" s="13" t="e">
        <f t="shared" si="110"/>
        <v>#DIV/0!</v>
      </c>
      <c r="AT131" s="13" t="e">
        <f t="shared" si="110"/>
        <v>#DIV/0!</v>
      </c>
      <c r="AU131" s="13">
        <f t="shared" si="110"/>
        <v>-1.7299042786299158E-3</v>
      </c>
      <c r="AV131" s="13" t="e">
        <f t="shared" si="110"/>
        <v>#DIV/0!</v>
      </c>
      <c r="AW131" s="13" t="e">
        <f t="shared" si="110"/>
        <v>#DIV/0!</v>
      </c>
      <c r="AX131" s="13">
        <f t="shared" si="110"/>
        <v>-8.7260034904013963E-4</v>
      </c>
      <c r="AY131" s="13" t="e">
        <f t="shared" si="110"/>
        <v>#DIV/0!</v>
      </c>
      <c r="AZ131" s="13" t="e">
        <f t="shared" si="110"/>
        <v>#DIV/0!</v>
      </c>
      <c r="BA131" s="13">
        <f t="shared" si="110"/>
        <v>-1.8008239386239733E-3</v>
      </c>
      <c r="BB131" s="14">
        <f t="shared" si="110"/>
        <v>-1.8399205051767798E-3</v>
      </c>
      <c r="BC131" s="13">
        <f t="shared" si="110"/>
        <v>-3.3333333333333335E-3</v>
      </c>
      <c r="BD131" s="13">
        <f t="shared" si="110"/>
        <v>-3.3333333333333335E-3</v>
      </c>
      <c r="BE131" s="13" t="e">
        <f t="shared" si="110"/>
        <v>#DIV/0!</v>
      </c>
      <c r="BF131" s="13">
        <f t="shared" si="110"/>
        <v>-1.7530767681792877E-3</v>
      </c>
      <c r="BG131" s="13">
        <f t="shared" si="110"/>
        <v>-3.3613554333539165E-4</v>
      </c>
      <c r="BH131" s="163">
        <f t="shared" si="110"/>
        <v>-1.4591220111791784E-3</v>
      </c>
      <c r="BI131" s="46">
        <f t="shared" si="110"/>
        <v>-2.5522198612681093E-4</v>
      </c>
      <c r="BJ131" s="13">
        <f t="shared" si="110"/>
        <v>4.6368357634907724E-4</v>
      </c>
      <c r="BK131" s="52">
        <f t="shared" si="110"/>
        <v>-1.7336857047742455E-3</v>
      </c>
      <c r="BM131" s="163">
        <f>BM130/BM127</f>
        <v>-5.9499122399246408E-3</v>
      </c>
    </row>
    <row r="132" spans="1:65" ht="15.75">
      <c r="A132" s="130"/>
      <c r="B132" s="5" t="s">
        <v>126</v>
      </c>
      <c r="C132" s="11">
        <f>C129-C128</f>
        <v>378765</v>
      </c>
      <c r="D132" s="11">
        <f t="shared" ref="D132:BK132" si="111">D129-D128</f>
        <v>1369416</v>
      </c>
      <c r="E132" s="11">
        <f t="shared" si="111"/>
        <v>6873</v>
      </c>
      <c r="F132" s="11">
        <f t="shared" si="111"/>
        <v>67840</v>
      </c>
      <c r="G132" s="11">
        <f t="shared" si="111"/>
        <v>96099</v>
      </c>
      <c r="H132" s="11">
        <f t="shared" si="111"/>
        <v>256117</v>
      </c>
      <c r="I132" s="11">
        <f t="shared" si="111"/>
        <v>0</v>
      </c>
      <c r="J132" s="11">
        <f t="shared" si="111"/>
        <v>357702</v>
      </c>
      <c r="K132" s="11">
        <f t="shared" si="111"/>
        <v>12310</v>
      </c>
      <c r="L132" s="11">
        <f t="shared" si="111"/>
        <v>162235</v>
      </c>
      <c r="M132" s="11">
        <f t="shared" si="111"/>
        <v>49175</v>
      </c>
      <c r="N132" s="11">
        <f t="shared" si="111"/>
        <v>622</v>
      </c>
      <c r="O132" s="11">
        <f t="shared" si="111"/>
        <v>13581</v>
      </c>
      <c r="P132" s="11">
        <f t="shared" si="111"/>
        <v>121560</v>
      </c>
      <c r="Q132" s="11">
        <f t="shared" si="111"/>
        <v>0</v>
      </c>
      <c r="R132" s="11">
        <f t="shared" si="111"/>
        <v>2507</v>
      </c>
      <c r="S132" s="11">
        <f t="shared" si="111"/>
        <v>46624</v>
      </c>
      <c r="T132" s="11">
        <f t="shared" si="111"/>
        <v>152300</v>
      </c>
      <c r="U132" s="11">
        <f>U129-U128</f>
        <v>0</v>
      </c>
      <c r="V132" s="9">
        <f t="shared" si="111"/>
        <v>-10964</v>
      </c>
      <c r="W132" s="11">
        <f t="shared" si="111"/>
        <v>91</v>
      </c>
      <c r="X132" s="11">
        <f t="shared" si="111"/>
        <v>0</v>
      </c>
      <c r="Y132" s="11">
        <f t="shared" si="111"/>
        <v>-8784</v>
      </c>
      <c r="Z132" s="11">
        <f t="shared" si="111"/>
        <v>-12500</v>
      </c>
      <c r="AA132" s="11">
        <f t="shared" si="111"/>
        <v>-284</v>
      </c>
      <c r="AB132" s="11">
        <f>AB129-AB128</f>
        <v>-96</v>
      </c>
      <c r="AC132" s="10">
        <f>AC129-AC128</f>
        <v>-73257</v>
      </c>
      <c r="AD132" s="11">
        <f>AD129-AD128</f>
        <v>2987932</v>
      </c>
      <c r="AE132" s="11">
        <f t="shared" si="111"/>
        <v>428</v>
      </c>
      <c r="AF132" s="11">
        <f t="shared" si="111"/>
        <v>5020</v>
      </c>
      <c r="AG132" s="11">
        <f t="shared" si="111"/>
        <v>4599</v>
      </c>
      <c r="AH132" s="11">
        <f t="shared" si="111"/>
        <v>0</v>
      </c>
      <c r="AI132" s="11">
        <f t="shared" si="111"/>
        <v>0</v>
      </c>
      <c r="AJ132" s="11">
        <f t="shared" si="111"/>
        <v>-5009</v>
      </c>
      <c r="AK132" s="11">
        <f t="shared" si="111"/>
        <v>-75645</v>
      </c>
      <c r="AL132" s="11">
        <f t="shared" si="111"/>
        <v>195214</v>
      </c>
      <c r="AM132" s="11">
        <f t="shared" si="111"/>
        <v>677302</v>
      </c>
      <c r="AN132" s="11">
        <f t="shared" si="111"/>
        <v>98259</v>
      </c>
      <c r="AO132" s="9">
        <f t="shared" si="111"/>
        <v>224177</v>
      </c>
      <c r="AP132" s="11">
        <f t="shared" si="111"/>
        <v>46311</v>
      </c>
      <c r="AQ132" s="10">
        <f t="shared" si="111"/>
        <v>-77983</v>
      </c>
      <c r="AR132" s="11">
        <f t="shared" si="111"/>
        <v>24854</v>
      </c>
      <c r="AS132" s="11">
        <f t="shared" si="111"/>
        <v>0</v>
      </c>
      <c r="AT132" s="11">
        <f t="shared" si="111"/>
        <v>0</v>
      </c>
      <c r="AU132" s="11">
        <f t="shared" si="111"/>
        <v>39131</v>
      </c>
      <c r="AV132" s="11">
        <f t="shared" si="111"/>
        <v>0</v>
      </c>
      <c r="AW132" s="11">
        <f t="shared" si="111"/>
        <v>-4116</v>
      </c>
      <c r="AX132" s="11">
        <f t="shared" si="111"/>
        <v>832</v>
      </c>
      <c r="AY132" s="11">
        <f t="shared" si="111"/>
        <v>-1976</v>
      </c>
      <c r="AZ132" s="11">
        <f t="shared" si="111"/>
        <v>0</v>
      </c>
      <c r="BA132" s="11">
        <f t="shared" si="111"/>
        <v>-454062</v>
      </c>
      <c r="BB132" s="10">
        <f t="shared" si="111"/>
        <v>-49929</v>
      </c>
      <c r="BC132" s="11">
        <f t="shared" si="111"/>
        <v>-2965</v>
      </c>
      <c r="BD132" s="11">
        <f t="shared" si="111"/>
        <v>-2345</v>
      </c>
      <c r="BE132" s="11">
        <f t="shared" si="111"/>
        <v>0</v>
      </c>
      <c r="BF132" s="11">
        <f t="shared" si="111"/>
        <v>-63577</v>
      </c>
      <c r="BG132" s="11">
        <f t="shared" si="111"/>
        <v>-18629</v>
      </c>
      <c r="BH132" s="9">
        <f t="shared" si="111"/>
        <v>559891</v>
      </c>
      <c r="BI132" s="45">
        <f t="shared" si="111"/>
        <v>3547823</v>
      </c>
      <c r="BJ132" s="11">
        <f t="shared" si="111"/>
        <v>51613</v>
      </c>
      <c r="BK132" s="51">
        <f t="shared" si="111"/>
        <v>3496210</v>
      </c>
      <c r="BM132" s="30">
        <f t="shared" si="102"/>
        <v>508278</v>
      </c>
    </row>
    <row r="133" spans="1:65" ht="15.75">
      <c r="A133" s="130"/>
      <c r="B133" s="5" t="s">
        <v>127</v>
      </c>
      <c r="C133" s="13">
        <f t="shared" ref="C133:AH133" si="112">C132/C128</f>
        <v>3.0106239220306707E-2</v>
      </c>
      <c r="D133" s="13">
        <f t="shared" si="112"/>
        <v>0.27371612367810688</v>
      </c>
      <c r="E133" s="13">
        <f t="shared" si="112"/>
        <v>1.3526492086421552E-2</v>
      </c>
      <c r="F133" s="13">
        <f t="shared" si="112"/>
        <v>4.7238326548858664E-2</v>
      </c>
      <c r="G133" s="13">
        <f t="shared" si="112"/>
        <v>0.10267382078797903</v>
      </c>
      <c r="H133" s="13">
        <f t="shared" si="112"/>
        <v>0.16375851027370983</v>
      </c>
      <c r="I133" s="13" t="e">
        <f t="shared" si="112"/>
        <v>#DIV/0!</v>
      </c>
      <c r="J133" s="13">
        <f t="shared" si="112"/>
        <v>0.24892310218942545</v>
      </c>
      <c r="K133" s="13">
        <f t="shared" si="112"/>
        <v>0.13714807758726338</v>
      </c>
      <c r="L133" s="13">
        <f t="shared" si="112"/>
        <v>0.60550133427883623</v>
      </c>
      <c r="M133" s="13">
        <f t="shared" si="112"/>
        <v>7.3939362956191204E-2</v>
      </c>
      <c r="N133" s="13">
        <f t="shared" si="112"/>
        <v>0.4708554125662377</v>
      </c>
      <c r="O133" s="13">
        <f t="shared" si="112"/>
        <v>0.44705224003423416</v>
      </c>
      <c r="P133" s="13">
        <f t="shared" si="112"/>
        <v>0.24402141510740677</v>
      </c>
      <c r="Q133" s="13" t="e">
        <f t="shared" si="112"/>
        <v>#DIV/0!</v>
      </c>
      <c r="R133" s="13">
        <f t="shared" si="112"/>
        <v>7.3534156571730264E-2</v>
      </c>
      <c r="S133" s="13">
        <f t="shared" si="112"/>
        <v>0.10978153888174656</v>
      </c>
      <c r="T133" s="13">
        <f t="shared" si="112"/>
        <v>0.40283012629769227</v>
      </c>
      <c r="U133" s="13" t="e">
        <f t="shared" si="112"/>
        <v>#DIV/0!</v>
      </c>
      <c r="V133" s="163">
        <f t="shared" si="112"/>
        <v>-9.8031151088142199E-2</v>
      </c>
      <c r="W133" s="13" t="e">
        <f t="shared" si="112"/>
        <v>#DIV/0!</v>
      </c>
      <c r="X133" s="13" t="e">
        <f t="shared" si="112"/>
        <v>#DIV/0!</v>
      </c>
      <c r="Y133" s="13">
        <f t="shared" si="112"/>
        <v>-0.16950002894467708</v>
      </c>
      <c r="Z133" s="13">
        <f t="shared" si="112"/>
        <v>-0.51463625509489896</v>
      </c>
      <c r="AA133" s="13">
        <f t="shared" si="112"/>
        <v>-2.2378063194389727E-2</v>
      </c>
      <c r="AB133" s="13">
        <f t="shared" si="112"/>
        <v>-1</v>
      </c>
      <c r="AC133" s="14">
        <f t="shared" si="112"/>
        <v>-0.25803258825104086</v>
      </c>
      <c r="AD133" s="13">
        <f t="shared" si="112"/>
        <v>0.11343998681211158</v>
      </c>
      <c r="AE133" s="13">
        <f t="shared" si="112"/>
        <v>0.56538969616908852</v>
      </c>
      <c r="AF133" s="13">
        <f t="shared" si="112"/>
        <v>0.33124381392279778</v>
      </c>
      <c r="AG133" s="13">
        <f t="shared" si="112"/>
        <v>0.10930481283422459</v>
      </c>
      <c r="AH133" s="13" t="e">
        <f t="shared" si="112"/>
        <v>#DIV/0!</v>
      </c>
      <c r="AI133" s="13" t="e">
        <f t="shared" ref="AI133:BK133" si="113">AI132/AI128</f>
        <v>#DIV/0!</v>
      </c>
      <c r="AJ133" s="13">
        <f t="shared" si="113"/>
        <v>-0.22457855093256815</v>
      </c>
      <c r="AK133" s="13">
        <f t="shared" si="113"/>
        <v>-6.2970121969492643E-2</v>
      </c>
      <c r="AL133" s="13">
        <f t="shared" si="113"/>
        <v>0.42171048367933289</v>
      </c>
      <c r="AM133" s="13">
        <f t="shared" si="113"/>
        <v>7.0014709971665479E-2</v>
      </c>
      <c r="AN133" s="13">
        <f t="shared" si="113"/>
        <v>0.45225207809781559</v>
      </c>
      <c r="AO133" s="163">
        <f t="shared" si="113"/>
        <v>0.11112074939353173</v>
      </c>
      <c r="AP133" s="13">
        <f t="shared" si="113"/>
        <v>-6.3984205319789766E-2</v>
      </c>
      <c r="AQ133" s="14">
        <f t="shared" si="113"/>
        <v>-0.34872531000836227</v>
      </c>
      <c r="AR133" s="13">
        <f t="shared" si="113"/>
        <v>-2.1799842119112358</v>
      </c>
      <c r="AS133" s="13" t="e">
        <f t="shared" si="113"/>
        <v>#DIV/0!</v>
      </c>
      <c r="AT133" s="13" t="e">
        <f t="shared" si="113"/>
        <v>#DIV/0!</v>
      </c>
      <c r="AU133" s="13">
        <f t="shared" si="113"/>
        <v>-1.2840360951599672</v>
      </c>
      <c r="AV133" s="13" t="e">
        <f t="shared" si="113"/>
        <v>#DIV/0!</v>
      </c>
      <c r="AW133" s="13">
        <f t="shared" si="113"/>
        <v>-1</v>
      </c>
      <c r="AX133" s="13">
        <f t="shared" si="113"/>
        <v>0.57064471879286693</v>
      </c>
      <c r="AY133" s="13">
        <f t="shared" si="113"/>
        <v>-1</v>
      </c>
      <c r="AZ133" s="13" t="e">
        <f t="shared" si="113"/>
        <v>#DIV/0!</v>
      </c>
      <c r="BA133" s="13">
        <f t="shared" si="113"/>
        <v>-0.52877715435622608</v>
      </c>
      <c r="BB133" s="14">
        <f t="shared" si="113"/>
        <v>-0.24281344375981753</v>
      </c>
      <c r="BC133" s="13">
        <f t="shared" si="113"/>
        <v>-2.8098406019597809E-2</v>
      </c>
      <c r="BD133" s="13">
        <f t="shared" si="113"/>
        <v>-2.2354197250767382E-2</v>
      </c>
      <c r="BE133" s="13" t="e">
        <f t="shared" si="113"/>
        <v>#DIV/0!</v>
      </c>
      <c r="BF133" s="13">
        <f t="shared" si="113"/>
        <v>-0.43000432865297727</v>
      </c>
      <c r="BG133" s="13">
        <f t="shared" si="113"/>
        <v>-6.0042086508434542E-3</v>
      </c>
      <c r="BH133" s="163">
        <f t="shared" si="113"/>
        <v>3.1733286479838356E-2</v>
      </c>
      <c r="BI133" s="46">
        <f t="shared" si="113"/>
        <v>8.0663563207840738E-2</v>
      </c>
      <c r="BJ133" s="13">
        <f t="shared" si="113"/>
        <v>1.8701744621703924E-2</v>
      </c>
      <c r="BK133" s="52">
        <f t="shared" si="113"/>
        <v>8.4811763519513653E-2</v>
      </c>
      <c r="BM133" s="14">
        <f>BM132/BM128</f>
        <v>3.4149622806028603E-2</v>
      </c>
    </row>
    <row r="134" spans="1:65" ht="15.75">
      <c r="A134" s="130"/>
      <c r="B134" s="5" t="s">
        <v>328</v>
      </c>
      <c r="C134" s="128">
        <f>C129/C126</f>
        <v>0.99836244890500858</v>
      </c>
      <c r="D134" s="128">
        <f t="shared" ref="D134:BK134" si="114">D129/D126</f>
        <v>0.99836141005529278</v>
      </c>
      <c r="E134" s="128">
        <f t="shared" si="114"/>
        <v>0.9982805878954939</v>
      </c>
      <c r="F134" s="128">
        <f t="shared" si="114"/>
        <v>0.99834512149383814</v>
      </c>
      <c r="G134" s="128">
        <f t="shared" si="114"/>
        <v>0.99832461948452067</v>
      </c>
      <c r="H134" s="128">
        <f t="shared" si="114"/>
        <v>0.99999670350499836</v>
      </c>
      <c r="I134" s="128" t="e">
        <f t="shared" si="114"/>
        <v>#DIV/0!</v>
      </c>
      <c r="J134" s="128">
        <f t="shared" si="114"/>
        <v>0.99835008282962467</v>
      </c>
      <c r="K134" s="128">
        <f t="shared" si="114"/>
        <v>0.99865954365778242</v>
      </c>
      <c r="L134" s="128">
        <f t="shared" si="114"/>
        <v>0.9983869657549348</v>
      </c>
      <c r="M134" s="128">
        <f t="shared" si="114"/>
        <v>0.99832691307775312</v>
      </c>
      <c r="N134" s="128">
        <f t="shared" si="114"/>
        <v>0.99794555726759115</v>
      </c>
      <c r="O134" s="128">
        <f t="shared" si="114"/>
        <v>0.99843285107542756</v>
      </c>
      <c r="P134" s="128">
        <f t="shared" si="114"/>
        <v>0.99842433674727038</v>
      </c>
      <c r="Q134" s="128" t="e">
        <f t="shared" si="114"/>
        <v>#DIV/0!</v>
      </c>
      <c r="R134" s="128">
        <f t="shared" si="114"/>
        <v>0.99809108262885193</v>
      </c>
      <c r="S134" s="128">
        <f t="shared" si="114"/>
        <v>0.99809834399220698</v>
      </c>
      <c r="T134" s="128">
        <f t="shared" si="114"/>
        <v>0.99814063079288551</v>
      </c>
      <c r="U134" s="128" t="e">
        <f t="shared" si="114"/>
        <v>#DIV/0!</v>
      </c>
      <c r="V134" s="178">
        <f t="shared" si="114"/>
        <v>0.95782377516141282</v>
      </c>
      <c r="W134" s="128">
        <f t="shared" si="114"/>
        <v>1</v>
      </c>
      <c r="X134" s="128" t="e">
        <f t="shared" si="114"/>
        <v>#DIV/0!</v>
      </c>
      <c r="Y134" s="128">
        <f t="shared" si="114"/>
        <v>0.99858468677494194</v>
      </c>
      <c r="Z134" s="128">
        <f t="shared" si="114"/>
        <v>0.99872924432395793</v>
      </c>
      <c r="AA134" s="128">
        <f t="shared" si="114"/>
        <v>0.99863168061815843</v>
      </c>
      <c r="AB134" s="128" t="e">
        <f>AB129/AB126</f>
        <v>#DIV/0!</v>
      </c>
      <c r="AC134" s="217">
        <f t="shared" si="114"/>
        <v>0.99815200034116913</v>
      </c>
      <c r="AD134" s="128">
        <f t="shared" si="114"/>
        <v>0.99830612453029599</v>
      </c>
      <c r="AE134" s="128">
        <f t="shared" si="114"/>
        <v>1.0008445945945945</v>
      </c>
      <c r="AF134" s="128">
        <f t="shared" si="114"/>
        <v>0.99762646491618456</v>
      </c>
      <c r="AG134" s="128">
        <f t="shared" si="114"/>
        <v>0.99833162217659133</v>
      </c>
      <c r="AH134" s="128" t="e">
        <f t="shared" si="114"/>
        <v>#DIV/0!</v>
      </c>
      <c r="AI134" s="128" t="e">
        <f t="shared" si="114"/>
        <v>#DIV/0!</v>
      </c>
      <c r="AJ134" s="128">
        <f t="shared" si="114"/>
        <v>0.99867190206721335</v>
      </c>
      <c r="AK134" s="128">
        <f t="shared" si="114"/>
        <v>0.99815645400711883</v>
      </c>
      <c r="AL134" s="128">
        <f t="shared" si="114"/>
        <v>0.99818298191172139</v>
      </c>
      <c r="AM134" s="128">
        <f t="shared" si="114"/>
        <v>0.99819436097505276</v>
      </c>
      <c r="AN134" s="128">
        <f t="shared" si="114"/>
        <v>0.99813990566664457</v>
      </c>
      <c r="AO134" s="178">
        <f t="shared" si="114"/>
        <v>0.99725150181980116</v>
      </c>
      <c r="AP134" s="128">
        <f t="shared" si="114"/>
        <v>0.99814655204166569</v>
      </c>
      <c r="AQ134" s="217">
        <f t="shared" si="114"/>
        <v>1.0281317284952878</v>
      </c>
      <c r="AR134" s="128">
        <f t="shared" si="114"/>
        <v>0.99829326209557734</v>
      </c>
      <c r="AS134" s="128" t="e">
        <f t="shared" si="114"/>
        <v>#DIV/0!</v>
      </c>
      <c r="AT134" s="128" t="e">
        <f t="shared" si="114"/>
        <v>#DIV/0!</v>
      </c>
      <c r="AU134" s="128">
        <f t="shared" si="114"/>
        <v>0.99827009572137004</v>
      </c>
      <c r="AV134" s="128" t="e">
        <f t="shared" si="114"/>
        <v>#DIV/0!</v>
      </c>
      <c r="AW134" s="128" t="e">
        <f t="shared" si="114"/>
        <v>#DIV/0!</v>
      </c>
      <c r="AX134" s="128">
        <f t="shared" si="114"/>
        <v>0.99912739965095987</v>
      </c>
      <c r="AY134" s="128" t="e">
        <f t="shared" si="114"/>
        <v>#DIV/0!</v>
      </c>
      <c r="AZ134" s="128" t="e">
        <f t="shared" si="114"/>
        <v>#DIV/0!</v>
      </c>
      <c r="BA134" s="128">
        <f t="shared" si="114"/>
        <v>0.99819917606137598</v>
      </c>
      <c r="BB134" s="217">
        <f t="shared" si="114"/>
        <v>0.99816007949482322</v>
      </c>
      <c r="BC134" s="128">
        <f t="shared" si="114"/>
        <v>0.9966666666666667</v>
      </c>
      <c r="BD134" s="128">
        <f t="shared" si="114"/>
        <v>0.9966666666666667</v>
      </c>
      <c r="BE134" s="128" t="e">
        <f t="shared" si="114"/>
        <v>#DIV/0!</v>
      </c>
      <c r="BF134" s="128">
        <f t="shared" si="114"/>
        <v>0.99824692323182074</v>
      </c>
      <c r="BG134" s="128">
        <f t="shared" si="114"/>
        <v>0.99966386445666466</v>
      </c>
      <c r="BH134" s="178">
        <f t="shared" si="114"/>
        <v>0.99854087798882085</v>
      </c>
      <c r="BI134" s="128">
        <f t="shared" si="114"/>
        <v>0.9983960183462347</v>
      </c>
      <c r="BJ134" s="128">
        <f t="shared" si="114"/>
        <v>1.0004636835763492</v>
      </c>
      <c r="BK134" s="128">
        <f t="shared" si="114"/>
        <v>0.99826631429522572</v>
      </c>
      <c r="BM134" s="128">
        <f>BM129/BM126</f>
        <v>0.99819047103330183</v>
      </c>
    </row>
    <row r="135" spans="1:65" ht="15.75">
      <c r="B135" s="5" t="s">
        <v>327</v>
      </c>
      <c r="C135" s="11">
        <f>C126-C129</f>
        <v>21257</v>
      </c>
      <c r="D135" s="11">
        <f t="shared" ref="D135:BK135" si="115">D126-D129</f>
        <v>10459</v>
      </c>
      <c r="E135" s="11">
        <f t="shared" si="115"/>
        <v>887</v>
      </c>
      <c r="F135" s="11">
        <f t="shared" si="115"/>
        <v>2493</v>
      </c>
      <c r="G135" s="11">
        <f t="shared" si="115"/>
        <v>1732</v>
      </c>
      <c r="H135" s="11">
        <f t="shared" si="115"/>
        <v>6</v>
      </c>
      <c r="I135" s="11">
        <f t="shared" si="115"/>
        <v>0</v>
      </c>
      <c r="J135" s="11">
        <f t="shared" si="115"/>
        <v>2966</v>
      </c>
      <c r="K135" s="11">
        <f t="shared" si="115"/>
        <v>137</v>
      </c>
      <c r="L135" s="11">
        <f t="shared" si="115"/>
        <v>695</v>
      </c>
      <c r="M135" s="11">
        <f t="shared" si="115"/>
        <v>1197</v>
      </c>
      <c r="N135" s="11">
        <f t="shared" si="115"/>
        <v>4</v>
      </c>
      <c r="O135" s="11">
        <f t="shared" si="115"/>
        <v>69</v>
      </c>
      <c r="P135" s="11">
        <f t="shared" si="115"/>
        <v>978</v>
      </c>
      <c r="Q135" s="11">
        <f t="shared" si="115"/>
        <v>0</v>
      </c>
      <c r="R135" s="11">
        <f t="shared" si="115"/>
        <v>70</v>
      </c>
      <c r="S135" s="11">
        <f t="shared" si="115"/>
        <v>898</v>
      </c>
      <c r="T135" s="11">
        <f t="shared" si="115"/>
        <v>988</v>
      </c>
      <c r="U135" s="11">
        <f t="shared" si="115"/>
        <v>0</v>
      </c>
      <c r="V135" s="11">
        <f t="shared" si="115"/>
        <v>4442</v>
      </c>
      <c r="W135" s="11">
        <f t="shared" si="115"/>
        <v>0</v>
      </c>
      <c r="X135" s="11">
        <f t="shared" si="115"/>
        <v>0</v>
      </c>
      <c r="Y135" s="11">
        <f t="shared" si="115"/>
        <v>61</v>
      </c>
      <c r="Z135" s="11">
        <f t="shared" si="115"/>
        <v>15</v>
      </c>
      <c r="AA135" s="11">
        <f t="shared" si="115"/>
        <v>17</v>
      </c>
      <c r="AB135" s="11">
        <f t="shared" si="115"/>
        <v>0</v>
      </c>
      <c r="AC135" s="11">
        <f t="shared" si="115"/>
        <v>390</v>
      </c>
      <c r="AD135" s="11">
        <f t="shared" si="115"/>
        <v>49761</v>
      </c>
      <c r="AE135" s="11">
        <f t="shared" si="115"/>
        <v>-1</v>
      </c>
      <c r="AF135" s="11">
        <f t="shared" si="115"/>
        <v>48</v>
      </c>
      <c r="AG135" s="11">
        <f t="shared" si="115"/>
        <v>78</v>
      </c>
      <c r="AH135" s="11">
        <f t="shared" si="115"/>
        <v>0</v>
      </c>
      <c r="AI135" s="11">
        <f t="shared" si="115"/>
        <v>0</v>
      </c>
      <c r="AJ135" s="11">
        <f t="shared" si="115"/>
        <v>23</v>
      </c>
      <c r="AK135" s="11">
        <f t="shared" si="115"/>
        <v>2079</v>
      </c>
      <c r="AL135" s="11">
        <f t="shared" si="115"/>
        <v>1198</v>
      </c>
      <c r="AM135" s="11">
        <f t="shared" si="115"/>
        <v>18724</v>
      </c>
      <c r="AN135" s="11">
        <f t="shared" si="115"/>
        <v>588</v>
      </c>
      <c r="AO135" s="11">
        <f t="shared" si="115"/>
        <v>6178</v>
      </c>
      <c r="AP135" s="11">
        <f t="shared" si="115"/>
        <v>-1258</v>
      </c>
      <c r="AQ135" s="11">
        <f t="shared" si="115"/>
        <v>-3985</v>
      </c>
      <c r="AR135" s="11">
        <f t="shared" si="115"/>
        <v>23</v>
      </c>
      <c r="AS135" s="11">
        <f t="shared" si="115"/>
        <v>0</v>
      </c>
      <c r="AT135" s="11">
        <f t="shared" si="115"/>
        <v>0</v>
      </c>
      <c r="AU135" s="11">
        <f t="shared" si="115"/>
        <v>15</v>
      </c>
      <c r="AV135" s="11">
        <f t="shared" si="115"/>
        <v>0</v>
      </c>
      <c r="AW135" s="11">
        <f t="shared" si="115"/>
        <v>0</v>
      </c>
      <c r="AX135" s="11">
        <f t="shared" si="115"/>
        <v>2</v>
      </c>
      <c r="AY135" s="11">
        <f t="shared" si="115"/>
        <v>0</v>
      </c>
      <c r="AZ135" s="11">
        <f t="shared" si="115"/>
        <v>0</v>
      </c>
      <c r="BA135" s="11">
        <f t="shared" si="115"/>
        <v>730</v>
      </c>
      <c r="BB135" s="11">
        <f t="shared" si="115"/>
        <v>287</v>
      </c>
      <c r="BC135" s="11">
        <f t="shared" si="115"/>
        <v>343</v>
      </c>
      <c r="BD135" s="11">
        <f t="shared" si="115"/>
        <v>343</v>
      </c>
      <c r="BE135" s="11">
        <f t="shared" si="115"/>
        <v>0</v>
      </c>
      <c r="BF135" s="11">
        <f t="shared" si="115"/>
        <v>148</v>
      </c>
      <c r="BG135" s="11">
        <f t="shared" si="115"/>
        <v>1037</v>
      </c>
      <c r="BH135" s="11">
        <f t="shared" si="115"/>
        <v>26600</v>
      </c>
      <c r="BI135" s="11">
        <f t="shared" si="115"/>
        <v>76361</v>
      </c>
      <c r="BJ135" s="11">
        <f t="shared" si="115"/>
        <v>-1303</v>
      </c>
      <c r="BK135" s="11">
        <f t="shared" si="115"/>
        <v>77664</v>
      </c>
    </row>
    <row r="137" spans="1:65">
      <c r="BK137" s="267"/>
    </row>
  </sheetData>
  <mergeCells count="4">
    <mergeCell ref="C1:K1"/>
    <mergeCell ref="M2:O2"/>
    <mergeCell ref="AQ2:AS2"/>
    <mergeCell ref="BI2:BK2"/>
  </mergeCells>
  <conditionalFormatting sqref="BM35 BM46 BM57 BM68 BM79 BM90 BM101 BM112 BM123 BM134 C46:BI46 C90:BI90 C101:BI101 C79:BI79 C57:BI57 C35:BI35 C112:BI112 C134:BI134 C123:BI123 BM13 BM24 C13:BI13 C24:BI24">
    <cfRule type="cellIs" dxfId="21" priority="25"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5" man="1"/>
    <brk id="30" max="135" man="1"/>
    <brk id="48" max="135" man="1"/>
  </colBreaks>
</worksheet>
</file>

<file path=xl/worksheets/sheet6.xml><?xml version="1.0" encoding="utf-8"?>
<worksheet xmlns="http://schemas.openxmlformats.org/spreadsheetml/2006/main" xmlns:r="http://schemas.openxmlformats.org/officeDocument/2006/relationships">
  <dimension ref="A1:O124"/>
  <sheetViews>
    <sheetView view="pageBreakPreview" zoomScaleNormal="100" zoomScaleSheetLayoutView="100" workbookViewId="0">
      <selection activeCell="J7" sqref="J7"/>
    </sheetView>
  </sheetViews>
  <sheetFormatPr defaultRowHeight="15"/>
  <cols>
    <col min="2" max="2" width="27" customWidth="1"/>
    <col min="3" max="3" width="10" style="185" customWidth="1"/>
    <col min="4" max="4" width="12.42578125" customWidth="1"/>
    <col min="5" max="5" width="2" hidden="1" customWidth="1"/>
    <col min="6" max="6" width="9.85546875" style="179" customWidth="1"/>
    <col min="7" max="7" width="12.42578125" customWidth="1"/>
    <col min="8" max="8" width="11.7109375" style="71" customWidth="1"/>
    <col min="9" max="9" width="13.42578125" style="179" customWidth="1"/>
    <col min="10" max="10" width="12" style="179" customWidth="1"/>
    <col min="11" max="11" width="9.42578125" customWidth="1"/>
    <col min="12" max="12" width="10.7109375" customWidth="1"/>
    <col min="13" max="13" width="10.140625" customWidth="1"/>
    <col min="14" max="14" width="11" customWidth="1"/>
    <col min="15" max="15" width="13.7109375" style="185" customWidth="1"/>
  </cols>
  <sheetData>
    <row r="1" spans="1:15">
      <c r="B1" s="36" t="s">
        <v>324</v>
      </c>
      <c r="C1" s="36"/>
    </row>
    <row r="2" spans="1:15">
      <c r="M2" s="36" t="s">
        <v>142</v>
      </c>
    </row>
    <row r="3" spans="1:15" s="36" customFormat="1" ht="15" customHeight="1">
      <c r="B3" s="279" t="s">
        <v>143</v>
      </c>
      <c r="C3" s="277" t="s">
        <v>313</v>
      </c>
      <c r="D3" s="277" t="s">
        <v>311</v>
      </c>
      <c r="E3" s="277"/>
      <c r="F3" s="275" t="str">
        <f>'PU Wise OWE'!$B$5</f>
        <v xml:space="preserve">FG 2023-24 </v>
      </c>
      <c r="G3" s="277" t="s">
        <v>316</v>
      </c>
      <c r="H3" s="287" t="str">
        <f>'PU Wise OWE'!$B$7</f>
        <v>Actuals upto March-23</v>
      </c>
      <c r="I3" s="275" t="str">
        <f>'PU Wise OWE'!$B$6</f>
        <v>BP to end of March-24</v>
      </c>
      <c r="J3" s="275" t="str">
        <f>'PU Wise OWE'!$B$8</f>
        <v>Actuals upto March-24</v>
      </c>
      <c r="K3" s="274" t="s">
        <v>198</v>
      </c>
      <c r="L3" s="274"/>
      <c r="M3" s="274" t="s">
        <v>139</v>
      </c>
      <c r="N3" s="274"/>
      <c r="O3" s="303" t="s">
        <v>317</v>
      </c>
    </row>
    <row r="4" spans="1:15" ht="15.6" customHeight="1">
      <c r="A4" s="31"/>
      <c r="B4" s="280"/>
      <c r="C4" s="278"/>
      <c r="D4" s="278"/>
      <c r="E4" s="278"/>
      <c r="F4" s="276"/>
      <c r="G4" s="278"/>
      <c r="H4" s="278"/>
      <c r="I4" s="276"/>
      <c r="J4" s="276"/>
      <c r="K4" s="19" t="s">
        <v>137</v>
      </c>
      <c r="L4" s="18" t="s">
        <v>138</v>
      </c>
      <c r="M4" s="19" t="s">
        <v>137</v>
      </c>
      <c r="N4" s="18" t="s">
        <v>138</v>
      </c>
      <c r="O4" s="304"/>
    </row>
    <row r="5" spans="1:15">
      <c r="A5" s="31"/>
      <c r="B5" s="63" t="s">
        <v>140</v>
      </c>
      <c r="C5" s="22">
        <v>2633.93</v>
      </c>
      <c r="D5" s="68">
        <f>C5/C7</f>
        <v>0.63894360457218269</v>
      </c>
      <c r="E5" s="68"/>
      <c r="F5" s="107">
        <f>ROUND('PU Wise OWE'!$AD$126/10000,2)</f>
        <v>2937.7</v>
      </c>
      <c r="G5" s="68">
        <f>F5/F7</f>
        <v>0.65578052101703233</v>
      </c>
      <c r="H5" s="72">
        <f>ROUND('PU Wise OWE'!$AD$128/10000,2)</f>
        <v>2633.93</v>
      </c>
      <c r="I5" s="107">
        <f>ROUND('PU Wise OWE'!$AD$127/10000,2)</f>
        <v>2931.28</v>
      </c>
      <c r="J5" s="20">
        <f>ROUND('PU Wise OWE'!$AD$129/10000,2)</f>
        <v>2932.73</v>
      </c>
      <c r="K5" s="22">
        <f>J5-I5</f>
        <v>1.4499999999998181</v>
      </c>
      <c r="L5" s="24">
        <f>K5/I5</f>
        <v>4.9466444693097142E-4</v>
      </c>
      <c r="M5" s="22">
        <f>J5-H5</f>
        <v>298.80000000000018</v>
      </c>
      <c r="N5" s="54">
        <f>M5/H5</f>
        <v>0.11344265033618972</v>
      </c>
      <c r="O5" s="54">
        <f>J5/F5</f>
        <v>0.99830820029274614</v>
      </c>
    </row>
    <row r="6" spans="1:15">
      <c r="A6" s="31"/>
      <c r="B6" s="80" t="s">
        <v>136</v>
      </c>
      <c r="C6" s="21">
        <v>1488.39</v>
      </c>
      <c r="D6" s="68">
        <f>C6/C7</f>
        <v>0.36105639542781742</v>
      </c>
      <c r="E6" s="68"/>
      <c r="F6" s="21">
        <f>F7-F5</f>
        <v>1542</v>
      </c>
      <c r="G6" s="68">
        <f>F6/F7</f>
        <v>0.34421947898296762</v>
      </c>
      <c r="H6" s="72">
        <f>H7-H5</f>
        <v>1488.3899999999999</v>
      </c>
      <c r="I6" s="21">
        <f>I7-I5</f>
        <v>1548.4199999999996</v>
      </c>
      <c r="J6" s="21">
        <f>J7-J5</f>
        <v>1539.2099999999996</v>
      </c>
      <c r="K6" s="22">
        <f>J6-I6</f>
        <v>-9.2100000000000364</v>
      </c>
      <c r="L6" s="24">
        <f>K6/I6</f>
        <v>-5.9479986050296682E-3</v>
      </c>
      <c r="M6" s="22">
        <f>J6-H6</f>
        <v>50.819999999999709</v>
      </c>
      <c r="N6" s="54">
        <f>M6/H6</f>
        <v>3.4144276701670744E-2</v>
      </c>
      <c r="O6" s="54">
        <f>J6/F6</f>
        <v>0.99819066147859892</v>
      </c>
    </row>
    <row r="7" spans="1:15">
      <c r="A7" s="31"/>
      <c r="B7" s="27" t="s">
        <v>163</v>
      </c>
      <c r="C7" s="106">
        <f>SUM(C5:C6)</f>
        <v>4122.32</v>
      </c>
      <c r="D7" s="69">
        <f>SUM(D5:D6)</f>
        <v>1</v>
      </c>
      <c r="E7" s="69"/>
      <c r="F7" s="106">
        <f>ROUND('PU Wise OWE'!BK126/10000,2)</f>
        <v>4479.7</v>
      </c>
      <c r="G7" s="69">
        <f>SUM(G5:G6)</f>
        <v>1</v>
      </c>
      <c r="H7" s="73">
        <f>ROUND('PU Wise OWE'!BK128/10000,2)</f>
        <v>4122.32</v>
      </c>
      <c r="I7" s="106">
        <f>ROUND('PU Wise OWE'!BK127/10000,2)</f>
        <v>4479.7</v>
      </c>
      <c r="J7" s="27">
        <f>ROUND('PU Wise OWE'!BK129/10000,2)</f>
        <v>4471.9399999999996</v>
      </c>
      <c r="K7" s="26">
        <f>J7-I7</f>
        <v>-7.7600000000002183</v>
      </c>
      <c r="L7" s="56">
        <f>K7/I7</f>
        <v>-1.7322588566199117E-3</v>
      </c>
      <c r="M7" s="26">
        <f>J7-H7</f>
        <v>349.61999999999989</v>
      </c>
      <c r="N7" s="57">
        <f>M7/H7</f>
        <v>8.4811465388422033E-2</v>
      </c>
      <c r="O7" s="57">
        <f>J7/F7</f>
        <v>0.99826774114338013</v>
      </c>
    </row>
    <row r="8" spans="1:15">
      <c r="A8" s="31"/>
      <c r="B8" s="32"/>
      <c r="C8" s="32"/>
      <c r="D8" s="33"/>
      <c r="E8" s="33"/>
      <c r="F8" s="238"/>
      <c r="G8" s="34"/>
      <c r="H8" s="74"/>
      <c r="I8" s="238"/>
      <c r="J8" s="32"/>
      <c r="K8" s="31"/>
      <c r="L8" s="35"/>
      <c r="M8" s="34"/>
      <c r="N8" s="31"/>
    </row>
    <row r="9" spans="1:15" ht="14.45" customHeight="1">
      <c r="A9" s="31"/>
      <c r="D9" s="33"/>
      <c r="E9" s="33"/>
      <c r="F9" s="238"/>
      <c r="G9" s="34"/>
      <c r="H9" s="74"/>
      <c r="I9" s="238"/>
      <c r="J9" s="32"/>
      <c r="K9" s="31"/>
      <c r="L9" s="35"/>
      <c r="M9" s="34"/>
      <c r="N9" s="31"/>
    </row>
    <row r="10" spans="1:15">
      <c r="A10" s="31"/>
      <c r="B10" s="64" t="s">
        <v>308</v>
      </c>
      <c r="C10" s="64"/>
      <c r="D10" s="65"/>
      <c r="E10" s="65"/>
      <c r="F10" s="253"/>
      <c r="G10" s="65"/>
      <c r="H10" s="75"/>
      <c r="I10" s="253"/>
      <c r="J10" s="253"/>
      <c r="M10" s="36" t="s">
        <v>142</v>
      </c>
    </row>
    <row r="11" spans="1:15" ht="15" customHeight="1">
      <c r="A11" s="31"/>
      <c r="B11" s="281" t="s">
        <v>143</v>
      </c>
      <c r="C11" s="285" t="s">
        <v>313</v>
      </c>
      <c r="D11" s="285" t="s">
        <v>165</v>
      </c>
      <c r="E11" s="285"/>
      <c r="F11" s="283" t="str">
        <f>'PU Wise OWE'!$B$5</f>
        <v xml:space="preserve">FG 2023-24 </v>
      </c>
      <c r="G11" s="285" t="str">
        <f>G3</f>
        <v>% of Total RG 2023-24</v>
      </c>
      <c r="H11" s="288" t="str">
        <f>'PU Wise OWE'!$B$7</f>
        <v>Actuals upto March-23</v>
      </c>
      <c r="I11" s="283" t="str">
        <f>'PU Wise OWE'!$B$6</f>
        <v>BP to end of March-24</v>
      </c>
      <c r="J11" s="283" t="str">
        <f>'PU Wise OWE'!$B$8</f>
        <v>Actuals upto March-24</v>
      </c>
      <c r="K11" s="289" t="s">
        <v>198</v>
      </c>
      <c r="L11" s="289"/>
      <c r="M11" s="289" t="s">
        <v>139</v>
      </c>
      <c r="N11" s="289"/>
      <c r="O11" s="305" t="str">
        <f>O3</f>
        <v>RG Utilization</v>
      </c>
    </row>
    <row r="12" spans="1:15" ht="15" customHeight="1">
      <c r="A12" s="31"/>
      <c r="B12" s="282"/>
      <c r="C12" s="286"/>
      <c r="D12" s="286"/>
      <c r="E12" s="286"/>
      <c r="F12" s="284"/>
      <c r="G12" s="286"/>
      <c r="H12" s="286"/>
      <c r="I12" s="284"/>
      <c r="J12" s="284"/>
      <c r="K12" s="66" t="s">
        <v>137</v>
      </c>
      <c r="L12" s="67" t="s">
        <v>138</v>
      </c>
      <c r="M12" s="66" t="s">
        <v>137</v>
      </c>
      <c r="N12" s="67" t="s">
        <v>138</v>
      </c>
      <c r="O12" s="306"/>
    </row>
    <row r="13" spans="1:15">
      <c r="A13" s="31"/>
      <c r="B13" s="20" t="s">
        <v>144</v>
      </c>
      <c r="C13" s="107">
        <v>1258.0899999999999</v>
      </c>
      <c r="D13" s="68">
        <f>C13/$C$7</f>
        <v>0.30518979603718294</v>
      </c>
      <c r="E13" s="21"/>
      <c r="F13" s="107">
        <f>ROUND('PU Wise OWE'!$C$126/10000,2)</f>
        <v>1298.0999999999999</v>
      </c>
      <c r="G13" s="24">
        <f>F13/$F$7</f>
        <v>0.2897738687858562</v>
      </c>
      <c r="H13" s="72">
        <f>ROUND('PU Wise OWE'!$C$128/10000,2)</f>
        <v>1258.0899999999999</v>
      </c>
      <c r="I13" s="107">
        <f>ROUND('PU Wise OWE'!$C$127/10000,2)</f>
        <v>1298.0999999999999</v>
      </c>
      <c r="J13" s="20">
        <f>ROUND('PU Wise OWE'!$C$129/10000,2)</f>
        <v>1295.97</v>
      </c>
      <c r="K13" s="22">
        <f>J13-I13</f>
        <v>-2.1299999999998818</v>
      </c>
      <c r="L13" s="24">
        <f>K13/I13</f>
        <v>-1.640859718049366E-3</v>
      </c>
      <c r="M13" s="22">
        <f>J13-H13</f>
        <v>37.880000000000109</v>
      </c>
      <c r="N13" s="54">
        <f>M13/H13</f>
        <v>3.0109133686779255E-2</v>
      </c>
      <c r="O13" s="54">
        <f t="shared" ref="O13:O28" si="0">J13/F13</f>
        <v>0.99835914028195061</v>
      </c>
    </row>
    <row r="14" spans="1:15">
      <c r="A14" s="31"/>
      <c r="B14" s="20" t="s">
        <v>145</v>
      </c>
      <c r="C14" s="107">
        <v>500.31</v>
      </c>
      <c r="D14" s="68">
        <f t="shared" ref="D14:D27" si="1">C14/$C$7</f>
        <v>0.12136612393021406</v>
      </c>
      <c r="E14" s="21"/>
      <c r="F14" s="107">
        <f>ROUND('PU Wise OWE'!$D$126/10000,2)</f>
        <v>638.29</v>
      </c>
      <c r="G14" s="24">
        <f t="shared" ref="G14:G27" si="2">F14/$F$7</f>
        <v>0.14248498783400673</v>
      </c>
      <c r="H14" s="72">
        <f>ROUND('PU Wise OWE'!$D$128/10000,2)</f>
        <v>500.31</v>
      </c>
      <c r="I14" s="107">
        <f>ROUND('PU Wise OWE'!$D$127/10000,2)</f>
        <v>638.29</v>
      </c>
      <c r="J14" s="20">
        <f>ROUND('PU Wise OWE'!$D$129/10000,2)</f>
        <v>637.25</v>
      </c>
      <c r="K14" s="22">
        <f>J14-I14</f>
        <v>-1.0399999999999636</v>
      </c>
      <c r="L14" s="24">
        <f>K14/I14</f>
        <v>-1.6293534286922302E-3</v>
      </c>
      <c r="M14" s="22">
        <f t="shared" ref="M14:M27" si="3">J14-H14</f>
        <v>136.94</v>
      </c>
      <c r="N14" s="54">
        <f t="shared" ref="N14:N27" si="4">M14/H14</f>
        <v>0.27371029961423915</v>
      </c>
      <c r="O14" s="54">
        <f t="shared" si="0"/>
        <v>0.99837064657130781</v>
      </c>
    </row>
    <row r="15" spans="1:15">
      <c r="B15" s="23" t="s">
        <v>166</v>
      </c>
      <c r="C15" s="22">
        <v>50.81</v>
      </c>
      <c r="D15" s="68">
        <f t="shared" si="1"/>
        <v>1.232558365192416E-2</v>
      </c>
      <c r="E15" s="21"/>
      <c r="F15" s="107">
        <f>ROUND('PU Wise OWE'!$E$126/10000,2)</f>
        <v>51.59</v>
      </c>
      <c r="G15" s="24">
        <f t="shared" si="2"/>
        <v>1.1516396187244683E-2</v>
      </c>
      <c r="H15" s="72">
        <f>ROUND('PU Wise OWE'!$E$128/10000,2)</f>
        <v>50.81</v>
      </c>
      <c r="I15" s="107">
        <f>ROUND('PU Wise OWE'!$E$127/10000,2)</f>
        <v>56.97</v>
      </c>
      <c r="J15" s="20">
        <f>ROUND('PU Wise OWE'!$E$129/10000,2)</f>
        <v>51.5</v>
      </c>
      <c r="K15" s="22">
        <f>J15-I15</f>
        <v>-5.4699999999999989</v>
      </c>
      <c r="L15" s="24">
        <f>K15/I15</f>
        <v>-9.6015446726347181E-2</v>
      </c>
      <c r="M15" s="22">
        <f t="shared" si="3"/>
        <v>0.68999999999999773</v>
      </c>
      <c r="N15" s="54">
        <f t="shared" si="4"/>
        <v>1.358000393623298E-2</v>
      </c>
      <c r="O15" s="54">
        <f t="shared" si="0"/>
        <v>0.99825547586741614</v>
      </c>
    </row>
    <row r="16" spans="1:15">
      <c r="B16" s="23" t="s">
        <v>167</v>
      </c>
      <c r="C16" s="22">
        <v>143.61000000000001</v>
      </c>
      <c r="D16" s="68">
        <f t="shared" si="1"/>
        <v>3.4837179064216274E-2</v>
      </c>
      <c r="E16" s="21"/>
      <c r="F16" s="107">
        <f>ROUND('PU Wise OWE'!$F$126/10000,2)</f>
        <v>150.65</v>
      </c>
      <c r="G16" s="24">
        <f t="shared" si="2"/>
        <v>3.3629484117239997E-2</v>
      </c>
      <c r="H16" s="72">
        <f>ROUND('PU Wise OWE'!$F$128/10000,2)</f>
        <v>143.61000000000001</v>
      </c>
      <c r="I16" s="107">
        <f>ROUND('PU Wise OWE'!$F$127/10000,2)</f>
        <v>150.16</v>
      </c>
      <c r="J16" s="20">
        <f>ROUND('PU Wise OWE'!$F$129/10000,2)</f>
        <v>150.4</v>
      </c>
      <c r="K16" s="22">
        <f>J16-I16</f>
        <v>0.24000000000000909</v>
      </c>
      <c r="L16" s="24">
        <f>K16/I16</f>
        <v>1.5982951518381E-3</v>
      </c>
      <c r="M16" s="22">
        <f t="shared" si="3"/>
        <v>6.789999999999992</v>
      </c>
      <c r="N16" s="54">
        <f t="shared" si="4"/>
        <v>4.7280830025764164E-2</v>
      </c>
      <c r="O16" s="54">
        <f t="shared" si="0"/>
        <v>0.99834052439429144</v>
      </c>
    </row>
    <row r="17" spans="1:15">
      <c r="B17" s="23" t="s">
        <v>168</v>
      </c>
      <c r="C17" s="22">
        <v>93.6</v>
      </c>
      <c r="D17" s="68">
        <f t="shared" si="1"/>
        <v>2.270566088998428E-2</v>
      </c>
      <c r="E17" s="21"/>
      <c r="F17" s="107">
        <f>ROUND('PU Wise OWE'!$G$126/10000,2)</f>
        <v>103.38</v>
      </c>
      <c r="G17" s="24">
        <f t="shared" si="2"/>
        <v>2.3077438221309463E-2</v>
      </c>
      <c r="H17" s="72">
        <f>ROUND('PU Wise OWE'!$G$128/10000,2)</f>
        <v>93.6</v>
      </c>
      <c r="I17" s="107">
        <f>ROUND('PU Wise OWE'!$G$127/10000,2)</f>
        <v>92.07</v>
      </c>
      <c r="J17" s="20">
        <f>ROUND('PU Wise OWE'!$G$129/10000,2)</f>
        <v>103.21</v>
      </c>
      <c r="K17" s="22">
        <f>J17-I17</f>
        <v>11.14</v>
      </c>
      <c r="L17" s="24">
        <f>K17/I17</f>
        <v>0.12099489518844359</v>
      </c>
      <c r="M17" s="22">
        <f t="shared" si="3"/>
        <v>9.61</v>
      </c>
      <c r="N17" s="54">
        <f t="shared" si="4"/>
        <v>0.10267094017094017</v>
      </c>
      <c r="O17" s="54">
        <f t="shared" si="0"/>
        <v>0.99835558135035785</v>
      </c>
    </row>
    <row r="18" spans="1:15">
      <c r="A18" s="31"/>
      <c r="B18" s="20" t="s">
        <v>146</v>
      </c>
      <c r="C18" s="107">
        <v>156.4</v>
      </c>
      <c r="D18" s="68">
        <f t="shared" si="1"/>
        <v>3.7939800888819888E-2</v>
      </c>
      <c r="E18" s="21"/>
      <c r="F18" s="107">
        <f>ROUND('PU Wise OWE'!$H$126/10000,2)</f>
        <v>182.01</v>
      </c>
      <c r="G18" s="24">
        <f t="shared" si="2"/>
        <v>4.0629952898631604E-2</v>
      </c>
      <c r="H18" s="72">
        <f>ROUND('PU Wise OWE'!$H$128/10000,2)</f>
        <v>156.4</v>
      </c>
      <c r="I18" s="107">
        <f>ROUND('PU Wise OWE'!$H$127/10000,2)</f>
        <v>182.01</v>
      </c>
      <c r="J18" s="20">
        <f>ROUND('PU Wise OWE'!$H$129/10000,2)</f>
        <v>182.01</v>
      </c>
      <c r="K18" s="22">
        <f t="shared" ref="K18:K28" si="5">J18-I18</f>
        <v>0</v>
      </c>
      <c r="L18" s="24">
        <f t="shared" ref="L18:L28" si="6">K18/I18</f>
        <v>0</v>
      </c>
      <c r="M18" s="22">
        <f t="shared" si="3"/>
        <v>25.609999999999985</v>
      </c>
      <c r="N18" s="54">
        <f t="shared" si="4"/>
        <v>0.16374680306905362</v>
      </c>
      <c r="O18" s="54">
        <f t="shared" si="0"/>
        <v>1</v>
      </c>
    </row>
    <row r="19" spans="1:15">
      <c r="A19" s="31"/>
      <c r="B19" s="58" t="s">
        <v>147</v>
      </c>
      <c r="C19" s="108">
        <v>143.69999999999999</v>
      </c>
      <c r="D19" s="68">
        <f t="shared" si="1"/>
        <v>3.4859011430456638E-2</v>
      </c>
      <c r="E19" s="21"/>
      <c r="F19" s="107">
        <f>ROUND('PU Wise OWE'!$J$126/10000,2)</f>
        <v>179.77</v>
      </c>
      <c r="G19" s="24">
        <f t="shared" si="2"/>
        <v>4.0129919414246491E-2</v>
      </c>
      <c r="H19" s="72">
        <f>ROUND('PU Wise OWE'!$J$128/10000,2)</f>
        <v>143.69999999999999</v>
      </c>
      <c r="I19" s="107">
        <f>ROUND('PU Wise OWE'!$J$127/10000,2)</f>
        <v>179.77</v>
      </c>
      <c r="J19" s="20">
        <f>ROUND('PU Wise OWE'!$J$129/10000,2)</f>
        <v>179.47</v>
      </c>
      <c r="K19" s="22">
        <f t="shared" si="5"/>
        <v>-0.30000000000001137</v>
      </c>
      <c r="L19" s="24">
        <f t="shared" si="6"/>
        <v>-1.6687990209713042E-3</v>
      </c>
      <c r="M19" s="22">
        <f t="shared" si="3"/>
        <v>35.77000000000001</v>
      </c>
      <c r="N19" s="54">
        <f t="shared" si="4"/>
        <v>0.24892136395267928</v>
      </c>
      <c r="O19" s="54">
        <f t="shared" si="0"/>
        <v>0.99833120097902872</v>
      </c>
    </row>
    <row r="20" spans="1:15">
      <c r="A20" s="31"/>
      <c r="B20" s="20" t="s">
        <v>148</v>
      </c>
      <c r="C20" s="107">
        <v>8.98</v>
      </c>
      <c r="D20" s="68">
        <f t="shared" si="1"/>
        <v>2.1783849870946458E-3</v>
      </c>
      <c r="E20" s="21"/>
      <c r="F20" s="107">
        <f>ROUND('PU Wise OWE'!$K$126/10000,2)</f>
        <v>10.220000000000001</v>
      </c>
      <c r="G20" s="24">
        <f t="shared" si="2"/>
        <v>2.2814027725070879E-3</v>
      </c>
      <c r="H20" s="72">
        <f>ROUND('PU Wise OWE'!$K$128/10000,2)</f>
        <v>8.98</v>
      </c>
      <c r="I20" s="107">
        <f>ROUND('PU Wise OWE'!$K$127/10000,2)</f>
        <v>10.220000000000001</v>
      </c>
      <c r="J20" s="20">
        <f>ROUND('PU Wise OWE'!$K$129/10000,2)</f>
        <v>10.210000000000001</v>
      </c>
      <c r="K20" s="22">
        <f t="shared" si="5"/>
        <v>-9.9999999999997868E-3</v>
      </c>
      <c r="L20" s="24">
        <f t="shared" si="6"/>
        <v>-9.7847358121328637E-4</v>
      </c>
      <c r="M20" s="22">
        <f t="shared" si="3"/>
        <v>1.2300000000000004</v>
      </c>
      <c r="N20" s="54">
        <f t="shared" si="4"/>
        <v>0.13697104677060137</v>
      </c>
      <c r="O20" s="54">
        <f t="shared" si="0"/>
        <v>0.99902152641878672</v>
      </c>
    </row>
    <row r="21" spans="1:15">
      <c r="A21" s="31"/>
      <c r="B21" s="20" t="s">
        <v>149</v>
      </c>
      <c r="C21" s="107">
        <v>26.79</v>
      </c>
      <c r="D21" s="68">
        <f t="shared" si="1"/>
        <v>6.4987676842166546E-3</v>
      </c>
      <c r="E21" s="21"/>
      <c r="F21" s="107">
        <f>ROUND('PU Wise OWE'!$L$126/10000,2)</f>
        <v>43.09</v>
      </c>
      <c r="G21" s="24">
        <f t="shared" si="2"/>
        <v>9.6189476973904519E-3</v>
      </c>
      <c r="H21" s="72">
        <f>ROUND('PU Wise OWE'!$L$128/10000,2)</f>
        <v>26.79</v>
      </c>
      <c r="I21" s="107">
        <f>ROUND('PU Wise OWE'!$L$127/10000,2)</f>
        <v>43.09</v>
      </c>
      <c r="J21" s="20">
        <f>ROUND('PU Wise OWE'!$L$129/10000,2)</f>
        <v>43.02</v>
      </c>
      <c r="K21" s="22">
        <f t="shared" si="5"/>
        <v>-7.0000000000000284E-2</v>
      </c>
      <c r="L21" s="24">
        <f t="shared" si="6"/>
        <v>-1.6245068461360008E-3</v>
      </c>
      <c r="M21" s="22">
        <f t="shared" si="3"/>
        <v>16.230000000000004</v>
      </c>
      <c r="N21" s="54">
        <f t="shared" si="4"/>
        <v>0.60582306830907073</v>
      </c>
      <c r="O21" s="54">
        <f t="shared" si="0"/>
        <v>0.99837549315386398</v>
      </c>
    </row>
    <row r="22" spans="1:15">
      <c r="A22" s="31"/>
      <c r="B22" s="20" t="s">
        <v>171</v>
      </c>
      <c r="C22" s="107">
        <v>66.510000000000005</v>
      </c>
      <c r="D22" s="68">
        <f t="shared" si="1"/>
        <v>1.6134118651633063E-2</v>
      </c>
      <c r="E22" s="21"/>
      <c r="F22" s="107">
        <f>ROUND('PU Wise OWE'!$M$126/10000,2)</f>
        <v>71.540000000000006</v>
      </c>
      <c r="G22" s="24">
        <f t="shared" si="2"/>
        <v>1.5969819407549615E-2</v>
      </c>
      <c r="H22" s="72">
        <f>ROUND('PU Wise OWE'!$M$128/10000,2)</f>
        <v>66.510000000000005</v>
      </c>
      <c r="I22" s="107">
        <f>ROUND('PU Wise OWE'!$M$127/10000,2)</f>
        <v>71.540000000000006</v>
      </c>
      <c r="J22" s="20">
        <f>ROUND('PU Wise OWE'!$M$129/10000,2)</f>
        <v>71.42</v>
      </c>
      <c r="K22" s="22">
        <f>J22-I22</f>
        <v>-0.12000000000000455</v>
      </c>
      <c r="L22" s="24">
        <f>K22/I22</f>
        <v>-1.6773832820800186E-3</v>
      </c>
      <c r="M22" s="22">
        <f t="shared" si="3"/>
        <v>4.9099999999999966</v>
      </c>
      <c r="N22" s="54">
        <f t="shared" si="4"/>
        <v>7.3823485190196908E-2</v>
      </c>
      <c r="O22" s="54">
        <f t="shared" si="0"/>
        <v>0.99832261671792</v>
      </c>
    </row>
    <row r="23" spans="1:15">
      <c r="A23" s="31"/>
      <c r="B23" s="58" t="s">
        <v>150</v>
      </c>
      <c r="C23" s="108">
        <v>49.82</v>
      </c>
      <c r="D23" s="68">
        <f t="shared" si="1"/>
        <v>1.2085427623280095E-2</v>
      </c>
      <c r="E23" s="21"/>
      <c r="F23" s="107">
        <f>ROUND('PU Wise OWE'!$P$126/10000,2)</f>
        <v>62.07</v>
      </c>
      <c r="G23" s="24">
        <f t="shared" si="2"/>
        <v>1.38558385606179E-2</v>
      </c>
      <c r="H23" s="72">
        <f>ROUND('PU Wise OWE'!$P$128/10000,2)</f>
        <v>49.82</v>
      </c>
      <c r="I23" s="107">
        <f>ROUND('PU Wise OWE'!$P$127/10000,2)</f>
        <v>62.07</v>
      </c>
      <c r="J23" s="20">
        <f>ROUND('PU Wise OWE'!$P$129/10000,2)</f>
        <v>61.97</v>
      </c>
      <c r="K23" s="22">
        <f t="shared" si="5"/>
        <v>-0.10000000000000142</v>
      </c>
      <c r="L23" s="24">
        <f t="shared" si="6"/>
        <v>-1.6110842597068056E-3</v>
      </c>
      <c r="M23" s="22">
        <f t="shared" si="3"/>
        <v>12.149999999999999</v>
      </c>
      <c r="N23" s="54">
        <f t="shared" si="4"/>
        <v>0.24387796065837011</v>
      </c>
      <c r="O23" s="54">
        <f t="shared" si="0"/>
        <v>0.9983889157402932</v>
      </c>
    </row>
    <row r="24" spans="1:15">
      <c r="B24" s="58" t="s">
        <v>151</v>
      </c>
      <c r="C24" s="108">
        <v>42.47</v>
      </c>
      <c r="D24" s="68">
        <f t="shared" si="1"/>
        <v>1.0302451046983253E-2</v>
      </c>
      <c r="E24" s="21"/>
      <c r="F24" s="107">
        <f>ROUND('PU Wise OWE'!$S$126/10000,2)</f>
        <v>47.22</v>
      </c>
      <c r="G24" s="24">
        <f t="shared" si="2"/>
        <v>1.0540884434225507E-2</v>
      </c>
      <c r="H24" s="72">
        <f>ROUND('PU Wise OWE'!$S$128/10000,2)</f>
        <v>42.47</v>
      </c>
      <c r="I24" s="107">
        <f>ROUND('PU Wise OWE'!$S$127/10000,2)</f>
        <v>47.22</v>
      </c>
      <c r="J24" s="20">
        <f>ROUND('PU Wise OWE'!$S$129/10000,2)</f>
        <v>47.13</v>
      </c>
      <c r="K24" s="22">
        <f t="shared" si="5"/>
        <v>-8.9999999999996305E-2</v>
      </c>
      <c r="L24" s="24">
        <f t="shared" si="6"/>
        <v>-1.9059720457432509E-3</v>
      </c>
      <c r="M24" s="22">
        <f t="shared" si="3"/>
        <v>4.6600000000000037</v>
      </c>
      <c r="N24" s="54">
        <f t="shared" si="4"/>
        <v>0.10972451141982585</v>
      </c>
      <c r="O24" s="54">
        <f t="shared" si="0"/>
        <v>0.99809402795425672</v>
      </c>
    </row>
    <row r="25" spans="1:15">
      <c r="B25" s="58" t="s">
        <v>152</v>
      </c>
      <c r="C25" s="108">
        <v>37.81</v>
      </c>
      <c r="D25" s="68">
        <f t="shared" si="1"/>
        <v>9.1720196394263435E-3</v>
      </c>
      <c r="E25" s="21"/>
      <c r="F25" s="107">
        <f>ROUND('PU Wise OWE'!$T$126/10000,2)</f>
        <v>53.14</v>
      </c>
      <c r="G25" s="24">
        <f t="shared" si="2"/>
        <v>1.1862401500100454E-2</v>
      </c>
      <c r="H25" s="72">
        <f>ROUND('PU Wise OWE'!$T$128/10000,2)</f>
        <v>37.81</v>
      </c>
      <c r="I25" s="107">
        <f>ROUND('PU Wise OWE'!$T$127/10000,2)</f>
        <v>53.14</v>
      </c>
      <c r="J25" s="20">
        <f>ROUND('PU Wise OWE'!$T$129/10000,2)</f>
        <v>53.04</v>
      </c>
      <c r="K25" s="22">
        <f t="shared" si="5"/>
        <v>-0.10000000000000142</v>
      </c>
      <c r="L25" s="24">
        <f t="shared" si="6"/>
        <v>-1.8818216033120328E-3</v>
      </c>
      <c r="M25" s="22">
        <f t="shared" si="3"/>
        <v>15.229999999999997</v>
      </c>
      <c r="N25" s="54">
        <f t="shared" si="4"/>
        <v>0.40280349113990999</v>
      </c>
      <c r="O25" s="54">
        <f t="shared" si="0"/>
        <v>0.99811817839668793</v>
      </c>
    </row>
    <row r="26" spans="1:15">
      <c r="B26" s="58" t="s">
        <v>170</v>
      </c>
      <c r="C26" s="108">
        <v>11.18</v>
      </c>
      <c r="D26" s="68">
        <f t="shared" si="1"/>
        <v>2.7120650507481223E-3</v>
      </c>
      <c r="E26" s="22"/>
      <c r="F26" s="107">
        <f>ROUND('PU Wise OWE'!$V$126/10000,2)</f>
        <v>10.53</v>
      </c>
      <c r="G26" s="24">
        <f t="shared" si="2"/>
        <v>2.350603835078242E-3</v>
      </c>
      <c r="H26" s="72">
        <f>ROUND('PU Wise OWE'!$V$128/10000,2)</f>
        <v>11.18</v>
      </c>
      <c r="I26" s="107">
        <f>ROUND('PU Wise OWE'!$V$127/10000,2)</f>
        <v>10.53</v>
      </c>
      <c r="J26" s="20">
        <f>ROUND('PU Wise OWE'!$V$129/10000,2)</f>
        <v>10.09</v>
      </c>
      <c r="K26" s="22">
        <f t="shared" si="5"/>
        <v>-0.4399999999999995</v>
      </c>
      <c r="L26" s="24">
        <f t="shared" si="6"/>
        <v>-4.1785375118708411E-2</v>
      </c>
      <c r="M26" s="22">
        <f t="shared" si="3"/>
        <v>-1.0899999999999999</v>
      </c>
      <c r="N26" s="54">
        <f t="shared" si="4"/>
        <v>-9.7495527728085854E-2</v>
      </c>
      <c r="O26" s="54">
        <f t="shared" si="0"/>
        <v>0.95821462488129161</v>
      </c>
    </row>
    <row r="27" spans="1:15">
      <c r="B27" s="58" t="s">
        <v>169</v>
      </c>
      <c r="C27" s="108">
        <v>28.39</v>
      </c>
      <c r="D27" s="68">
        <f t="shared" si="1"/>
        <v>6.8868986396010022E-3</v>
      </c>
      <c r="E27" s="22"/>
      <c r="F27" s="107">
        <f>ROUND('PU Wise OWE'!$AC$126/10000,2)</f>
        <v>21.1</v>
      </c>
      <c r="G27" s="24">
        <f t="shared" si="2"/>
        <v>4.7101368395205045E-3</v>
      </c>
      <c r="H27" s="72">
        <f>ROUND('PU Wise OWE'!$AC$128/10000,2)</f>
        <v>28.39</v>
      </c>
      <c r="I27" s="107">
        <f>ROUND('PU Wise OWE'!$AC$127/10000,2)</f>
        <v>21.1</v>
      </c>
      <c r="J27" s="20">
        <f>ROUND('PU Wise OWE'!$AC$129/10000,2)</f>
        <v>21.06</v>
      </c>
      <c r="K27" s="22">
        <f>J27-I27</f>
        <v>-4.00000000000027E-2</v>
      </c>
      <c r="L27" s="24">
        <f>K27/I27</f>
        <v>-1.8957345971565259E-3</v>
      </c>
      <c r="M27" s="22">
        <f t="shared" si="3"/>
        <v>-7.3300000000000018</v>
      </c>
      <c r="N27" s="54">
        <f t="shared" si="4"/>
        <v>-0.25818950334624874</v>
      </c>
      <c r="O27" s="54">
        <f t="shared" si="0"/>
        <v>0.99810426540284347</v>
      </c>
    </row>
    <row r="28" spans="1:15">
      <c r="B28" s="206" t="s">
        <v>141</v>
      </c>
      <c r="C28" s="207">
        <f>SUM(C13:C27)</f>
        <v>2618.4699999999993</v>
      </c>
      <c r="D28" s="209">
        <f>SUM(D13:D27)</f>
        <v>0.63519328921578155</v>
      </c>
      <c r="E28" s="207"/>
      <c r="F28" s="257">
        <f>F5</f>
        <v>2937.7</v>
      </c>
      <c r="G28" s="209">
        <f>SUM(G13:G27)</f>
        <v>0.65243208250552487</v>
      </c>
      <c r="H28" s="208">
        <f>SUM(H13:H27)</f>
        <v>2618.4699999999993</v>
      </c>
      <c r="I28" s="257">
        <f>SUM(I13:I27)</f>
        <v>2916.28</v>
      </c>
      <c r="J28" s="257">
        <f>SUM(J13:J27)</f>
        <v>2917.75</v>
      </c>
      <c r="K28" s="207">
        <f t="shared" si="5"/>
        <v>1.4699999999997999</v>
      </c>
      <c r="L28" s="209">
        <f t="shared" si="6"/>
        <v>5.0406682485899833E-4</v>
      </c>
      <c r="M28" s="207">
        <f>J28-H28</f>
        <v>299.28000000000065</v>
      </c>
      <c r="N28" s="210">
        <f>M28/H28</f>
        <v>0.11429575286331359</v>
      </c>
      <c r="O28" s="210">
        <f t="shared" si="0"/>
        <v>0.99320897300609323</v>
      </c>
    </row>
    <row r="29" spans="1:15">
      <c r="J29" s="254"/>
    </row>
    <row r="31" spans="1:15">
      <c r="B31" s="77" t="s">
        <v>309</v>
      </c>
      <c r="C31" s="77"/>
      <c r="D31" s="79"/>
      <c r="H31" s="78"/>
      <c r="M31" s="36" t="s">
        <v>142</v>
      </c>
    </row>
    <row r="32" spans="1:15" ht="15" customHeight="1">
      <c r="B32" s="290" t="s">
        <v>143</v>
      </c>
      <c r="C32" s="295" t="s">
        <v>313</v>
      </c>
      <c r="D32" s="295" t="s">
        <v>165</v>
      </c>
      <c r="E32" s="295"/>
      <c r="F32" s="292" t="str">
        <f>'PU Wise OWE'!$B$5</f>
        <v xml:space="preserve">FG 2023-24 </v>
      </c>
      <c r="G32" s="295" t="str">
        <f>G11</f>
        <v>% of Total RG 2023-24</v>
      </c>
      <c r="H32" s="297" t="str">
        <f>'PU Wise OWE'!$B$7</f>
        <v>Actuals upto March-23</v>
      </c>
      <c r="I32" s="292" t="str">
        <f>'PU Wise OWE'!$B$6</f>
        <v>BP to end of March-24</v>
      </c>
      <c r="J32" s="292" t="str">
        <f>'PU Wise OWE'!$B$8</f>
        <v>Actuals upto March-24</v>
      </c>
      <c r="K32" s="294" t="s">
        <v>198</v>
      </c>
      <c r="L32" s="294"/>
      <c r="M32" s="294" t="s">
        <v>139</v>
      </c>
      <c r="N32" s="294"/>
      <c r="O32" s="307" t="str">
        <f>O11</f>
        <v>RG Utilization</v>
      </c>
    </row>
    <row r="33" spans="2:15" ht="18" customHeight="1">
      <c r="B33" s="291"/>
      <c r="C33" s="296"/>
      <c r="D33" s="296"/>
      <c r="E33" s="296"/>
      <c r="F33" s="293"/>
      <c r="G33" s="296"/>
      <c r="H33" s="296"/>
      <c r="I33" s="293"/>
      <c r="J33" s="293"/>
      <c r="K33" s="81" t="s">
        <v>137</v>
      </c>
      <c r="L33" s="82" t="s">
        <v>138</v>
      </c>
      <c r="M33" s="81" t="s">
        <v>137</v>
      </c>
      <c r="N33" s="82" t="s">
        <v>138</v>
      </c>
      <c r="O33" s="308"/>
    </row>
    <row r="34" spans="2:15">
      <c r="B34" s="86" t="s">
        <v>173</v>
      </c>
      <c r="C34" s="109">
        <v>1.59</v>
      </c>
      <c r="D34" s="68">
        <f>C34/$C$7</f>
        <v>3.8570513691319456E-4</v>
      </c>
      <c r="E34" s="21"/>
      <c r="F34" s="107">
        <f>ROUND(('PU Wise OWE'!$AE$126+'PU Wise OWE'!$AF$126)/10000,2)</f>
        <v>2.14</v>
      </c>
      <c r="G34" s="24">
        <f>F34/$F$7</f>
        <v>4.7771056097506534E-4</v>
      </c>
      <c r="H34" s="72">
        <f>ROUND(('PU Wise OWE'!$AE$128+'PU Wise OWE'!$AF$128)/10000,2)</f>
        <v>1.59</v>
      </c>
      <c r="I34" s="107">
        <f>ROUND(('PU Wise OWE'!$AE$127+'PU Wise OWE'!$AF$127)/10000,2)</f>
        <v>2.14</v>
      </c>
      <c r="J34" s="20">
        <f>ROUND(('PU Wise OWE'!$AE$129+'PU Wise OWE'!$AF$129)/10000,2)</f>
        <v>2.14</v>
      </c>
      <c r="K34" s="22">
        <f>J34-I34</f>
        <v>0</v>
      </c>
      <c r="L34" s="24">
        <f>K34/I34</f>
        <v>0</v>
      </c>
      <c r="M34" s="22">
        <f>J34-H34</f>
        <v>0.55000000000000004</v>
      </c>
      <c r="N34" s="54">
        <f>M34/H34</f>
        <v>0.34591194968553463</v>
      </c>
      <c r="O34" s="54">
        <f>J34/F34</f>
        <v>1</v>
      </c>
    </row>
    <row r="35" spans="2:15" ht="16.5" customHeight="1">
      <c r="B35" s="86" t="s">
        <v>174</v>
      </c>
      <c r="C35" s="109">
        <v>4.21</v>
      </c>
      <c r="D35" s="68">
        <f>C35/$C$7</f>
        <v>1.0212695763550622E-3</v>
      </c>
      <c r="E35" s="21"/>
      <c r="F35" s="107">
        <f>ROUND('PU Wise OWE'!$AG$126/10000,2)</f>
        <v>4.68</v>
      </c>
      <c r="G35" s="24">
        <f>F35/$F$7</f>
        <v>1.0447128155903296E-3</v>
      </c>
      <c r="H35" s="72">
        <f>ROUND('PU Wise OWE'!$AG$128/10000,2)</f>
        <v>4.21</v>
      </c>
      <c r="I35" s="107">
        <f>ROUND('PU Wise OWE'!$AG$127/10000,2)</f>
        <v>4.68</v>
      </c>
      <c r="J35" s="20">
        <f>ROUND('PU Wise OWE'!$AG$129/10000,2)</f>
        <v>4.67</v>
      </c>
      <c r="K35" s="22">
        <f>J35-I35</f>
        <v>-9.9999999999997868E-3</v>
      </c>
      <c r="L35" s="24">
        <f>K35/I35</f>
        <v>-2.1367521367520914E-3</v>
      </c>
      <c r="M35" s="22">
        <f>J35-H35</f>
        <v>0.45999999999999996</v>
      </c>
      <c r="N35" s="54">
        <f>M35/H35</f>
        <v>0.10926365795724464</v>
      </c>
      <c r="O35" s="54">
        <f>J35/F35</f>
        <v>0.99786324786324787</v>
      </c>
    </row>
    <row r="36" spans="2:15" ht="15.75" customHeight="1">
      <c r="B36" s="86" t="s">
        <v>175</v>
      </c>
      <c r="C36" s="109">
        <v>2.23</v>
      </c>
      <c r="D36" s="68">
        <f>C36/$C$7</f>
        <v>5.4095751906693321E-4</v>
      </c>
      <c r="E36" s="21"/>
      <c r="F36" s="107">
        <f>ROUND('PU Wise OWE'!$AJ$126/10000,2)</f>
        <v>1.73</v>
      </c>
      <c r="G36" s="24">
        <f>F36/$F$7</f>
        <v>3.8618657499386123E-4</v>
      </c>
      <c r="H36" s="72">
        <f>ROUND('PU Wise OWE'!$AJ$128/10000,2)</f>
        <v>2.23</v>
      </c>
      <c r="I36" s="107">
        <f>ROUND('PU Wise OWE'!$AJ$127/10000,2)</f>
        <v>1.73</v>
      </c>
      <c r="J36" s="20">
        <f>ROUND('PU Wise OWE'!$AJ$129/10000,2)</f>
        <v>1.73</v>
      </c>
      <c r="K36" s="22">
        <f>J36-I36</f>
        <v>0</v>
      </c>
      <c r="L36" s="24">
        <f>K36/I36</f>
        <v>0</v>
      </c>
      <c r="M36" s="22">
        <f>J36-H36</f>
        <v>-0.5</v>
      </c>
      <c r="N36" s="54">
        <f>M36/H36</f>
        <v>-0.22421524663677131</v>
      </c>
      <c r="O36" s="54">
        <f>J36/F36</f>
        <v>1</v>
      </c>
    </row>
    <row r="37" spans="2:15">
      <c r="B37" s="25" t="s">
        <v>141</v>
      </c>
      <c r="C37" s="26">
        <f>C34+C35+C36</f>
        <v>8.0299999999999994</v>
      </c>
      <c r="D37" s="69">
        <f>C37/$C$7</f>
        <v>1.9479322323351898E-3</v>
      </c>
      <c r="E37" s="26"/>
      <c r="F37" s="141">
        <f>SUM(F34:F36)</f>
        <v>8.5500000000000007</v>
      </c>
      <c r="G37" s="56">
        <f>F37/$F$7</f>
        <v>1.9086099515592564E-3</v>
      </c>
      <c r="H37" s="76">
        <f>SUM(H34:H36)</f>
        <v>8.0299999999999994</v>
      </c>
      <c r="I37" s="141">
        <f>SUM(I34:I36)</f>
        <v>8.5500000000000007</v>
      </c>
      <c r="J37" s="141">
        <f>SUM(J34:J36)</f>
        <v>8.5400000000000009</v>
      </c>
      <c r="K37" s="26">
        <f>J37-I37</f>
        <v>-9.9999999999997868E-3</v>
      </c>
      <c r="L37" s="56">
        <f>K37/I37</f>
        <v>-1.1695906432748287E-3</v>
      </c>
      <c r="M37" s="26">
        <f>J37-H37</f>
        <v>0.51000000000000156</v>
      </c>
      <c r="N37" s="57">
        <f>M37/H37</f>
        <v>6.3511830635118505E-2</v>
      </c>
      <c r="O37" s="57">
        <f>J37/F37</f>
        <v>0.99883040935672518</v>
      </c>
    </row>
    <row r="39" spans="2:15">
      <c r="B39" s="84"/>
      <c r="C39" s="84"/>
      <c r="D39" s="84"/>
      <c r="H39" s="85"/>
      <c r="M39" s="36" t="s">
        <v>142</v>
      </c>
    </row>
    <row r="40" spans="2:15" ht="15" customHeight="1">
      <c r="B40" s="298" t="s">
        <v>156</v>
      </c>
      <c r="C40" s="295" t="s">
        <v>313</v>
      </c>
      <c r="D40" s="295" t="s">
        <v>165</v>
      </c>
      <c r="E40" s="299"/>
      <c r="F40" s="292" t="str">
        <f>'PU Wise OWE'!$B$5</f>
        <v xml:space="preserve">FG 2023-24 </v>
      </c>
      <c r="G40" s="295" t="str">
        <f>G32</f>
        <v>% of Total RG 2023-24</v>
      </c>
      <c r="H40" s="297" t="str">
        <f>'PU Wise OWE'!$B$7</f>
        <v>Actuals upto March-23</v>
      </c>
      <c r="I40" s="292" t="str">
        <f>'PU Wise OWE'!$B$6</f>
        <v>BP to end of March-24</v>
      </c>
      <c r="J40" s="292" t="str">
        <f>'PU Wise OWE'!$B$8</f>
        <v>Actuals upto March-24</v>
      </c>
      <c r="K40" s="294" t="s">
        <v>198</v>
      </c>
      <c r="L40" s="294"/>
      <c r="M40" s="294" t="s">
        <v>139</v>
      </c>
      <c r="N40" s="294"/>
      <c r="O40" s="307" t="str">
        <f>O32</f>
        <v>RG Utilization</v>
      </c>
    </row>
    <row r="41" spans="2:15" ht="30.75" customHeight="1">
      <c r="B41" s="298"/>
      <c r="C41" s="296"/>
      <c r="D41" s="296"/>
      <c r="E41" s="300"/>
      <c r="F41" s="293"/>
      <c r="G41" s="296"/>
      <c r="H41" s="296"/>
      <c r="I41" s="293"/>
      <c r="J41" s="293"/>
      <c r="K41" s="81" t="s">
        <v>137</v>
      </c>
      <c r="L41" s="82" t="s">
        <v>138</v>
      </c>
      <c r="M41" s="81" t="s">
        <v>137</v>
      </c>
      <c r="N41" s="82" t="s">
        <v>138</v>
      </c>
      <c r="O41" s="308"/>
    </row>
    <row r="42" spans="2:15">
      <c r="B42" s="27" t="s">
        <v>157</v>
      </c>
      <c r="C42" s="106">
        <v>82.02</v>
      </c>
      <c r="D42" s="68">
        <f t="shared" ref="D42:D50" si="7">C42/$C$7</f>
        <v>1.9896563100390074E-2</v>
      </c>
      <c r="E42" s="300"/>
      <c r="F42" s="21">
        <f>SUM(F43:F48)</f>
        <v>42.91</v>
      </c>
      <c r="G42" s="24">
        <f t="shared" ref="G42:G50" si="8">F42/$F$7</f>
        <v>9.5787664352523609E-3</v>
      </c>
      <c r="H42" s="72">
        <f>SUM(H43:H48)</f>
        <v>82.02000000000001</v>
      </c>
      <c r="I42" s="21">
        <f>SUM(I43:I48)</f>
        <v>42.91</v>
      </c>
      <c r="J42" s="21">
        <f>SUM(J43:J48)</f>
        <v>42.83</v>
      </c>
      <c r="K42" s="22">
        <f>J42-I42</f>
        <v>-7.9999999999998295E-2</v>
      </c>
      <c r="L42" s="24">
        <f>K42/I42</f>
        <v>-1.8643672803541902E-3</v>
      </c>
      <c r="M42" s="22">
        <f>J42-H42</f>
        <v>-39.190000000000012</v>
      </c>
      <c r="N42" s="54">
        <f>M42/H42</f>
        <v>-0.47781029017312859</v>
      </c>
      <c r="O42" s="54">
        <f t="shared" ref="O42:O49" si="9">J42/F42</f>
        <v>0.99813563271964578</v>
      </c>
    </row>
    <row r="43" spans="2:15">
      <c r="B43" s="59" t="s">
        <v>307</v>
      </c>
      <c r="C43" s="21">
        <v>0.34</v>
      </c>
      <c r="D43" s="68">
        <f t="shared" si="7"/>
        <v>8.2477828019173683E-5</v>
      </c>
      <c r="E43" s="300"/>
      <c r="F43" s="21">
        <f>ROUND('PU Wise OWE'!$AK$82/10000,2)</f>
        <v>0.15</v>
      </c>
      <c r="G43" s="24">
        <f t="shared" si="8"/>
        <v>3.348438511507467E-5</v>
      </c>
      <c r="H43" s="72">
        <f>ROUND('PU Wise OWE'!$AK$84/10000,2)</f>
        <v>0.34</v>
      </c>
      <c r="I43" s="21">
        <f>ROUND('PU Wise OWE'!$AK$83/10000,2)</f>
        <v>0.15</v>
      </c>
      <c r="J43" s="21">
        <f>ROUND('PU Wise OWE'!$AK$85/10000,2)</f>
        <v>0.15</v>
      </c>
      <c r="K43" s="22">
        <f t="shared" ref="K43:K50" si="10">J43-I43</f>
        <v>0</v>
      </c>
      <c r="L43" s="24">
        <f t="shared" ref="L43:L50" si="11">K43/I43</f>
        <v>0</v>
      </c>
      <c r="M43" s="22">
        <f t="shared" ref="M43:M49" si="12">J43-H43</f>
        <v>-0.19000000000000003</v>
      </c>
      <c r="N43" s="54">
        <f t="shared" ref="N43:N49" si="13">M43/H43</f>
        <v>-0.55882352941176472</v>
      </c>
      <c r="O43" s="54">
        <f t="shared" si="9"/>
        <v>1</v>
      </c>
    </row>
    <row r="44" spans="2:15" s="250" customFormat="1">
      <c r="B44" s="251" t="s">
        <v>306</v>
      </c>
      <c r="C44" s="21">
        <v>0</v>
      </c>
      <c r="D44" s="68">
        <f t="shared" si="7"/>
        <v>0</v>
      </c>
      <c r="E44" s="300"/>
      <c r="F44" s="21">
        <v>0</v>
      </c>
      <c r="G44" s="24">
        <f t="shared" si="8"/>
        <v>0</v>
      </c>
      <c r="H44" s="21">
        <f>ROUND('PU Wise OWE'!$AP$84/10000,2)</f>
        <v>0</v>
      </c>
      <c r="I44" s="21">
        <v>0</v>
      </c>
      <c r="J44" s="21">
        <f>ROUND('PU Wise OWE'!$AP$85/10000,2)</f>
        <v>0</v>
      </c>
      <c r="K44" s="22">
        <f>J44-I44</f>
        <v>0</v>
      </c>
      <c r="L44" s="24" t="e">
        <f>K44/I44</f>
        <v>#DIV/0!</v>
      </c>
      <c r="M44" s="22">
        <f>J44-H44</f>
        <v>0</v>
      </c>
      <c r="N44" s="54" t="e">
        <f>M44/H44</f>
        <v>#DIV/0!</v>
      </c>
      <c r="O44" s="54" t="e">
        <f t="shared" si="9"/>
        <v>#DIV/0!</v>
      </c>
    </row>
    <row r="45" spans="2:15">
      <c r="B45" s="60" t="s">
        <v>160</v>
      </c>
      <c r="C45" s="110">
        <v>-1.1399999999999999</v>
      </c>
      <c r="D45" s="68">
        <f t="shared" si="7"/>
        <v>-2.76543305711347E-4</v>
      </c>
      <c r="E45" s="300"/>
      <c r="F45" s="21">
        <f>ROUND('PU Wise OWE'!$AR$82/10000,2)</f>
        <v>1.35</v>
      </c>
      <c r="G45" s="24">
        <f t="shared" si="8"/>
        <v>3.0135946603567209E-4</v>
      </c>
      <c r="H45" s="72">
        <f>ROUND('PU Wise OWE'!$AR$84/10000,2)</f>
        <v>-1.1399999999999999</v>
      </c>
      <c r="I45" s="21">
        <f>ROUND('PU Wise OWE'!$AR$83/10000,2)</f>
        <v>1.35</v>
      </c>
      <c r="J45" s="21">
        <f>ROUND('PU Wise OWE'!$AR$85/10000,2)</f>
        <v>1.35</v>
      </c>
      <c r="K45" s="22">
        <f>J45-I45</f>
        <v>0</v>
      </c>
      <c r="L45" s="24">
        <f>K45/I45</f>
        <v>0</v>
      </c>
      <c r="M45" s="22">
        <f t="shared" si="12"/>
        <v>2.4900000000000002</v>
      </c>
      <c r="N45" s="54">
        <f t="shared" si="13"/>
        <v>-2.1842105263157898</v>
      </c>
      <c r="O45" s="54">
        <f t="shared" si="9"/>
        <v>1</v>
      </c>
    </row>
    <row r="46" spans="2:15">
      <c r="B46" s="60" t="s">
        <v>161</v>
      </c>
      <c r="C46" s="110">
        <v>-3.05</v>
      </c>
      <c r="D46" s="68">
        <f t="shared" si="7"/>
        <v>-7.3987463370141086E-4</v>
      </c>
      <c r="E46" s="300"/>
      <c r="F46" s="21">
        <f>ROUND('PU Wise OWE'!$AU$82/10000,2)</f>
        <v>0.87</v>
      </c>
      <c r="G46" s="24">
        <f t="shared" si="8"/>
        <v>1.9420943366743308E-4</v>
      </c>
      <c r="H46" s="72">
        <f>ROUND('PU Wise OWE'!$AU$84/10000,2)</f>
        <v>-3.05</v>
      </c>
      <c r="I46" s="21">
        <f>ROUND('PU Wise OWE'!$AU$83/10000,2)</f>
        <v>0.87</v>
      </c>
      <c r="J46" s="21">
        <f>ROUND('PU Wise OWE'!$AU$85/10000,2)</f>
        <v>0.87</v>
      </c>
      <c r="K46" s="22">
        <f>J46-I46</f>
        <v>0</v>
      </c>
      <c r="L46" s="24">
        <f>K46/I46</f>
        <v>0</v>
      </c>
      <c r="M46" s="22">
        <f t="shared" si="12"/>
        <v>3.92</v>
      </c>
      <c r="N46" s="54">
        <f t="shared" si="13"/>
        <v>-1.2852459016393443</v>
      </c>
      <c r="O46" s="54">
        <f t="shared" si="9"/>
        <v>1</v>
      </c>
    </row>
    <row r="47" spans="2:15">
      <c r="B47" s="59" t="s">
        <v>158</v>
      </c>
      <c r="C47" s="21">
        <v>0</v>
      </c>
      <c r="D47" s="68">
        <f t="shared" si="7"/>
        <v>0</v>
      </c>
      <c r="E47" s="300"/>
      <c r="F47" s="21">
        <f>ROUND('PU Wise OWE'!$AZ$82/10000,2)</f>
        <v>0</v>
      </c>
      <c r="G47" s="24">
        <f t="shared" si="8"/>
        <v>0</v>
      </c>
      <c r="H47" s="72">
        <f>ROUND('PU Wise OWE'!$AZ$84/10000,2)</f>
        <v>0</v>
      </c>
      <c r="I47" s="21">
        <f>ROUND('PU Wise OWE'!$AZ$83/10000,2)</f>
        <v>0</v>
      </c>
      <c r="J47" s="21">
        <f>ROUND('PU Wise OWE'!$AZ$85/10000,2)</f>
        <v>0</v>
      </c>
      <c r="K47" s="22">
        <f t="shared" si="10"/>
        <v>0</v>
      </c>
      <c r="L47" s="24" t="e">
        <f t="shared" si="11"/>
        <v>#DIV/0!</v>
      </c>
      <c r="M47" s="22">
        <f t="shared" si="12"/>
        <v>0</v>
      </c>
      <c r="N47" s="54" t="e">
        <f t="shared" si="13"/>
        <v>#DIV/0!</v>
      </c>
      <c r="O47" s="54" t="e">
        <f t="shared" si="9"/>
        <v>#DIV/0!</v>
      </c>
    </row>
    <row r="48" spans="2:15">
      <c r="B48" s="60" t="s">
        <v>159</v>
      </c>
      <c r="C48" s="110">
        <v>85.87</v>
      </c>
      <c r="D48" s="68">
        <f t="shared" si="7"/>
        <v>2.0830503211783657E-2</v>
      </c>
      <c r="E48" s="300"/>
      <c r="F48" s="21">
        <f>ROUND('PU Wise OWE'!$BA$82/10000,2)</f>
        <v>40.54</v>
      </c>
      <c r="G48" s="24">
        <f t="shared" si="8"/>
        <v>9.0497131504341816E-3</v>
      </c>
      <c r="H48" s="72">
        <f>ROUND('PU Wise OWE'!$BA$84/10000,2)</f>
        <v>85.87</v>
      </c>
      <c r="I48" s="21">
        <f>ROUND('PU Wise OWE'!$BA$83/10000,2)</f>
        <v>40.54</v>
      </c>
      <c r="J48" s="21">
        <f>ROUND('PU Wise OWE'!$BA$85/10000,2)</f>
        <v>40.46</v>
      </c>
      <c r="K48" s="22">
        <f t="shared" si="10"/>
        <v>-7.9999999999998295E-2</v>
      </c>
      <c r="L48" s="24">
        <f t="shared" si="11"/>
        <v>-1.973359644795222E-3</v>
      </c>
      <c r="M48" s="22">
        <f t="shared" si="12"/>
        <v>-45.410000000000004</v>
      </c>
      <c r="N48" s="54">
        <f t="shared" si="13"/>
        <v>-0.52882263887271463</v>
      </c>
      <c r="O48" s="54">
        <f t="shared" si="9"/>
        <v>0.99802664035520483</v>
      </c>
    </row>
    <row r="49" spans="2:15">
      <c r="B49" s="61" t="s">
        <v>162</v>
      </c>
      <c r="C49" s="105">
        <v>857.5</v>
      </c>
      <c r="D49" s="68">
        <f t="shared" si="7"/>
        <v>0.20801393390129833</v>
      </c>
      <c r="E49" s="300"/>
      <c r="F49" s="21">
        <f>ROUND('PU Wise OWE'!$AM$82/10000,2)-25.01</f>
        <v>956.67</v>
      </c>
      <c r="G49" s="24">
        <f t="shared" si="8"/>
        <v>0.21355671138692323</v>
      </c>
      <c r="H49" s="72">
        <f>ROUND('PU Wise OWE'!$AM$84/10000,2)-ROUND('Upto Month COPPY'!I60/10000,2)</f>
        <v>857.5</v>
      </c>
      <c r="I49" s="21">
        <f>ROUND('PU Wise OWE'!$AM$83/10000,2)-42.04</f>
        <v>939.64</v>
      </c>
      <c r="J49" s="21">
        <f>ROUND('PU Wise OWE'!$AM$85/10000,2)-ROUND('Upto Month Current'!I60/10000,2)</f>
        <v>954.9</v>
      </c>
      <c r="K49" s="22">
        <f t="shared" si="10"/>
        <v>15.259999999999991</v>
      </c>
      <c r="L49" s="24">
        <f t="shared" si="11"/>
        <v>1.6240262228087343E-2</v>
      </c>
      <c r="M49" s="22">
        <f t="shared" si="12"/>
        <v>97.399999999999977</v>
      </c>
      <c r="N49" s="54">
        <f t="shared" si="13"/>
        <v>0.11358600583090377</v>
      </c>
      <c r="O49" s="54">
        <f t="shared" si="9"/>
        <v>0.99814983223054976</v>
      </c>
    </row>
    <row r="50" spans="2:15" s="36" customFormat="1">
      <c r="B50" s="62" t="s">
        <v>122</v>
      </c>
      <c r="C50" s="106">
        <f>C42+C49</f>
        <v>939.52</v>
      </c>
      <c r="D50" s="69">
        <f t="shared" si="7"/>
        <v>0.22791049700168839</v>
      </c>
      <c r="E50" s="301"/>
      <c r="F50" s="106">
        <f>F42+F49</f>
        <v>999.57999999999993</v>
      </c>
      <c r="G50" s="56">
        <f t="shared" si="8"/>
        <v>0.22313547782217558</v>
      </c>
      <c r="H50" s="76">
        <f>H42+H49</f>
        <v>939.52</v>
      </c>
      <c r="I50" s="106">
        <f>I42+I49</f>
        <v>982.55</v>
      </c>
      <c r="J50" s="106">
        <f>J42+J49</f>
        <v>997.73</v>
      </c>
      <c r="K50" s="26">
        <f t="shared" si="10"/>
        <v>15.180000000000064</v>
      </c>
      <c r="L50" s="56">
        <f t="shared" si="11"/>
        <v>1.5449595440435667E-2</v>
      </c>
      <c r="M50" s="26">
        <f>J50-H50</f>
        <v>58.210000000000036</v>
      </c>
      <c r="N50" s="57">
        <f>M50/H50</f>
        <v>6.1957169618528651E-2</v>
      </c>
      <c r="O50" s="57">
        <f>J50/F50</f>
        <v>0.99814922267352302</v>
      </c>
    </row>
    <row r="52" spans="2:15">
      <c r="B52" s="77" t="s">
        <v>176</v>
      </c>
      <c r="C52" s="77"/>
    </row>
    <row r="53" spans="2:15" ht="47.25" customHeight="1">
      <c r="B53" s="83" t="s">
        <v>177</v>
      </c>
      <c r="C53" s="111">
        <v>119.79</v>
      </c>
      <c r="D53" s="68">
        <f>C53/$C$7</f>
        <v>2.905887946593181E-2</v>
      </c>
      <c r="E53" s="313"/>
      <c r="F53" s="107">
        <f>ROUND('PU Wise OWE'!$AK$126/10000,2)-F43</f>
        <v>112.61999999999999</v>
      </c>
      <c r="G53" s="24">
        <f>F53/$F$7</f>
        <v>2.5140076344398063E-2</v>
      </c>
      <c r="H53" s="72">
        <f>ROUND('PU Wise OWE'!$AK$128/10000,2)-H43</f>
        <v>119.78999999999999</v>
      </c>
      <c r="I53" s="107">
        <f>ROUND('PU Wise OWE'!$AK$127/10000,2)-I43</f>
        <v>112.61999999999999</v>
      </c>
      <c r="J53" s="107">
        <f>ROUND('PU Wise OWE'!$AK$129/10000,2)-J43</f>
        <v>112.41</v>
      </c>
      <c r="K53" s="22">
        <f>J53-I53</f>
        <v>-0.20999999999999375</v>
      </c>
      <c r="L53" s="24">
        <f>K53/I53</f>
        <v>-1.864677677144324E-3</v>
      </c>
      <c r="M53" s="22">
        <f>J53-H53</f>
        <v>-7.3799999999999955</v>
      </c>
      <c r="N53" s="54">
        <f>M53/H53</f>
        <v>-6.160781367392934E-2</v>
      </c>
      <c r="O53" s="54">
        <f>J53/F53</f>
        <v>0.99813532232285562</v>
      </c>
    </row>
    <row r="54" spans="2:15">
      <c r="B54" s="20" t="s">
        <v>154</v>
      </c>
      <c r="C54" s="107">
        <v>46.29</v>
      </c>
      <c r="D54" s="68">
        <f>C54/$C$7</f>
        <v>1.1229113702963381E-2</v>
      </c>
      <c r="E54" s="314"/>
      <c r="F54" s="107">
        <f>ROUND('PU Wise OWE'!$AL$126/10000,2)</f>
        <v>65.930000000000007</v>
      </c>
      <c r="G54" s="24">
        <f>F54/$F$7</f>
        <v>1.4717503404245822E-2</v>
      </c>
      <c r="H54" s="72">
        <f>ROUND('PU Wise OWE'!$AL$128/10000,2)</f>
        <v>46.29</v>
      </c>
      <c r="I54" s="107">
        <f>ROUND('PU Wise OWE'!$AL$127/10000,2)</f>
        <v>65.930000000000007</v>
      </c>
      <c r="J54" s="20">
        <f>ROUND('PU Wise OWE'!$AL$129/10000,2)</f>
        <v>65.81</v>
      </c>
      <c r="K54" s="22">
        <f>J54-I54</f>
        <v>-0.12000000000000455</v>
      </c>
      <c r="L54" s="24">
        <f>K54/I54</f>
        <v>-1.8201122402548846E-3</v>
      </c>
      <c r="M54" s="22">
        <f>J54-H54</f>
        <v>19.520000000000003</v>
      </c>
      <c r="N54" s="54">
        <f>M54/H54</f>
        <v>0.4216893497515663</v>
      </c>
      <c r="O54" s="54">
        <f>J54/F54</f>
        <v>0.99817988775974509</v>
      </c>
    </row>
    <row r="55" spans="2:15" s="36" customFormat="1">
      <c r="B55" s="25" t="s">
        <v>122</v>
      </c>
      <c r="C55" s="26">
        <f>C53+C54</f>
        <v>166.08</v>
      </c>
      <c r="D55" s="69">
        <f>C55/$C$7</f>
        <v>4.0287993168895191E-2</v>
      </c>
      <c r="E55" s="315"/>
      <c r="F55" s="141">
        <f>SUM(F53:F54)</f>
        <v>178.55</v>
      </c>
      <c r="G55" s="56">
        <f>F55/$F$7</f>
        <v>3.9857579748643887E-2</v>
      </c>
      <c r="H55" s="76">
        <f>SUM(H53:H54)</f>
        <v>166.07999999999998</v>
      </c>
      <c r="I55" s="141">
        <f>SUM(I53:I54)</f>
        <v>178.55</v>
      </c>
      <c r="J55" s="141">
        <f>SUM(J53:J54)</f>
        <v>178.22</v>
      </c>
      <c r="K55" s="26">
        <f>J55-I55</f>
        <v>-0.33000000000001251</v>
      </c>
      <c r="L55" s="56">
        <f>K55/I55</f>
        <v>-1.8482217866144636E-3</v>
      </c>
      <c r="M55" s="26">
        <f>J55-H55</f>
        <v>12.140000000000015</v>
      </c>
      <c r="N55" s="57">
        <f>M55/H55</f>
        <v>7.3097302504817052E-2</v>
      </c>
      <c r="O55" s="57">
        <f>J55/F55</f>
        <v>0.99815177821338552</v>
      </c>
    </row>
    <row r="57" spans="2:15" s="36" customFormat="1">
      <c r="B57" s="204" t="s">
        <v>155</v>
      </c>
      <c r="C57" s="112">
        <v>201.74</v>
      </c>
      <c r="D57" s="252">
        <f>C57/$C$7</f>
        <v>4.8938461837023821E-2</v>
      </c>
      <c r="E57" s="55"/>
      <c r="F57" s="112">
        <f>ROUND('PU Wise OWE'!$AO$126/10000,2)</f>
        <v>224.78</v>
      </c>
      <c r="G57" s="201">
        <f>F57/$F$7</f>
        <v>5.0177467241109899E-2</v>
      </c>
      <c r="H57" s="205">
        <f>ROUND('PU Wise OWE'!$AO$128/10000,2)</f>
        <v>201.74</v>
      </c>
      <c r="I57" s="112">
        <f>ROUND('PU Wise OWE'!$AO$127/10000,2)</f>
        <v>224.78</v>
      </c>
      <c r="J57" s="80">
        <f>ROUND('PU Wise OWE'!$AO$129/10000,2)</f>
        <v>224.16</v>
      </c>
      <c r="K57" s="200">
        <f>J57-I57</f>
        <v>-0.62000000000000455</v>
      </c>
      <c r="L57" s="201">
        <f>K57/I57</f>
        <v>-2.7582525135688429E-3</v>
      </c>
      <c r="M57" s="200">
        <f>J57-H57</f>
        <v>22.419999999999987</v>
      </c>
      <c r="N57" s="202">
        <f>M57/H57</f>
        <v>0.11113314166749275</v>
      </c>
      <c r="O57" s="202">
        <f>J57/F57</f>
        <v>0.99724174748643113</v>
      </c>
    </row>
    <row r="58" spans="2:15">
      <c r="C58" s="198"/>
      <c r="O58" s="102"/>
    </row>
    <row r="59" spans="2:15">
      <c r="B59" s="77" t="s">
        <v>178</v>
      </c>
      <c r="C59" s="203"/>
      <c r="O59" s="203"/>
    </row>
    <row r="60" spans="2:15">
      <c r="B60" s="23" t="s">
        <v>179</v>
      </c>
      <c r="C60" s="22">
        <v>57.33</v>
      </c>
      <c r="D60" s="68">
        <f>C60/$C$7</f>
        <v>1.3907217295115373E-2</v>
      </c>
      <c r="E60" s="310"/>
      <c r="F60" s="107">
        <f>ROUND('PU Wise OWE'!$AM$60/10000,2)</f>
        <v>43.83</v>
      </c>
      <c r="G60" s="24">
        <f>F60/$F$7</f>
        <v>9.7841373306248192E-3</v>
      </c>
      <c r="H60" s="72">
        <f>ROUND('PU Wise OWE'!$AM$62/10000,2)</f>
        <v>57.33</v>
      </c>
      <c r="I60" s="107">
        <f>ROUND('PU Wise OWE'!$AM$61/10000,2)</f>
        <v>43.83</v>
      </c>
      <c r="J60" s="20">
        <f>ROUND('PU Wise OWE'!$AM$63/10000,2)</f>
        <v>43.75</v>
      </c>
      <c r="K60" s="22">
        <f>J60-I60</f>
        <v>-7.9999999999998295E-2</v>
      </c>
      <c r="L60" s="24">
        <f>K60/I60</f>
        <v>-1.8252338580880287E-3</v>
      </c>
      <c r="M60" s="22">
        <f>J60-H60</f>
        <v>-13.579999999999998</v>
      </c>
      <c r="N60" s="54">
        <f>M60/H60</f>
        <v>-0.23687423687423687</v>
      </c>
      <c r="O60" s="54">
        <f>J60/F60</f>
        <v>0.99817476614191192</v>
      </c>
    </row>
    <row r="61" spans="2:15">
      <c r="B61" s="23" t="s">
        <v>180</v>
      </c>
      <c r="C61" s="22">
        <v>5.13</v>
      </c>
      <c r="D61" s="68">
        <f>C61/$C$7</f>
        <v>1.2444448757010615E-3</v>
      </c>
      <c r="E61" s="311"/>
      <c r="F61" s="107">
        <f>ROUND('PU Wise OWE'!$AM$93/10000,2)</f>
        <v>11.46</v>
      </c>
      <c r="G61" s="24">
        <f>F61/$F$7</f>
        <v>2.558207022791705E-3</v>
      </c>
      <c r="H61" s="72">
        <f>ROUND('PU Wise OWE'!$AM$95/10000,2)</f>
        <v>5.13</v>
      </c>
      <c r="I61" s="107">
        <f>ROUND('PU Wise OWE'!$AM$94/10000,2)</f>
        <v>11.46</v>
      </c>
      <c r="J61" s="20">
        <f>ROUND('PU Wise OWE'!$AM$96/10000,2)</f>
        <v>11.44</v>
      </c>
      <c r="K61" s="22">
        <f>J61-I61</f>
        <v>-2.000000000000135E-2</v>
      </c>
      <c r="L61" s="24">
        <f>K61/I61</f>
        <v>-1.745200698080397E-3</v>
      </c>
      <c r="M61" s="22">
        <f>J61-H61</f>
        <v>6.31</v>
      </c>
      <c r="N61" s="54">
        <f>M61/H61</f>
        <v>1.2300194931773878</v>
      </c>
      <c r="O61" s="54">
        <f>J61/F61</f>
        <v>0.99825479930191963</v>
      </c>
    </row>
    <row r="62" spans="2:15">
      <c r="B62" s="23" t="s">
        <v>181</v>
      </c>
      <c r="C62" s="22">
        <v>13.24</v>
      </c>
      <c r="D62" s="68">
        <f>C62/$C$7</f>
        <v>3.2117836558054691E-3</v>
      </c>
      <c r="E62" s="311"/>
      <c r="F62" s="107">
        <f>ROUND('PU Wise OWE'!$AN$16/10000,2)</f>
        <v>15.07</v>
      </c>
      <c r="G62" s="24">
        <f>F62/$F$7</f>
        <v>3.3640645578945022E-3</v>
      </c>
      <c r="H62" s="72">
        <f>ROUND('PU Wise OWE'!$AN$18/10000,2)</f>
        <v>13.24</v>
      </c>
      <c r="I62" s="107">
        <f>ROUND('PU Wise OWE'!$AN$17/10000,2)</f>
        <v>15.07</v>
      </c>
      <c r="J62" s="20">
        <f>ROUND('PU Wise OWE'!$AN$19/10000,2)</f>
        <v>15.04</v>
      </c>
      <c r="K62" s="22">
        <f>J62-I62</f>
        <v>-3.0000000000001137E-2</v>
      </c>
      <c r="L62" s="24">
        <f>K62/I62</f>
        <v>-1.9907100199071754E-3</v>
      </c>
      <c r="M62" s="22">
        <f>J62-H62</f>
        <v>1.7999999999999989</v>
      </c>
      <c r="N62" s="54">
        <f>M62/H62</f>
        <v>0.13595166163141986</v>
      </c>
      <c r="O62" s="54">
        <f>J62/F62</f>
        <v>0.99800928998009286</v>
      </c>
    </row>
    <row r="63" spans="2:15">
      <c r="B63" s="23" t="s">
        <v>182</v>
      </c>
      <c r="C63" s="22">
        <v>8.49</v>
      </c>
      <c r="D63" s="68">
        <f>C63/$C$7</f>
        <v>2.0595198820081897E-3</v>
      </c>
      <c r="E63" s="311"/>
      <c r="F63" s="107">
        <f>ROUND('PU Wise OWE'!$AN$60/10000,2)</f>
        <v>16.54</v>
      </c>
      <c r="G63" s="24">
        <f>F63/$F$7</f>
        <v>3.6922115320222335E-3</v>
      </c>
      <c r="H63" s="72">
        <f>ROUND('PU Wise OWE'!$AN$62/10000,2)</f>
        <v>8.49</v>
      </c>
      <c r="I63" s="107">
        <f>ROUND('PU Wise OWE'!$AN$61/10000,2)</f>
        <v>16.54</v>
      </c>
      <c r="J63" s="20">
        <f>ROUND('PU Wise OWE'!$AN$63/10000,2)</f>
        <v>16.510000000000002</v>
      </c>
      <c r="K63" s="22">
        <f>J63-I63</f>
        <v>-2.9999999999997584E-2</v>
      </c>
      <c r="L63" s="24">
        <f>K63/I63</f>
        <v>-1.8137847642078347E-3</v>
      </c>
      <c r="M63" s="22">
        <f>J63-H63</f>
        <v>8.0200000000000014</v>
      </c>
      <c r="N63" s="54">
        <f>M63/H63</f>
        <v>0.94464075382803314</v>
      </c>
      <c r="O63" s="54">
        <f>J63/F63</f>
        <v>0.99818621523579221</v>
      </c>
    </row>
    <row r="64" spans="2:15" s="36" customFormat="1">
      <c r="B64" s="25" t="s">
        <v>122</v>
      </c>
      <c r="C64" s="26">
        <f>C60+C61+C62+C63</f>
        <v>84.19</v>
      </c>
      <c r="D64" s="69">
        <f>C64/$C$7</f>
        <v>2.0422965708630093E-2</v>
      </c>
      <c r="E64" s="312"/>
      <c r="F64" s="106">
        <f>SUM(F60:F63)</f>
        <v>86.9</v>
      </c>
      <c r="G64" s="56">
        <f>F64/$F$7</f>
        <v>1.9398620443333261E-2</v>
      </c>
      <c r="H64" s="76">
        <f>SUM(H60:H63)</f>
        <v>84.19</v>
      </c>
      <c r="I64" s="106">
        <f>SUM(I60:I63)</f>
        <v>86.9</v>
      </c>
      <c r="J64" s="106">
        <f>SUM(J60:J63)</f>
        <v>86.74</v>
      </c>
      <c r="K64" s="26">
        <f>J64-I64</f>
        <v>-0.1600000000000108</v>
      </c>
      <c r="L64" s="56">
        <f>K64/I64</f>
        <v>-1.8411967779057628E-3</v>
      </c>
      <c r="M64" s="26">
        <f>J64-H64</f>
        <v>2.5499999999999972</v>
      </c>
      <c r="N64" s="57">
        <f>M64/H64</f>
        <v>3.0288632854258191E-2</v>
      </c>
      <c r="O64" s="57">
        <f>J64/F64</f>
        <v>0.99815880322209427</v>
      </c>
    </row>
    <row r="65" spans="2:15">
      <c r="O65" s="94"/>
    </row>
    <row r="66" spans="2:15">
      <c r="B66" s="77" t="s">
        <v>312</v>
      </c>
      <c r="C66" s="77"/>
    </row>
    <row r="67" spans="2:15">
      <c r="B67" s="23" t="s">
        <v>184</v>
      </c>
      <c r="C67" s="22">
        <v>0</v>
      </c>
      <c r="D67" s="68">
        <f>C67/$C$7</f>
        <v>0</v>
      </c>
      <c r="E67" s="23"/>
      <c r="F67" s="107">
        <f>ROUND('PU Wise OWE'!$AP$71/10000,2)</f>
        <v>0</v>
      </c>
      <c r="G67" s="24">
        <f>F67/$F$7</f>
        <v>0</v>
      </c>
      <c r="H67" s="72">
        <f>ROUND('PU Wise OWE'!$AP$73/10000,2)</f>
        <v>0</v>
      </c>
      <c r="I67" s="107">
        <f>ROUND('PU Wise OWE'!$AP$72/10000,2)</f>
        <v>0</v>
      </c>
      <c r="J67" s="20">
        <f>ROUND('PU Wise OWE'!$AP$74/10000,2)</f>
        <v>0</v>
      </c>
      <c r="K67" s="22">
        <f>J67-I67</f>
        <v>0</v>
      </c>
      <c r="L67" s="24" t="e">
        <f>K67/I67</f>
        <v>#DIV/0!</v>
      </c>
      <c r="M67" s="22">
        <f>J67-H67</f>
        <v>0</v>
      </c>
      <c r="N67" s="54" t="e">
        <f>M67/H67</f>
        <v>#DIV/0!</v>
      </c>
      <c r="O67" s="54" t="e">
        <f>J67/F67</f>
        <v>#DIV/0!</v>
      </c>
    </row>
    <row r="68" spans="2:15">
      <c r="B68" s="89" t="s">
        <v>185</v>
      </c>
      <c r="C68" s="113">
        <v>-72.38</v>
      </c>
      <c r="D68" s="68">
        <f>C68/$C$7</f>
        <v>-1.7558074094199384E-2</v>
      </c>
      <c r="E68" s="23"/>
      <c r="F68" s="107">
        <f>ROUND('PU Wise OWE'!$AP$126/10000,2)-F67</f>
        <v>-67.87</v>
      </c>
      <c r="G68" s="24">
        <f>F68/$F$7</f>
        <v>-1.5150568118400787E-2</v>
      </c>
      <c r="H68" s="72">
        <f>ROUND('PU Wise OWE'!$AP$128/10000,2)-H67</f>
        <v>-72.38</v>
      </c>
      <c r="I68" s="107">
        <f>ROUND('PU Wise OWE'!$AP$127/10000,2)-I67</f>
        <v>-67.87</v>
      </c>
      <c r="J68" s="20">
        <f>ROUND('PU Wise OWE'!$AP$129/10000,2)-J67</f>
        <v>-67.75</v>
      </c>
      <c r="K68" s="22">
        <f t="shared" ref="K68:K84" si="14">J68-I68</f>
        <v>0.12000000000000455</v>
      </c>
      <c r="L68" s="24">
        <f t="shared" ref="L68:L84" si="15">K68/I68</f>
        <v>-1.7680860468543471E-3</v>
      </c>
      <c r="M68" s="22">
        <f>J68-H68</f>
        <v>4.6299999999999955</v>
      </c>
      <c r="N68" s="54">
        <f>M68/H68</f>
        <v>-6.3967946946670295E-2</v>
      </c>
      <c r="O68" s="54">
        <f>J68/F68</f>
        <v>0.9982319139531457</v>
      </c>
    </row>
    <row r="69" spans="2:15" s="36" customFormat="1">
      <c r="B69" s="25" t="s">
        <v>122</v>
      </c>
      <c r="C69" s="26">
        <f>C67+C68</f>
        <v>-72.38</v>
      </c>
      <c r="D69" s="69">
        <f>C69/$C$7</f>
        <v>-1.7558074094199384E-2</v>
      </c>
      <c r="E69" s="90"/>
      <c r="F69" s="141">
        <f>SUM(F67:F68)</f>
        <v>-67.87</v>
      </c>
      <c r="G69" s="56">
        <f>F69/$F$7</f>
        <v>-1.5150568118400787E-2</v>
      </c>
      <c r="H69" s="76">
        <f>SUM(H67:H68)</f>
        <v>-72.38</v>
      </c>
      <c r="I69" s="141">
        <f>SUM(I67:I68)</f>
        <v>-67.87</v>
      </c>
      <c r="J69" s="141">
        <f>SUM(J67:J68)</f>
        <v>-67.75</v>
      </c>
      <c r="K69" s="26">
        <f t="shared" si="14"/>
        <v>0.12000000000000455</v>
      </c>
      <c r="L69" s="56">
        <f t="shared" si="15"/>
        <v>-1.7680860468543471E-3</v>
      </c>
      <c r="M69" s="26">
        <f>J69-H69</f>
        <v>4.6299999999999955</v>
      </c>
      <c r="N69" s="57">
        <f>M69/H69</f>
        <v>-6.3967946946670295E-2</v>
      </c>
      <c r="O69" s="57">
        <f>J69/F69</f>
        <v>0.9982319139531457</v>
      </c>
    </row>
    <row r="70" spans="2:15">
      <c r="E70" s="31"/>
      <c r="F70" s="238"/>
      <c r="G70" s="34"/>
      <c r="I70" s="238"/>
      <c r="J70" s="32"/>
      <c r="K70" s="34"/>
      <c r="L70" s="35"/>
      <c r="M70" s="34"/>
      <c r="N70" s="94"/>
      <c r="O70" s="36"/>
    </row>
    <row r="71" spans="2:15">
      <c r="B71" s="77" t="s">
        <v>187</v>
      </c>
      <c r="C71" s="77"/>
      <c r="E71" s="31"/>
      <c r="F71" s="238"/>
      <c r="G71" s="34"/>
      <c r="I71" s="238"/>
      <c r="J71" s="32"/>
      <c r="K71" s="34"/>
      <c r="L71" s="35"/>
      <c r="M71" s="34"/>
      <c r="N71" s="94"/>
    </row>
    <row r="72" spans="2:15">
      <c r="B72" s="23" t="s">
        <v>186</v>
      </c>
      <c r="C72" s="22">
        <v>-11.94</v>
      </c>
      <c r="D72" s="68">
        <f>C72/$C$7</f>
        <v>-2.8964272545556873E-3</v>
      </c>
      <c r="E72" s="23"/>
      <c r="F72" s="72">
        <f>ROUND('PU Wise OWE'!$AQ$27/10000,2)+ROUND('PU Wise OWE'!$BB$27/10000,2)</f>
        <v>-15.13</v>
      </c>
      <c r="G72" s="24">
        <f>F72/$F$7</f>
        <v>-3.3774583119405318E-3</v>
      </c>
      <c r="H72" s="72">
        <f>ROUND('PU Wise OWE'!$AQ$29/10000,2)+ROUND('PU Wise OWE'!$BB$29/10000,2)</f>
        <v>-11.94</v>
      </c>
      <c r="I72" s="72">
        <f>ROUND('PU Wise OWE'!$AQ$28/10000,2)+ROUND('PU Wise OWE'!$BB$28/10000,2)</f>
        <v>-15.13</v>
      </c>
      <c r="J72" s="72">
        <f>ROUND('PU Wise OWE'!$AQ$30/10000,2)+ROUND('PU Wise OWE'!$BB$30/10000,2)</f>
        <v>-15.1</v>
      </c>
      <c r="K72" s="22">
        <f t="shared" si="14"/>
        <v>3.0000000000001137E-2</v>
      </c>
      <c r="L72" s="24">
        <f t="shared" si="15"/>
        <v>-1.9828155981494473E-3</v>
      </c>
      <c r="M72" s="22">
        <f>J72-H72</f>
        <v>-3.16</v>
      </c>
      <c r="N72" s="54">
        <f>M72/H72</f>
        <v>0.26465661641541038</v>
      </c>
      <c r="O72" s="54">
        <f>J72/F72</f>
        <v>0.9980171844018505</v>
      </c>
    </row>
    <row r="73" spans="2:15">
      <c r="B73" s="23" t="s">
        <v>188</v>
      </c>
      <c r="C73" s="22">
        <v>54.86</v>
      </c>
      <c r="D73" s="68">
        <f>C73/$C$7</f>
        <v>1.3308040132740787E-2</v>
      </c>
      <c r="E73" s="23"/>
      <c r="F73" s="72">
        <f>ROUND('PU Wise OWE'!$AQ$38/10000,2)+ROUND('PU Wise OWE'!$BB$38/10000,2)</f>
        <v>44.9</v>
      </c>
      <c r="G73" s="24">
        <f>F73/$F$7</f>
        <v>1.0022992611112351E-2</v>
      </c>
      <c r="H73" s="72">
        <f>ROUND('PU Wise OWE'!$AQ$40/10000,2)+ROUND('PU Wise OWE'!$BB$40/10000,2)</f>
        <v>54.86</v>
      </c>
      <c r="I73" s="72">
        <f>ROUND('PU Wise OWE'!$AQ$39/10000,2)+ROUND('PU Wise OWE'!$BB$39/10000,2)</f>
        <v>44.9</v>
      </c>
      <c r="J73" s="72">
        <f>ROUND('PU Wise OWE'!$AQ$41/10000,2)+ROUND('PU Wise OWE'!$BB$41/10000,2)</f>
        <v>45.230000000000004</v>
      </c>
      <c r="K73" s="22">
        <f t="shared" si="14"/>
        <v>0.3300000000000054</v>
      </c>
      <c r="L73" s="24">
        <f t="shared" si="15"/>
        <v>7.3496659242762901E-3</v>
      </c>
      <c r="M73" s="22">
        <f>J73-H73</f>
        <v>-9.6299999999999955</v>
      </c>
      <c r="N73" s="54">
        <f>M73/H73</f>
        <v>-0.17553773240977025</v>
      </c>
      <c r="O73" s="54">
        <f>J73/F73</f>
        <v>1.0073496659242762</v>
      </c>
    </row>
    <row r="74" spans="2:15" s="36" customFormat="1">
      <c r="B74" s="25" t="s">
        <v>122</v>
      </c>
      <c r="C74" s="26">
        <f>C72+C73</f>
        <v>42.92</v>
      </c>
      <c r="D74" s="69">
        <f>C74/$C$7</f>
        <v>1.04116128781851E-2</v>
      </c>
      <c r="E74" s="25"/>
      <c r="F74" s="141">
        <f>SUM(F72:F73)</f>
        <v>29.769999999999996</v>
      </c>
      <c r="G74" s="56">
        <f>F74/$F$7</f>
        <v>6.6455342991718191E-3</v>
      </c>
      <c r="H74" s="76">
        <f>SUM(H72:H73)</f>
        <v>42.92</v>
      </c>
      <c r="I74" s="141">
        <f>SUM(I72:I73)</f>
        <v>29.769999999999996</v>
      </c>
      <c r="J74" s="141">
        <f>SUM(J72:J73)</f>
        <v>30.130000000000003</v>
      </c>
      <c r="K74" s="26">
        <f t="shared" si="14"/>
        <v>0.36000000000000654</v>
      </c>
      <c r="L74" s="56">
        <f t="shared" si="15"/>
        <v>1.2092710782667335E-2</v>
      </c>
      <c r="M74" s="26">
        <f>J74-H74</f>
        <v>-12.79</v>
      </c>
      <c r="N74" s="57">
        <f>M74/H74</f>
        <v>-0.29799627213420316</v>
      </c>
      <c r="O74" s="57">
        <f>J74/F74</f>
        <v>1.0120927107826674</v>
      </c>
    </row>
    <row r="75" spans="2:15" s="36" customFormat="1">
      <c r="B75" s="211"/>
      <c r="C75" s="212"/>
      <c r="D75" s="214"/>
      <c r="E75" s="211"/>
      <c r="F75" s="255"/>
      <c r="G75" s="215"/>
      <c r="H75" s="213"/>
      <c r="I75" s="255"/>
      <c r="J75" s="255"/>
      <c r="K75" s="212"/>
      <c r="L75" s="215"/>
      <c r="M75" s="212"/>
      <c r="N75" s="216"/>
      <c r="O75" s="216"/>
    </row>
    <row r="76" spans="2:15" s="36" customFormat="1">
      <c r="B76" s="211"/>
      <c r="C76" s="212"/>
      <c r="D76" s="214"/>
      <c r="E76" s="211"/>
      <c r="F76" s="255"/>
      <c r="G76" s="215"/>
      <c r="H76" s="213"/>
      <c r="I76" s="255"/>
      <c r="J76" s="255"/>
      <c r="K76" s="212"/>
      <c r="L76" s="215"/>
      <c r="M76" s="36" t="s">
        <v>142</v>
      </c>
      <c r="N76" s="216"/>
      <c r="O76" s="216"/>
    </row>
    <row r="77" spans="2:15">
      <c r="B77" s="319" t="s">
        <v>303</v>
      </c>
      <c r="C77" s="298" t="s">
        <v>313</v>
      </c>
      <c r="D77" s="298" t="s">
        <v>165</v>
      </c>
      <c r="E77" s="298"/>
      <c r="F77" s="320" t="str">
        <f>'PU Wise OWE'!$B$5</f>
        <v xml:space="preserve">FG 2023-24 </v>
      </c>
      <c r="G77" s="298" t="str">
        <f>G40</f>
        <v>% of Total RG 2023-24</v>
      </c>
      <c r="H77" s="322" t="str">
        <f>'PU Wise OWE'!$B$7</f>
        <v>Actuals upto March-23</v>
      </c>
      <c r="I77" s="320" t="str">
        <f>'PU Wise OWE'!$B$6</f>
        <v>BP to end of March-24</v>
      </c>
      <c r="J77" s="320" t="str">
        <f>'PU Wise OWE'!$B$8</f>
        <v>Actuals upto March-24</v>
      </c>
      <c r="K77" s="294" t="s">
        <v>198</v>
      </c>
      <c r="L77" s="294"/>
      <c r="M77" s="294" t="s">
        <v>139</v>
      </c>
      <c r="N77" s="294"/>
      <c r="O77" s="307" t="str">
        <f>O40</f>
        <v>RG Utilization</v>
      </c>
    </row>
    <row r="78" spans="2:15" ht="30">
      <c r="B78" s="319"/>
      <c r="C78" s="298"/>
      <c r="D78" s="298"/>
      <c r="E78" s="298"/>
      <c r="F78" s="321"/>
      <c r="G78" s="298"/>
      <c r="H78" s="298"/>
      <c r="I78" s="321"/>
      <c r="J78" s="321"/>
      <c r="K78" s="81" t="s">
        <v>137</v>
      </c>
      <c r="L78" s="82" t="s">
        <v>138</v>
      </c>
      <c r="M78" s="81" t="s">
        <v>137</v>
      </c>
      <c r="N78" s="82" t="s">
        <v>138</v>
      </c>
      <c r="O78" s="308"/>
    </row>
    <row r="79" spans="2:15">
      <c r="B79" s="23" t="s">
        <v>191</v>
      </c>
      <c r="C79" s="22">
        <v>0.41</v>
      </c>
      <c r="D79" s="68">
        <f t="shared" ref="D79:D87" si="16">C79/$C$7</f>
        <v>9.9458557317238836E-5</v>
      </c>
      <c r="E79" s="23"/>
      <c r="F79" s="107">
        <f>ROUND('PU Wise OWE'!$AW$126/10000,2)</f>
        <v>0</v>
      </c>
      <c r="G79" s="24">
        <f t="shared" ref="G79:G85" si="17">F79/$F$7</f>
        <v>0</v>
      </c>
      <c r="H79" s="72">
        <f>ROUND('PU Wise OWE'!$AW$128/10000,2)</f>
        <v>0.41</v>
      </c>
      <c r="I79" s="107">
        <f>ROUND('PU Wise OWE'!$AW$127/10000,2)</f>
        <v>0</v>
      </c>
      <c r="J79" s="20">
        <f>ROUND('PU Wise OWE'!$AW$129/10000,2)</f>
        <v>0</v>
      </c>
      <c r="K79" s="22">
        <f t="shared" si="14"/>
        <v>0</v>
      </c>
      <c r="L79" s="24" t="e">
        <f t="shared" si="15"/>
        <v>#DIV/0!</v>
      </c>
      <c r="M79" s="22">
        <f t="shared" ref="M79:M85" si="18">J79-H79</f>
        <v>-0.41</v>
      </c>
      <c r="N79" s="54">
        <f t="shared" ref="N79:N85" si="19">M79/H79</f>
        <v>-1</v>
      </c>
      <c r="O79" s="54" t="e">
        <f t="shared" ref="O79:O87" si="20">J79/F79</f>
        <v>#DIV/0!</v>
      </c>
    </row>
    <row r="80" spans="2:15">
      <c r="B80" s="23" t="s">
        <v>190</v>
      </c>
      <c r="C80" s="22">
        <v>0.15</v>
      </c>
      <c r="D80" s="68">
        <f t="shared" si="16"/>
        <v>3.6387277067282504E-5</v>
      </c>
      <c r="E80" s="23"/>
      <c r="F80" s="107">
        <f>ROUND('PU Wise OWE'!$AX$126/10000,2)</f>
        <v>0.23</v>
      </c>
      <c r="G80" s="24">
        <f t="shared" si="17"/>
        <v>5.13427238431145E-5</v>
      </c>
      <c r="H80" s="72">
        <f>ROUND('PU Wise OWE'!$AX$128/10000,2)</f>
        <v>0.15</v>
      </c>
      <c r="I80" s="107">
        <f>ROUND('PU Wise OWE'!$AX$127/10000,2)</f>
        <v>0.23</v>
      </c>
      <c r="J80" s="20">
        <f>ROUND('PU Wise OWE'!$AX$129/10000,2)</f>
        <v>0.23</v>
      </c>
      <c r="K80" s="22">
        <f t="shared" si="14"/>
        <v>0</v>
      </c>
      <c r="L80" s="24">
        <f t="shared" si="15"/>
        <v>0</v>
      </c>
      <c r="M80" s="22">
        <f t="shared" si="18"/>
        <v>8.0000000000000016E-2</v>
      </c>
      <c r="N80" s="54">
        <f t="shared" si="19"/>
        <v>0.53333333333333344</v>
      </c>
      <c r="O80" s="54">
        <f t="shared" si="20"/>
        <v>1</v>
      </c>
    </row>
    <row r="81" spans="2:15">
      <c r="B81" s="23" t="s">
        <v>192</v>
      </c>
      <c r="C81" s="22">
        <v>10.55</v>
      </c>
      <c r="D81" s="68">
        <f t="shared" si="16"/>
        <v>2.5592384870655365E-3</v>
      </c>
      <c r="E81" s="23"/>
      <c r="F81" s="107">
        <f>ROUND('PU Wise OWE'!$BC$126/10000,2)</f>
        <v>10.29</v>
      </c>
      <c r="G81" s="24">
        <f t="shared" si="17"/>
        <v>2.2970288188941222E-3</v>
      </c>
      <c r="H81" s="72">
        <f>ROUND('PU Wise OWE'!$BC$128/10000,2)</f>
        <v>10.55</v>
      </c>
      <c r="I81" s="107">
        <f>ROUND('PU Wise OWE'!$BC$127/10000,2)</f>
        <v>10.29</v>
      </c>
      <c r="J81" s="20">
        <f>ROUND('PU Wise OWE'!$BC$129/10000,2)</f>
        <v>10.26</v>
      </c>
      <c r="K81" s="22">
        <f t="shared" si="14"/>
        <v>-2.9999999999999361E-2</v>
      </c>
      <c r="L81" s="24">
        <f t="shared" si="15"/>
        <v>-2.9154518950436697E-3</v>
      </c>
      <c r="M81" s="22">
        <f t="shared" si="18"/>
        <v>-0.29000000000000092</v>
      </c>
      <c r="N81" s="54">
        <f t="shared" si="19"/>
        <v>-2.7488151658767859E-2</v>
      </c>
      <c r="O81" s="54">
        <f t="shared" si="20"/>
        <v>0.99708454810495628</v>
      </c>
    </row>
    <row r="82" spans="2:15">
      <c r="B82" s="23" t="s">
        <v>193</v>
      </c>
      <c r="C82" s="22">
        <v>10.49</v>
      </c>
      <c r="D82" s="68">
        <f t="shared" si="16"/>
        <v>2.5446835762386231E-3</v>
      </c>
      <c r="E82" s="23"/>
      <c r="F82" s="107">
        <f>ROUND('PU Wise OWE'!$BD$126/10000,2)</f>
        <v>10.29</v>
      </c>
      <c r="G82" s="24">
        <f t="shared" si="17"/>
        <v>2.2970288188941222E-3</v>
      </c>
      <c r="H82" s="72">
        <f>ROUND('PU Wise OWE'!$BD$128/10000,2)</f>
        <v>10.49</v>
      </c>
      <c r="I82" s="107">
        <f>ROUND('PU Wise OWE'!$BD$127/10000,2)</f>
        <v>10.29</v>
      </c>
      <c r="J82" s="20">
        <f>ROUND('PU Wise OWE'!$BD$129/10000,2)</f>
        <v>10.26</v>
      </c>
      <c r="K82" s="22">
        <f t="shared" si="14"/>
        <v>-2.9999999999999361E-2</v>
      </c>
      <c r="L82" s="24">
        <f t="shared" si="15"/>
        <v>-2.9154518950436697E-3</v>
      </c>
      <c r="M82" s="22">
        <f t="shared" si="18"/>
        <v>-0.23000000000000043</v>
      </c>
      <c r="N82" s="54">
        <f t="shared" si="19"/>
        <v>-2.1925643469971442E-2</v>
      </c>
      <c r="O82" s="54">
        <f t="shared" si="20"/>
        <v>0.99708454810495628</v>
      </c>
    </row>
    <row r="83" spans="2:15">
      <c r="B83" s="23" t="s">
        <v>194</v>
      </c>
      <c r="C83" s="22">
        <v>14.79</v>
      </c>
      <c r="D83" s="68">
        <f t="shared" si="16"/>
        <v>3.5877855188340547E-3</v>
      </c>
      <c r="E83" s="23"/>
      <c r="F83" s="107">
        <f>ROUND('PU Wise OWE'!$BF$126/10000,2)</f>
        <v>8.44</v>
      </c>
      <c r="G83" s="24">
        <f t="shared" si="17"/>
        <v>1.8840547358082015E-3</v>
      </c>
      <c r="H83" s="72">
        <f>ROUND('PU Wise OWE'!$BF$128/10000,2)</f>
        <v>14.79</v>
      </c>
      <c r="I83" s="107">
        <f>ROUND('PU Wise OWE'!$BF$127/10000,2)</f>
        <v>8.44</v>
      </c>
      <c r="J83" s="20">
        <f>ROUND('PU Wise OWE'!$BF$129/10000,2)</f>
        <v>8.43</v>
      </c>
      <c r="K83" s="22">
        <f t="shared" si="14"/>
        <v>-9.9999999999997868E-3</v>
      </c>
      <c r="L83" s="24">
        <f t="shared" si="15"/>
        <v>-1.1848341232227235E-3</v>
      </c>
      <c r="M83" s="22">
        <f t="shared" si="18"/>
        <v>-6.3599999999999994</v>
      </c>
      <c r="N83" s="54">
        <f t="shared" si="19"/>
        <v>-0.43002028397565922</v>
      </c>
      <c r="O83" s="54">
        <f t="shared" si="20"/>
        <v>0.99881516587677732</v>
      </c>
    </row>
    <row r="84" spans="2:15">
      <c r="B84" s="23" t="s">
        <v>195</v>
      </c>
      <c r="C84" s="22">
        <v>83.9</v>
      </c>
      <c r="D84" s="68">
        <f t="shared" si="16"/>
        <v>2.0352616972966683E-2</v>
      </c>
      <c r="E84" s="23"/>
      <c r="F84" s="107">
        <f>ROUND('PU Wise OWE'!$BG$126/10000,2)-ROUND('PU Wise OWE'!$BG$115/10000,2)</f>
        <v>56.91</v>
      </c>
      <c r="G84" s="24">
        <f t="shared" si="17"/>
        <v>1.270397571265933E-2</v>
      </c>
      <c r="H84" s="72">
        <f>ROUND('PU Wise OWE'!$BG$128/10000,2)-ROUND('PU Wise OWE'!$BG$117/10000,2)</f>
        <v>83.899999999999977</v>
      </c>
      <c r="I84" s="107">
        <f>ROUND('PU Wise OWE'!$BG$127/10000,2)-ROUND('PU Wise OWE'!$BG$116/10000,2)</f>
        <v>56.91</v>
      </c>
      <c r="J84" s="107">
        <f>ROUND('PU Wise OWE'!$BG$129/10000,2)-ROUND('PU Wise OWE'!$BG$118/10000,2)</f>
        <v>56.809999999999974</v>
      </c>
      <c r="K84" s="22">
        <f t="shared" si="14"/>
        <v>-0.10000000000002274</v>
      </c>
      <c r="L84" s="24">
        <f t="shared" si="15"/>
        <v>-1.7571604287475442E-3</v>
      </c>
      <c r="M84" s="22">
        <f t="shared" si="18"/>
        <v>-27.090000000000003</v>
      </c>
      <c r="N84" s="54">
        <f t="shared" si="19"/>
        <v>-0.32288438617401682</v>
      </c>
      <c r="O84" s="54">
        <f t="shared" si="20"/>
        <v>0.99824283957125248</v>
      </c>
    </row>
    <row r="85" spans="2:15" s="36" customFormat="1">
      <c r="B85" s="25" t="s">
        <v>122</v>
      </c>
      <c r="C85" s="26">
        <f>C79+C80+C81+C82+C83+C84</f>
        <v>120.29</v>
      </c>
      <c r="D85" s="69">
        <f t="shared" si="16"/>
        <v>2.9180170389489418E-2</v>
      </c>
      <c r="E85" s="25"/>
      <c r="F85" s="141">
        <f>SUM(F79:F84)</f>
        <v>86.16</v>
      </c>
      <c r="G85" s="56">
        <f t="shared" si="17"/>
        <v>1.923343081009889E-2</v>
      </c>
      <c r="H85" s="76">
        <f>SUM(H79:H84)</f>
        <v>120.28999999999998</v>
      </c>
      <c r="I85" s="141">
        <f>SUM(I79:I84)</f>
        <v>86.16</v>
      </c>
      <c r="J85" s="141">
        <f>SUM(J79:J84)</f>
        <v>85.989999999999981</v>
      </c>
      <c r="K85" s="26">
        <f>J85-I85</f>
        <v>-0.17000000000001592</v>
      </c>
      <c r="L85" s="56">
        <f>K85/I85</f>
        <v>-1.9730733519036201E-3</v>
      </c>
      <c r="M85" s="26">
        <f t="shared" si="18"/>
        <v>-34.299999999999997</v>
      </c>
      <c r="N85" s="57">
        <f t="shared" si="19"/>
        <v>-0.28514423476598222</v>
      </c>
      <c r="O85" s="57">
        <f t="shared" si="20"/>
        <v>0.99802692664809634</v>
      </c>
    </row>
    <row r="86" spans="2:15">
      <c r="O86" s="25"/>
    </row>
    <row r="87" spans="2:15" s="36" customFormat="1" ht="30" customHeight="1">
      <c r="B87" s="95" t="s">
        <v>196</v>
      </c>
      <c r="C87" s="114">
        <v>1490.39</v>
      </c>
      <c r="D87" s="252">
        <f t="shared" si="16"/>
        <v>0.36154155912204783</v>
      </c>
      <c r="E87" s="25"/>
      <c r="F87" s="256">
        <f>F37+F50+F55+F57+F64+F69+F74+F85</f>
        <v>1546.4199999999998</v>
      </c>
      <c r="G87" s="201">
        <f>F87/$F$7</f>
        <v>0.3452061521976918</v>
      </c>
      <c r="H87" s="114">
        <f>H37+H50+H55+H57+H64+H69+H74+H85</f>
        <v>1490.3899999999999</v>
      </c>
      <c r="I87" s="256">
        <f>I37+I50+I55+I57+I64+I69+I74+I85</f>
        <v>1529.39</v>
      </c>
      <c r="J87" s="256">
        <f>J37+J50+J55+J57+J64+J69+J74+J85</f>
        <v>1543.7600000000002</v>
      </c>
      <c r="K87" s="200">
        <f>J87-I87</f>
        <v>14.370000000000118</v>
      </c>
      <c r="L87" s="201">
        <f>K87/I87</f>
        <v>9.395902941695785E-3</v>
      </c>
      <c r="M87" s="200">
        <f>J87-H87</f>
        <v>53.370000000000346</v>
      </c>
      <c r="N87" s="202">
        <f>M87/H87</f>
        <v>3.5809419011131549E-2</v>
      </c>
      <c r="O87" s="202">
        <f t="shared" si="20"/>
        <v>0.99827989808719519</v>
      </c>
    </row>
    <row r="88" spans="2:15">
      <c r="O88" s="94"/>
    </row>
    <row r="89" spans="2:15">
      <c r="C89" s="179"/>
      <c r="O89" s="179"/>
    </row>
    <row r="90" spans="2:15" ht="15" customHeight="1">
      <c r="B90" s="317" t="s">
        <v>245</v>
      </c>
      <c r="C90" s="302" t="s">
        <v>313</v>
      </c>
      <c r="D90" s="302" t="s">
        <v>165</v>
      </c>
      <c r="E90" s="302"/>
      <c r="F90" s="292" t="str">
        <f>F77</f>
        <v xml:space="preserve">FG 2023-24 </v>
      </c>
      <c r="G90" s="302" t="str">
        <f>G77</f>
        <v>% of Total RG 2023-24</v>
      </c>
      <c r="H90" s="292" t="str">
        <f>H77</f>
        <v>Actuals upto March-23</v>
      </c>
      <c r="I90" s="292" t="str">
        <f>J77</f>
        <v>Actuals upto March-24</v>
      </c>
      <c r="J90" s="302" t="s">
        <v>197</v>
      </c>
      <c r="K90" s="316" t="s">
        <v>139</v>
      </c>
      <c r="L90" s="316"/>
      <c r="M90" s="298" t="str">
        <f>O77</f>
        <v>RG Utilization</v>
      </c>
      <c r="N90" s="194"/>
      <c r="O90" s="199"/>
    </row>
    <row r="91" spans="2:15" ht="30" customHeight="1">
      <c r="B91" s="318"/>
      <c r="C91" s="293"/>
      <c r="D91" s="293"/>
      <c r="E91" s="293"/>
      <c r="F91" s="293"/>
      <c r="G91" s="293"/>
      <c r="H91" s="293"/>
      <c r="I91" s="309"/>
      <c r="J91" s="293"/>
      <c r="K91" s="81" t="s">
        <v>137</v>
      </c>
      <c r="L91" s="81" t="s">
        <v>138</v>
      </c>
      <c r="M91" s="298"/>
      <c r="N91" s="194"/>
      <c r="O91" s="199"/>
    </row>
    <row r="92" spans="2:15">
      <c r="B92" s="20" t="s">
        <v>246</v>
      </c>
      <c r="C92" s="20">
        <v>0</v>
      </c>
      <c r="D92" s="68">
        <f t="shared" ref="D92:D105" si="21">C92/$C$7</f>
        <v>0</v>
      </c>
      <c r="E92" s="20"/>
      <c r="F92" s="107">
        <v>0</v>
      </c>
      <c r="G92" s="187">
        <f t="shared" ref="G92:G105" si="22">F92/$F$7</f>
        <v>0</v>
      </c>
      <c r="H92" s="236">
        <f>'PU Wise OWE'!V29/1000</f>
        <v>0</v>
      </c>
      <c r="I92" s="258">
        <f>'PU Wise OWE'!V30/10000</f>
        <v>0</v>
      </c>
      <c r="J92" s="187">
        <f t="shared" ref="J92:J105" si="23">I92/$I$7</f>
        <v>0</v>
      </c>
      <c r="K92" s="107">
        <f t="shared" ref="K92:K105" si="24">I92-H92</f>
        <v>0</v>
      </c>
      <c r="L92" s="188" t="e">
        <f t="shared" ref="L92:L105" si="25">K92/H92</f>
        <v>#DIV/0!</v>
      </c>
      <c r="M92" s="188" t="e">
        <f t="shared" ref="M92:M105" si="26">I92/F92</f>
        <v>#DIV/0!</v>
      </c>
      <c r="N92" s="194"/>
      <c r="O92" s="196"/>
    </row>
    <row r="93" spans="2:15">
      <c r="B93" s="20" t="s">
        <v>247</v>
      </c>
      <c r="C93" s="20">
        <v>11.18</v>
      </c>
      <c r="D93" s="68">
        <f t="shared" si="21"/>
        <v>2.7120650507481223E-3</v>
      </c>
      <c r="E93" s="20"/>
      <c r="F93" s="107">
        <v>0</v>
      </c>
      <c r="G93" s="187">
        <f t="shared" si="22"/>
        <v>0</v>
      </c>
      <c r="H93" s="111">
        <f>'PU Wise OWE'!V40/10000</f>
        <v>11.184200000000001</v>
      </c>
      <c r="I93" s="107">
        <f>'PU Wise OWE'!V41/10000</f>
        <v>10.0878</v>
      </c>
      <c r="J93" s="187">
        <f t="shared" si="23"/>
        <v>2.2518918677590016E-3</v>
      </c>
      <c r="K93" s="107">
        <f t="shared" si="24"/>
        <v>-1.0964000000000009</v>
      </c>
      <c r="L93" s="188">
        <f t="shared" si="25"/>
        <v>-9.8031151088142282E-2</v>
      </c>
      <c r="M93" s="188" t="e">
        <f t="shared" si="26"/>
        <v>#DIV/0!</v>
      </c>
      <c r="N93" s="194"/>
      <c r="O93" s="196"/>
    </row>
    <row r="94" spans="2:15">
      <c r="B94" s="20" t="s">
        <v>257</v>
      </c>
      <c r="C94" s="20">
        <v>0</v>
      </c>
      <c r="D94" s="68">
        <f t="shared" si="21"/>
        <v>0</v>
      </c>
      <c r="E94" s="20"/>
      <c r="F94" s="107">
        <v>0</v>
      </c>
      <c r="G94" s="187">
        <f t="shared" si="22"/>
        <v>0</v>
      </c>
      <c r="H94" s="111">
        <f>'PU Wise OWE'!V51/10000</f>
        <v>0</v>
      </c>
      <c r="I94" s="107">
        <f>'PU Wise OWE'!V52/10000</f>
        <v>0</v>
      </c>
      <c r="J94" s="187">
        <f t="shared" si="23"/>
        <v>0</v>
      </c>
      <c r="K94" s="107">
        <f t="shared" si="24"/>
        <v>0</v>
      </c>
      <c r="L94" s="188" t="e">
        <f t="shared" si="25"/>
        <v>#DIV/0!</v>
      </c>
      <c r="M94" s="188" t="e">
        <f t="shared" si="26"/>
        <v>#DIV/0!</v>
      </c>
      <c r="N94" s="194"/>
      <c r="O94" s="196"/>
    </row>
    <row r="95" spans="2:15">
      <c r="B95" s="61" t="s">
        <v>248</v>
      </c>
      <c r="C95" s="27">
        <f>SUM(C92:C94)</f>
        <v>11.18</v>
      </c>
      <c r="D95" s="69">
        <f t="shared" si="21"/>
        <v>2.7120650507481223E-3</v>
      </c>
      <c r="E95" s="27">
        <f>SUM(E92:E93)</f>
        <v>0</v>
      </c>
      <c r="F95" s="106">
        <f>SUM(F92:F93)</f>
        <v>0</v>
      </c>
      <c r="G95" s="189">
        <f t="shared" si="22"/>
        <v>0</v>
      </c>
      <c r="H95" s="106">
        <f>SUM(H92:H94)</f>
        <v>11.184200000000001</v>
      </c>
      <c r="I95" s="106">
        <f>SUM(I92:I94)</f>
        <v>10.0878</v>
      </c>
      <c r="J95" s="189">
        <f t="shared" si="23"/>
        <v>2.2518918677590016E-3</v>
      </c>
      <c r="K95" s="106">
        <f t="shared" si="24"/>
        <v>-1.0964000000000009</v>
      </c>
      <c r="L95" s="190">
        <f t="shared" si="25"/>
        <v>-9.8031151088142282E-2</v>
      </c>
      <c r="M95" s="190" t="e">
        <f t="shared" si="26"/>
        <v>#DIV/0!</v>
      </c>
      <c r="N95" s="194"/>
      <c r="O95" s="197"/>
    </row>
    <row r="96" spans="2:15">
      <c r="B96" s="20" t="s">
        <v>249</v>
      </c>
      <c r="C96" s="20">
        <v>0</v>
      </c>
      <c r="D96" s="68">
        <f t="shared" si="21"/>
        <v>0</v>
      </c>
      <c r="E96" s="20"/>
      <c r="F96" s="107">
        <v>0</v>
      </c>
      <c r="G96" s="187">
        <f t="shared" si="22"/>
        <v>0</v>
      </c>
      <c r="H96" s="236">
        <f>'PU Wise OWE'!AQ29/10000</f>
        <v>0</v>
      </c>
      <c r="I96" s="107">
        <f>'PU Wise OWE'!AQ30/10000</f>
        <v>0</v>
      </c>
      <c r="J96" s="187">
        <f t="shared" si="23"/>
        <v>0</v>
      </c>
      <c r="K96" s="107">
        <f t="shared" si="24"/>
        <v>0</v>
      </c>
      <c r="L96" s="188" t="e">
        <f t="shared" si="25"/>
        <v>#DIV/0!</v>
      </c>
      <c r="M96" s="188">
        <v>0</v>
      </c>
      <c r="N96" s="194"/>
      <c r="O96" s="196"/>
    </row>
    <row r="97" spans="2:15">
      <c r="B97" s="20" t="s">
        <v>250</v>
      </c>
      <c r="C97" s="20">
        <v>22.36</v>
      </c>
      <c r="D97" s="68">
        <f t="shared" si="21"/>
        <v>5.4241301014962447E-3</v>
      </c>
      <c r="E97" s="20"/>
      <c r="F97" s="107">
        <v>0</v>
      </c>
      <c r="G97" s="187">
        <f t="shared" si="22"/>
        <v>0</v>
      </c>
      <c r="H97" s="111">
        <f>'PU Wise OWE'!AQ40/10000</f>
        <v>22.362300000000001</v>
      </c>
      <c r="I97" s="107">
        <f>'PU Wise OWE'!AQ41/10000</f>
        <v>14.564</v>
      </c>
      <c r="J97" s="187">
        <f>I97/$I$7</f>
        <v>3.2511105654396502E-3</v>
      </c>
      <c r="K97" s="107">
        <f t="shared" si="24"/>
        <v>-7.7983000000000011</v>
      </c>
      <c r="L97" s="188">
        <f t="shared" si="25"/>
        <v>-0.34872531000836232</v>
      </c>
      <c r="M97" s="188" t="e">
        <f t="shared" si="26"/>
        <v>#DIV/0!</v>
      </c>
      <c r="N97" s="194"/>
      <c r="O97" s="196"/>
    </row>
    <row r="98" spans="2:15">
      <c r="B98" s="20" t="s">
        <v>258</v>
      </c>
      <c r="C98" s="20">
        <v>0</v>
      </c>
      <c r="D98" s="68">
        <f t="shared" si="21"/>
        <v>0</v>
      </c>
      <c r="E98" s="20"/>
      <c r="F98" s="107">
        <v>0</v>
      </c>
      <c r="G98" s="187">
        <f t="shared" si="22"/>
        <v>0</v>
      </c>
      <c r="H98" s="111">
        <f>'PU Wise OWE'!AQ51/10000</f>
        <v>0</v>
      </c>
      <c r="I98" s="107">
        <f>'PU Wise OWE'!AQ52/10000</f>
        <v>0</v>
      </c>
      <c r="J98" s="187">
        <f t="shared" si="23"/>
        <v>0</v>
      </c>
      <c r="K98" s="107">
        <f t="shared" si="24"/>
        <v>0</v>
      </c>
      <c r="L98" s="188" t="e">
        <f t="shared" si="25"/>
        <v>#DIV/0!</v>
      </c>
      <c r="M98" s="188">
        <v>0</v>
      </c>
      <c r="N98" s="194"/>
      <c r="O98" s="196"/>
    </row>
    <row r="99" spans="2:15">
      <c r="B99" s="61" t="s">
        <v>251</v>
      </c>
      <c r="C99" s="27">
        <f>SUM(C96:C98)</f>
        <v>22.36</v>
      </c>
      <c r="D99" s="69">
        <f t="shared" si="21"/>
        <v>5.4241301014962447E-3</v>
      </c>
      <c r="E99" s="27">
        <f>SUM(E96:E97)</f>
        <v>0</v>
      </c>
      <c r="F99" s="106">
        <f>SUM(F96:F98)</f>
        <v>0</v>
      </c>
      <c r="G99" s="189">
        <f t="shared" si="22"/>
        <v>0</v>
      </c>
      <c r="H99" s="27">
        <f>SUM(H96:H98)</f>
        <v>22.362300000000001</v>
      </c>
      <c r="I99" s="106">
        <f>SUM(I96:I98)</f>
        <v>14.564</v>
      </c>
      <c r="J99" s="189">
        <f t="shared" si="23"/>
        <v>3.2511105654396502E-3</v>
      </c>
      <c r="K99" s="106">
        <f t="shared" si="24"/>
        <v>-7.7983000000000011</v>
      </c>
      <c r="L99" s="190">
        <f t="shared" si="25"/>
        <v>-0.34872531000836232</v>
      </c>
      <c r="M99" s="190" t="e">
        <f t="shared" si="26"/>
        <v>#DIV/0!</v>
      </c>
      <c r="N99" s="194"/>
      <c r="O99" s="197"/>
    </row>
    <row r="100" spans="2:15">
      <c r="B100" s="20" t="s">
        <v>252</v>
      </c>
      <c r="C100" s="107">
        <v>-6.42</v>
      </c>
      <c r="D100" s="68">
        <f t="shared" si="21"/>
        <v>-1.5573754584796912E-3</v>
      </c>
      <c r="E100" s="20"/>
      <c r="F100" s="107">
        <v>2.38</v>
      </c>
      <c r="G100" s="187">
        <f t="shared" si="22"/>
        <v>5.3128557715918475E-4</v>
      </c>
      <c r="H100" s="111">
        <f>'PU Wise OWE'!AC29/10000</f>
        <v>-6.4242999999999997</v>
      </c>
      <c r="I100" s="107">
        <f>'PU Wise OWE'!AC30/10000</f>
        <v>-7.7175000000000002</v>
      </c>
      <c r="J100" s="187">
        <f t="shared" si="23"/>
        <v>-1.7227716141705919E-3</v>
      </c>
      <c r="K100" s="107">
        <f t="shared" si="24"/>
        <v>-1.2932000000000006</v>
      </c>
      <c r="L100" s="188">
        <f t="shared" si="25"/>
        <v>0.20129819591239523</v>
      </c>
      <c r="M100" s="188">
        <f t="shared" si="26"/>
        <v>-3.2426470588235299</v>
      </c>
      <c r="N100" s="194"/>
      <c r="O100" s="196"/>
    </row>
    <row r="101" spans="2:15">
      <c r="B101" s="20" t="s">
        <v>253</v>
      </c>
      <c r="C101" s="20">
        <v>34.81</v>
      </c>
      <c r="D101" s="68">
        <f t="shared" si="21"/>
        <v>8.4442740980806928E-3</v>
      </c>
      <c r="E101" s="20"/>
      <c r="F101" s="107">
        <v>33.03</v>
      </c>
      <c r="G101" s="187">
        <f t="shared" si="22"/>
        <v>7.373261602339443E-3</v>
      </c>
      <c r="H101" s="111">
        <f>'PU Wise OWE'!AC40/10000</f>
        <v>34.814900000000002</v>
      </c>
      <c r="I101" s="107">
        <f>'PU Wise OWE'!AC41/10000</f>
        <v>28.782399999999999</v>
      </c>
      <c r="J101" s="187">
        <f t="shared" si="23"/>
        <v>6.4250731075741682E-3</v>
      </c>
      <c r="K101" s="107">
        <f t="shared" si="24"/>
        <v>-6.0325000000000024</v>
      </c>
      <c r="L101" s="188">
        <f t="shared" si="25"/>
        <v>-0.17327351220310849</v>
      </c>
      <c r="M101" s="188">
        <f t="shared" si="26"/>
        <v>0.87140175597941261</v>
      </c>
      <c r="N101" s="194"/>
      <c r="O101" s="196"/>
    </row>
    <row r="102" spans="2:15">
      <c r="B102" s="61" t="s">
        <v>254</v>
      </c>
      <c r="C102" s="27">
        <f t="shared" ref="C102:I102" si="27">SUM(C100:C101)</f>
        <v>28.39</v>
      </c>
      <c r="D102" s="69">
        <f t="shared" si="21"/>
        <v>6.8868986396010022E-3</v>
      </c>
      <c r="E102" s="27">
        <f t="shared" si="27"/>
        <v>0</v>
      </c>
      <c r="F102" s="106">
        <f t="shared" si="27"/>
        <v>35.410000000000004</v>
      </c>
      <c r="G102" s="189">
        <f t="shared" si="22"/>
        <v>7.9045471794986291E-3</v>
      </c>
      <c r="H102" s="106">
        <f>SUM(H100:H101)</f>
        <v>28.390600000000003</v>
      </c>
      <c r="I102" s="106">
        <f t="shared" si="27"/>
        <v>21.064899999999998</v>
      </c>
      <c r="J102" s="189">
        <f t="shared" si="23"/>
        <v>4.7023014934035757E-3</v>
      </c>
      <c r="K102" s="107">
        <f t="shared" si="24"/>
        <v>-7.3257000000000048</v>
      </c>
      <c r="L102" s="188">
        <f t="shared" si="25"/>
        <v>-0.25803258825104097</v>
      </c>
      <c r="M102" s="190">
        <f t="shared" si="26"/>
        <v>0.5948856255295113</v>
      </c>
      <c r="N102" s="194"/>
      <c r="O102" s="197"/>
    </row>
    <row r="103" spans="2:15">
      <c r="B103" s="20" t="s">
        <v>255</v>
      </c>
      <c r="C103" s="107">
        <v>-11.94</v>
      </c>
      <c r="D103" s="68">
        <f t="shared" si="21"/>
        <v>-2.8964272545556873E-3</v>
      </c>
      <c r="E103" s="20"/>
      <c r="F103" s="107">
        <v>1.72</v>
      </c>
      <c r="G103" s="187">
        <f t="shared" si="22"/>
        <v>3.8395428265285624E-4</v>
      </c>
      <c r="H103" s="111">
        <f>'PU Wise OWE'!BB29/10000</f>
        <v>-11.936199999999999</v>
      </c>
      <c r="I103" s="107">
        <f>'PU Wise OWE'!BB30/10000</f>
        <v>-15.0983</v>
      </c>
      <c r="J103" s="187">
        <f t="shared" si="23"/>
        <v>-3.3703819452195463E-3</v>
      </c>
      <c r="K103" s="107">
        <f t="shared" si="24"/>
        <v>-3.1621000000000006</v>
      </c>
      <c r="L103" s="188">
        <f t="shared" si="25"/>
        <v>0.26491680769424109</v>
      </c>
      <c r="M103" s="188">
        <f t="shared" si="26"/>
        <v>-8.7780813953488366</v>
      </c>
      <c r="N103" s="194"/>
      <c r="O103" s="196"/>
    </row>
    <row r="104" spans="2:15">
      <c r="B104" s="20" t="s">
        <v>256</v>
      </c>
      <c r="C104" s="107">
        <v>32.5</v>
      </c>
      <c r="D104" s="68">
        <f t="shared" si="21"/>
        <v>7.8839100312445426E-3</v>
      </c>
      <c r="E104" s="20"/>
      <c r="F104" s="107">
        <v>15.72</v>
      </c>
      <c r="G104" s="187">
        <f t="shared" si="22"/>
        <v>3.5091635600598258E-3</v>
      </c>
      <c r="H104" s="111">
        <f>'PU Wise OWE'!BB40/10000</f>
        <v>32.498899999999999</v>
      </c>
      <c r="I104" s="107">
        <f>'PU Wise OWE'!BB41/10000</f>
        <v>30.668099999999999</v>
      </c>
      <c r="J104" s="187">
        <f t="shared" si="23"/>
        <v>6.8460164743174767E-3</v>
      </c>
      <c r="K104" s="107">
        <f t="shared" si="24"/>
        <v>-1.8308</v>
      </c>
      <c r="L104" s="188">
        <f t="shared" si="25"/>
        <v>-5.6334214388794698E-2</v>
      </c>
      <c r="M104" s="188">
        <f t="shared" si="26"/>
        <v>1.9508969465648853</v>
      </c>
      <c r="N104" s="194"/>
      <c r="O104" s="196"/>
    </row>
    <row r="105" spans="2:15">
      <c r="B105" s="61" t="s">
        <v>286</v>
      </c>
      <c r="C105" s="106">
        <f>SUM(C103:C104)</f>
        <v>20.560000000000002</v>
      </c>
      <c r="D105" s="69">
        <f t="shared" si="21"/>
        <v>4.9874827766888561E-3</v>
      </c>
      <c r="E105" s="27">
        <f>SUM(E103:E104)</f>
        <v>0</v>
      </c>
      <c r="F105" s="106">
        <f>SUM(F103:F104)</f>
        <v>17.440000000000001</v>
      </c>
      <c r="G105" s="189">
        <f t="shared" si="22"/>
        <v>3.8931178427126819E-3</v>
      </c>
      <c r="H105" s="106">
        <f>SUM(H103:H104)</f>
        <v>20.5627</v>
      </c>
      <c r="I105" s="106">
        <f>SUM(I103:I104)</f>
        <v>15.569799999999999</v>
      </c>
      <c r="J105" s="189">
        <f t="shared" si="23"/>
        <v>3.4756345290979304E-3</v>
      </c>
      <c r="K105" s="106">
        <f t="shared" si="24"/>
        <v>-4.9929000000000006</v>
      </c>
      <c r="L105" s="190">
        <f t="shared" si="25"/>
        <v>-0.24281344375981756</v>
      </c>
      <c r="M105" s="190">
        <f t="shared" si="26"/>
        <v>0.89276376146788983</v>
      </c>
      <c r="N105" s="194"/>
      <c r="O105" s="197"/>
    </row>
    <row r="106" spans="2:15">
      <c r="B106" s="41"/>
      <c r="C106" s="41"/>
      <c r="D106" s="41"/>
      <c r="E106" s="41"/>
      <c r="G106" s="41"/>
      <c r="H106" s="221"/>
      <c r="K106" s="41"/>
      <c r="L106" s="41"/>
      <c r="M106" s="41"/>
      <c r="N106" s="194"/>
      <c r="O106" s="195"/>
    </row>
    <row r="107" spans="2:15" ht="15" customHeight="1">
      <c r="B107" s="191"/>
      <c r="C107" s="302" t="s">
        <v>313</v>
      </c>
      <c r="D107" s="302" t="s">
        <v>165</v>
      </c>
      <c r="E107" s="302"/>
      <c r="F107" s="292" t="str">
        <f>'PU Wise OWE'!$B$5</f>
        <v xml:space="preserve">FG 2023-24 </v>
      </c>
      <c r="G107" s="302" t="str">
        <f>G90</f>
        <v>% of Total RG 2023-24</v>
      </c>
      <c r="H107" s="292" t="str">
        <f>'PU Wise OWE'!$B$7</f>
        <v>Actuals upto March-23</v>
      </c>
      <c r="I107" s="292" t="str">
        <f>J77</f>
        <v>Actuals upto March-24</v>
      </c>
      <c r="J107" s="302" t="s">
        <v>197</v>
      </c>
      <c r="K107" s="316" t="s">
        <v>139</v>
      </c>
      <c r="L107" s="316"/>
      <c r="M107" s="298" t="str">
        <f>M90</f>
        <v>RG Utilization</v>
      </c>
      <c r="N107" s="194"/>
      <c r="O107" s="199"/>
    </row>
    <row r="108" spans="2:15" ht="30">
      <c r="B108" s="204" t="s">
        <v>210</v>
      </c>
      <c r="C108" s="293"/>
      <c r="D108" s="293"/>
      <c r="E108" s="293"/>
      <c r="F108" s="293"/>
      <c r="G108" s="293"/>
      <c r="H108" s="293"/>
      <c r="I108" s="309"/>
      <c r="J108" s="293"/>
      <c r="K108" s="81" t="s">
        <v>137</v>
      </c>
      <c r="L108" s="81" t="s">
        <v>138</v>
      </c>
      <c r="M108" s="298"/>
      <c r="N108" s="194"/>
      <c r="O108" s="199"/>
    </row>
    <row r="109" spans="2:15">
      <c r="B109" s="20" t="s">
        <v>211</v>
      </c>
      <c r="C109" s="107">
        <v>44.21</v>
      </c>
      <c r="D109" s="68">
        <f>C109/$C$7</f>
        <v>1.072454346096373E-2</v>
      </c>
      <c r="E109" s="20"/>
      <c r="F109" s="108">
        <v>33.630000000000003</v>
      </c>
      <c r="G109" s="187">
        <f>F109/$F$7</f>
        <v>7.5071991427997416E-3</v>
      </c>
      <c r="H109" s="259">
        <v>44.21</v>
      </c>
      <c r="I109" s="259">
        <v>33.57</v>
      </c>
      <c r="J109" s="187">
        <f>I109/$I$7</f>
        <v>7.4938053887537116E-3</v>
      </c>
      <c r="K109" s="107">
        <f>I109-H109</f>
        <v>-10.64</v>
      </c>
      <c r="L109" s="188">
        <f>K109/H109</f>
        <v>-0.24066953178014025</v>
      </c>
      <c r="M109" s="188">
        <f>I109/F109</f>
        <v>0.99821587867975015</v>
      </c>
      <c r="N109" s="194"/>
      <c r="O109" s="196"/>
    </row>
    <row r="110" spans="2:15">
      <c r="B110" s="20" t="s">
        <v>212</v>
      </c>
      <c r="C110" s="107">
        <v>23.83</v>
      </c>
      <c r="D110" s="68">
        <f>C110/$C$7</f>
        <v>5.7807254167556131E-3</v>
      </c>
      <c r="E110" s="20"/>
      <c r="F110" s="108">
        <v>28.52</v>
      </c>
      <c r="G110" s="187">
        <f>F110/$F$7</f>
        <v>6.3664977565461977E-3</v>
      </c>
      <c r="H110" s="259">
        <v>23.83</v>
      </c>
      <c r="I110" s="108">
        <v>28.49</v>
      </c>
      <c r="J110" s="187">
        <f>I110/$I$7</f>
        <v>6.3598008795231822E-3</v>
      </c>
      <c r="K110" s="107">
        <f>I110-H110</f>
        <v>4.66</v>
      </c>
      <c r="L110" s="188">
        <f>K110/H110</f>
        <v>0.19555182543013011</v>
      </c>
      <c r="M110" s="188">
        <f>I110/F110</f>
        <v>0.99894810659186528</v>
      </c>
      <c r="N110" s="194"/>
      <c r="O110" s="196"/>
    </row>
    <row r="111" spans="2:15">
      <c r="B111" s="192" t="s">
        <v>213</v>
      </c>
      <c r="C111" s="20">
        <v>24.47</v>
      </c>
      <c r="D111" s="68">
        <f>C111/$C$7</f>
        <v>5.9359777989093521E-3</v>
      </c>
      <c r="E111" s="20">
        <v>25.01</v>
      </c>
      <c r="F111" s="58">
        <v>22.64</v>
      </c>
      <c r="G111" s="187">
        <f>F111/$F$7</f>
        <v>5.053909860035271E-3</v>
      </c>
      <c r="H111" s="259">
        <v>24.47</v>
      </c>
      <c r="I111" s="108">
        <v>22.59</v>
      </c>
      <c r="J111" s="187">
        <f>I111/$I$7</f>
        <v>5.0427483983302452E-3</v>
      </c>
      <c r="K111" s="107">
        <f>I111-H111</f>
        <v>-1.879999999999999</v>
      </c>
      <c r="L111" s="188">
        <f>K111/H111</f>
        <v>-7.6828769922353865E-2</v>
      </c>
      <c r="M111" s="188">
        <f>I111/F111</f>
        <v>0.99779151943462896</v>
      </c>
      <c r="N111" s="194"/>
      <c r="O111" s="196"/>
    </row>
    <row r="112" spans="2:15">
      <c r="B112" s="27" t="s">
        <v>122</v>
      </c>
      <c r="C112" s="106">
        <f>SUM(C109:C111)</f>
        <v>92.509999999999991</v>
      </c>
      <c r="D112" s="69">
        <f>C112/$C$7</f>
        <v>2.2441246676628696E-2</v>
      </c>
      <c r="E112" s="27"/>
      <c r="F112" s="58">
        <f>SUM(F109:F111)</f>
        <v>84.79</v>
      </c>
      <c r="G112" s="189">
        <f>F112/$F$7</f>
        <v>1.892760675938121E-2</v>
      </c>
      <c r="H112" s="76">
        <f>SUM(H109:H111)</f>
        <v>92.509999999999991</v>
      </c>
      <c r="I112" s="26">
        <f>SUM(I109:I111)</f>
        <v>84.65</v>
      </c>
      <c r="J112" s="189">
        <f>I112/$I$7</f>
        <v>1.8896354666607142E-2</v>
      </c>
      <c r="K112" s="106">
        <f>I112-H112</f>
        <v>-7.8599999999999852</v>
      </c>
      <c r="L112" s="190">
        <f>K112/H112</f>
        <v>-8.496378769862703E-2</v>
      </c>
      <c r="M112" s="190">
        <f>I112/F112</f>
        <v>0.99834886189409133</v>
      </c>
      <c r="N112" s="194"/>
      <c r="O112" s="197"/>
    </row>
    <row r="113" spans="2:15">
      <c r="B113" s="41"/>
      <c r="C113" s="41"/>
      <c r="D113" s="41"/>
      <c r="E113" s="41"/>
      <c r="G113" s="41"/>
      <c r="H113" s="221"/>
      <c r="K113" s="41"/>
      <c r="L113" s="41"/>
      <c r="M113" s="41"/>
      <c r="N113" s="194"/>
      <c r="O113" s="195"/>
    </row>
    <row r="114" spans="2:15">
      <c r="B114" s="237"/>
      <c r="C114" s="222"/>
      <c r="D114" s="222"/>
      <c r="E114" s="222"/>
      <c r="F114" s="32"/>
      <c r="G114" s="222"/>
      <c r="H114" s="223"/>
      <c r="I114" s="32"/>
      <c r="J114" s="32"/>
      <c r="K114" s="222"/>
      <c r="L114" s="222"/>
      <c r="M114" s="222"/>
      <c r="N114" s="194"/>
      <c r="O114" s="195"/>
    </row>
    <row r="115" spans="2:15">
      <c r="B115" s="32"/>
      <c r="C115" s="238"/>
      <c r="D115" s="239"/>
      <c r="E115" s="32"/>
      <c r="F115" s="238"/>
      <c r="G115" s="240"/>
      <c r="H115" s="241"/>
      <c r="I115" s="32"/>
      <c r="J115" s="240"/>
      <c r="K115" s="238"/>
      <c r="L115" s="242"/>
      <c r="M115" s="242"/>
      <c r="N115" s="194"/>
      <c r="O115" s="196"/>
    </row>
    <row r="116" spans="2:15">
      <c r="B116" s="32"/>
      <c r="C116" s="238"/>
      <c r="D116" s="239"/>
      <c r="E116" s="32"/>
      <c r="F116" s="32"/>
      <c r="G116" s="240"/>
      <c r="H116" s="243"/>
      <c r="I116" s="238"/>
      <c r="J116" s="240"/>
      <c r="K116" s="238"/>
      <c r="L116" s="242"/>
      <c r="M116" s="242"/>
      <c r="N116" s="194"/>
      <c r="O116" s="196"/>
    </row>
    <row r="117" spans="2:15">
      <c r="B117" s="195"/>
      <c r="C117" s="32"/>
      <c r="D117" s="239"/>
      <c r="E117" s="32"/>
      <c r="F117" s="32"/>
      <c r="G117" s="240"/>
      <c r="H117" s="241"/>
      <c r="I117" s="238"/>
      <c r="J117" s="240"/>
      <c r="K117" s="238"/>
      <c r="L117" s="242"/>
      <c r="M117" s="242"/>
      <c r="N117" s="194"/>
      <c r="O117" s="196"/>
    </row>
    <row r="118" spans="2:15">
      <c r="B118" s="244"/>
      <c r="C118" s="245"/>
      <c r="D118" s="246"/>
      <c r="E118" s="244"/>
      <c r="F118" s="244"/>
      <c r="G118" s="247"/>
      <c r="H118" s="248"/>
      <c r="I118" s="244"/>
      <c r="J118" s="247"/>
      <c r="K118" s="245"/>
      <c r="L118" s="249"/>
      <c r="M118" s="249"/>
      <c r="N118" s="194"/>
      <c r="O118" s="197"/>
    </row>
    <row r="121" spans="2:15">
      <c r="C121" s="34"/>
    </row>
    <row r="122" spans="2:15">
      <c r="C122" s="31"/>
    </row>
    <row r="123" spans="2:15">
      <c r="C123" s="31"/>
    </row>
    <row r="124" spans="2:1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15:M118 M109:M112">
    <cfRule type="cellIs" dxfId="18" priority="2" operator="greaterThan">
      <formula>0.5</formula>
    </cfRule>
  </conditionalFormatting>
  <conditionalFormatting sqref="M92:M105">
    <cfRule type="cellIs" dxfId="17" priority="1" operator="greaterThan">
      <formula>0.85</formula>
    </cfRule>
  </conditionalFormatting>
  <pageMargins left="0.59055118110236204" right="0.31496062992126" top="1.143700787" bottom="0.15748031496063" header="0" footer="0"/>
  <pageSetup scale="78"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H89" sqref="H89"/>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271</v>
      </c>
      <c r="C1" s="36"/>
    </row>
    <row r="2" spans="1:14">
      <c r="K2" s="36" t="s">
        <v>142</v>
      </c>
    </row>
    <row r="3" spans="1:14" s="36" customFormat="1" ht="15" customHeight="1">
      <c r="B3" s="279" t="s">
        <v>143</v>
      </c>
      <c r="C3" s="277" t="s">
        <v>288</v>
      </c>
      <c r="D3" s="287" t="str">
        <f>'PU Wise OWE'!$B$7</f>
        <v>Actuals upto March-23</v>
      </c>
      <c r="E3" s="277" t="s">
        <v>165</v>
      </c>
      <c r="F3" s="277"/>
      <c r="G3" s="327" t="str">
        <f>'PU Wise OWE'!$B$5</f>
        <v xml:space="preserve">FG 2023-24 </v>
      </c>
      <c r="H3" s="277" t="s">
        <v>295</v>
      </c>
      <c r="I3" s="287" t="str">
        <f>'PU Wise OWE'!B8</f>
        <v>Actuals upto March-24</v>
      </c>
      <c r="J3" s="277" t="s">
        <v>197</v>
      </c>
      <c r="K3" s="274" t="s">
        <v>139</v>
      </c>
      <c r="L3" s="274"/>
      <c r="M3" s="332" t="s">
        <v>300</v>
      </c>
      <c r="N3" s="330"/>
    </row>
    <row r="4" spans="1:14" ht="15.6" customHeight="1">
      <c r="A4" s="31"/>
      <c r="B4" s="280"/>
      <c r="C4" s="278"/>
      <c r="D4" s="278"/>
      <c r="E4" s="278"/>
      <c r="F4" s="278"/>
      <c r="G4" s="280"/>
      <c r="H4" s="278"/>
      <c r="I4" s="278"/>
      <c r="J4" s="278"/>
      <c r="K4" s="19" t="s">
        <v>137</v>
      </c>
      <c r="L4" s="18" t="s">
        <v>138</v>
      </c>
      <c r="M4" s="332"/>
      <c r="N4" s="330"/>
    </row>
    <row r="5" spans="1:14">
      <c r="A5" s="31"/>
      <c r="B5" s="63" t="s">
        <v>140</v>
      </c>
      <c r="C5" s="22">
        <v>4575.6000000000004</v>
      </c>
      <c r="D5" s="72">
        <f>ROUND('PU Wise OWE'!$AD$128/10000,2)</f>
        <v>2633.93</v>
      </c>
      <c r="E5" s="68">
        <f>D5/D7</f>
        <v>0.63894360457218269</v>
      </c>
      <c r="F5" s="68"/>
      <c r="G5" s="22">
        <f>ROUND('PU Wise OWE'!$AD$126/10000,2)</f>
        <v>2937.7</v>
      </c>
      <c r="H5" s="68">
        <f>G5/G7</f>
        <v>0.65578052101703233</v>
      </c>
      <c r="I5" s="23">
        <f>ROUND('PU Wise OWE'!$AD$129/10000,2)</f>
        <v>2932.73</v>
      </c>
      <c r="J5" s="24">
        <f>I5/$I$7</f>
        <v>0.65580709937968762</v>
      </c>
      <c r="K5" s="22">
        <f>I5-D5</f>
        <v>298.80000000000018</v>
      </c>
      <c r="L5" s="54">
        <f>K5/D5</f>
        <v>0.11344265033618972</v>
      </c>
      <c r="M5" s="54">
        <f>I5/G5</f>
        <v>0.99830820029274614</v>
      </c>
    </row>
    <row r="6" spans="1:14">
      <c r="A6" s="31"/>
      <c r="B6" s="80" t="s">
        <v>136</v>
      </c>
      <c r="C6" s="21">
        <v>3242.41</v>
      </c>
      <c r="D6" s="72">
        <f>D7-D5</f>
        <v>1488.3899999999999</v>
      </c>
      <c r="E6" s="68">
        <f>D6/D7</f>
        <v>0.36105639542781737</v>
      </c>
      <c r="F6" s="68"/>
      <c r="G6" s="21">
        <f>G7-G5</f>
        <v>1542</v>
      </c>
      <c r="H6" s="68">
        <f>G6/G7</f>
        <v>0.34421947898296762</v>
      </c>
      <c r="I6" s="21">
        <f>I7-I5</f>
        <v>1539.2099999999996</v>
      </c>
      <c r="J6" s="24">
        <f>I6/$I$7</f>
        <v>0.34419290062031238</v>
      </c>
      <c r="K6" s="22">
        <f>I6-D6</f>
        <v>50.819999999999709</v>
      </c>
      <c r="L6" s="54">
        <f>K6/D6</f>
        <v>3.4144276701670744E-2</v>
      </c>
      <c r="M6" s="54">
        <f>I6/G6</f>
        <v>0.99819066147859892</v>
      </c>
    </row>
    <row r="7" spans="1:14">
      <c r="A7" s="31"/>
      <c r="B7" s="27" t="s">
        <v>163</v>
      </c>
      <c r="C7" s="106">
        <f>SUM(C5:C6)</f>
        <v>7818.01</v>
      </c>
      <c r="D7" s="73">
        <f>ROUND('PU Wise OWE'!BK128/10000,2)</f>
        <v>4122.32</v>
      </c>
      <c r="E7" s="69">
        <f>SUM(E5:E6)</f>
        <v>1</v>
      </c>
      <c r="F7" s="69"/>
      <c r="G7" s="26">
        <f>ROUND('PU Wise OWE'!BK126/10000,2)</f>
        <v>4479.7</v>
      </c>
      <c r="H7" s="69">
        <f>SUM(H5:H6)</f>
        <v>1</v>
      </c>
      <c r="I7" s="25">
        <f>ROUND('PU Wise OWE'!BK129/10000,2)</f>
        <v>4471.9399999999996</v>
      </c>
      <c r="J7" s="56">
        <f>I7/$I$7</f>
        <v>1</v>
      </c>
      <c r="K7" s="26">
        <f>I7-D7</f>
        <v>349.61999999999989</v>
      </c>
      <c r="L7" s="57">
        <f>K7/D7</f>
        <v>8.4811465388422033E-2</v>
      </c>
      <c r="M7" s="54">
        <f>I7/G7</f>
        <v>0.99826774114338013</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164</v>
      </c>
      <c r="C10" s="64"/>
      <c r="D10" s="75"/>
      <c r="E10" s="65"/>
      <c r="F10" s="65"/>
      <c r="G10" s="65"/>
      <c r="H10" s="65"/>
      <c r="I10" s="65"/>
      <c r="J10" s="65"/>
      <c r="K10" s="36" t="s">
        <v>142</v>
      </c>
    </row>
    <row r="11" spans="1:14" ht="15" customHeight="1">
      <c r="A11" s="31"/>
      <c r="B11" s="285"/>
      <c r="C11" s="285" t="s">
        <v>288</v>
      </c>
      <c r="D11" s="288" t="str">
        <f>'PU Wise OWE'!$B$7</f>
        <v>Actuals upto March-23</v>
      </c>
      <c r="E11" s="285" t="s">
        <v>165</v>
      </c>
      <c r="F11" s="285"/>
      <c r="G11" s="328" t="str">
        <f>'PU Wise OWE'!$B$5</f>
        <v xml:space="preserve">FG 2023-24 </v>
      </c>
      <c r="H11" s="285" t="s">
        <v>295</v>
      </c>
      <c r="I11" s="288" t="str">
        <f>'PU Wise OWE'!B8</f>
        <v>Actuals upto March-24</v>
      </c>
      <c r="J11" s="285" t="s">
        <v>197</v>
      </c>
      <c r="K11" s="289" t="s">
        <v>139</v>
      </c>
      <c r="L11" s="289"/>
      <c r="M11" s="333" t="s">
        <v>300</v>
      </c>
      <c r="N11" s="330" t="s">
        <v>200</v>
      </c>
    </row>
    <row r="12" spans="1:14" ht="17.25" customHeight="1">
      <c r="A12" s="31"/>
      <c r="B12" s="286"/>
      <c r="C12" s="286"/>
      <c r="D12" s="286"/>
      <c r="E12" s="286"/>
      <c r="F12" s="286"/>
      <c r="G12" s="329"/>
      <c r="H12" s="286"/>
      <c r="I12" s="286"/>
      <c r="J12" s="286"/>
      <c r="K12" s="66" t="s">
        <v>137</v>
      </c>
      <c r="L12" s="67" t="s">
        <v>138</v>
      </c>
      <c r="M12" s="333"/>
      <c r="N12" s="330"/>
    </row>
    <row r="13" spans="1:14">
      <c r="A13" s="31"/>
      <c r="B13" s="20" t="s">
        <v>144</v>
      </c>
      <c r="C13" s="107">
        <v>2522.8000000000002</v>
      </c>
      <c r="D13" s="72">
        <f>ROUND('PU Wise OWE'!$C$128/10000,2)</f>
        <v>1258.0899999999999</v>
      </c>
      <c r="E13" s="68">
        <f>D13/$D$7</f>
        <v>0.30518979603718294</v>
      </c>
      <c r="F13" s="21"/>
      <c r="G13" s="22">
        <f>ROUND('PU Wise OWE'!$C$126/10000,2)</f>
        <v>1298.0999999999999</v>
      </c>
      <c r="H13" s="24">
        <f>G13/$G$7</f>
        <v>0.2897738687858562</v>
      </c>
      <c r="I13" s="23">
        <f>ROUND('PU Wise OWE'!$C$129/10000,2)</f>
        <v>1295.97</v>
      </c>
      <c r="J13" s="24">
        <f>I13/$I$7</f>
        <v>0.28980039982647354</v>
      </c>
      <c r="K13" s="22">
        <f t="shared" ref="K13:K28" si="0">I13-D13</f>
        <v>37.880000000000109</v>
      </c>
      <c r="L13" s="54">
        <f t="shared" ref="L13:L28" si="1">K13/D13</f>
        <v>3.0109133686779255E-2</v>
      </c>
      <c r="M13" s="54">
        <f>I13/G13</f>
        <v>0.99835914028195061</v>
      </c>
    </row>
    <row r="14" spans="1:14">
      <c r="A14" s="31"/>
      <c r="B14" s="20" t="s">
        <v>145</v>
      </c>
      <c r="C14" s="107">
        <v>441.91</v>
      </c>
      <c r="D14" s="72">
        <f>ROUND('PU Wise OWE'!$D$128/10000,2)</f>
        <v>500.31</v>
      </c>
      <c r="E14" s="68">
        <f t="shared" ref="E14:E27" si="2">D14/$D$7</f>
        <v>0.12136612393021406</v>
      </c>
      <c r="F14" s="21"/>
      <c r="G14" s="22">
        <f>ROUND('PU Wise OWE'!$D$126/10000,2)</f>
        <v>638.29</v>
      </c>
      <c r="H14" s="24">
        <f t="shared" ref="H14:H27" si="3">G14/$G$7</f>
        <v>0.14248498783400673</v>
      </c>
      <c r="I14" s="23">
        <f>ROUND('PU Wise OWE'!$D$129/10000,2)</f>
        <v>637.25</v>
      </c>
      <c r="J14" s="24">
        <f t="shared" ref="J14:J28" si="4">I14/$I$7</f>
        <v>0.14249967575593592</v>
      </c>
      <c r="K14" s="22">
        <f t="shared" si="0"/>
        <v>136.94</v>
      </c>
      <c r="L14" s="54">
        <f t="shared" si="1"/>
        <v>0.27371029961423915</v>
      </c>
      <c r="M14" s="54">
        <f t="shared" ref="M14:M27" si="5">I14/G14</f>
        <v>0.99837064657130781</v>
      </c>
    </row>
    <row r="15" spans="1:14">
      <c r="B15" s="23" t="s">
        <v>166</v>
      </c>
      <c r="C15" s="22">
        <v>98.2</v>
      </c>
      <c r="D15" s="72">
        <f>ROUND('PU Wise OWE'!$E$128/10000,2)</f>
        <v>50.81</v>
      </c>
      <c r="E15" s="68">
        <f t="shared" si="2"/>
        <v>1.232558365192416E-2</v>
      </c>
      <c r="F15" s="21"/>
      <c r="G15" s="22">
        <f>ROUND('PU Wise OWE'!$E$126/10000,2)</f>
        <v>51.59</v>
      </c>
      <c r="H15" s="24">
        <f t="shared" si="3"/>
        <v>1.1516396187244683E-2</v>
      </c>
      <c r="I15" s="23">
        <f>ROUND('PU Wise OWE'!$E$129/10000,2)</f>
        <v>51.5</v>
      </c>
      <c r="J15" s="24">
        <f t="shared" si="4"/>
        <v>1.1516254690358101E-2</v>
      </c>
      <c r="K15" s="22">
        <f t="shared" si="0"/>
        <v>0.68999999999999773</v>
      </c>
      <c r="L15" s="54">
        <f t="shared" si="1"/>
        <v>1.358000393623298E-2</v>
      </c>
      <c r="M15" s="54">
        <f t="shared" si="5"/>
        <v>0.99825547586741614</v>
      </c>
    </row>
    <row r="16" spans="1:14">
      <c r="B16" s="23" t="s">
        <v>167</v>
      </c>
      <c r="C16" s="22">
        <v>264.85000000000002</v>
      </c>
      <c r="D16" s="72">
        <f>ROUND('PU Wise OWE'!$F$128/10000,2)</f>
        <v>143.61000000000001</v>
      </c>
      <c r="E16" s="68">
        <f t="shared" si="2"/>
        <v>3.4837179064216274E-2</v>
      </c>
      <c r="F16" s="21"/>
      <c r="G16" s="22">
        <f>ROUND('PU Wise OWE'!$F$126/10000,2)</f>
        <v>150.65</v>
      </c>
      <c r="H16" s="24">
        <f t="shared" si="3"/>
        <v>3.3629484117239997E-2</v>
      </c>
      <c r="I16" s="23">
        <f>ROUND('PU Wise OWE'!$F$129/10000,2)</f>
        <v>150.4</v>
      </c>
      <c r="J16" s="24">
        <f t="shared" si="4"/>
        <v>3.3631936027764243E-2</v>
      </c>
      <c r="K16" s="22">
        <f t="shared" si="0"/>
        <v>6.789999999999992</v>
      </c>
      <c r="L16" s="54">
        <f t="shared" si="1"/>
        <v>4.7280830025764164E-2</v>
      </c>
      <c r="M16" s="54">
        <f t="shared" si="5"/>
        <v>0.99834052439429144</v>
      </c>
    </row>
    <row r="17" spans="1:14">
      <c r="B17" s="23" t="s">
        <v>168</v>
      </c>
      <c r="C17" s="22">
        <v>134.78</v>
      </c>
      <c r="D17" s="72">
        <f>ROUND('PU Wise OWE'!$G$128/10000,2)</f>
        <v>93.6</v>
      </c>
      <c r="E17" s="68">
        <f t="shared" si="2"/>
        <v>2.270566088998428E-2</v>
      </c>
      <c r="F17" s="21"/>
      <c r="G17" s="22">
        <f>ROUND('PU Wise OWE'!$G$126/10000,2)</f>
        <v>103.38</v>
      </c>
      <c r="H17" s="24">
        <f t="shared" si="3"/>
        <v>2.3077438221309463E-2</v>
      </c>
      <c r="I17" s="23">
        <f>ROUND('PU Wise OWE'!$G$129/10000,2)</f>
        <v>103.21</v>
      </c>
      <c r="J17" s="24">
        <f t="shared" si="4"/>
        <v>2.307946886586135E-2</v>
      </c>
      <c r="K17" s="22">
        <f t="shared" si="0"/>
        <v>9.61</v>
      </c>
      <c r="L17" s="54">
        <f t="shared" si="1"/>
        <v>0.10267094017094017</v>
      </c>
      <c r="M17" s="54">
        <f t="shared" si="5"/>
        <v>0.99835558135035785</v>
      </c>
    </row>
    <row r="18" spans="1:14">
      <c r="A18" s="31"/>
      <c r="B18" s="20" t="s">
        <v>146</v>
      </c>
      <c r="C18" s="107">
        <v>247.05</v>
      </c>
      <c r="D18" s="72">
        <f>ROUND('PU Wise OWE'!$H$128/10000,2)</f>
        <v>156.4</v>
      </c>
      <c r="E18" s="68">
        <f t="shared" si="2"/>
        <v>3.7939800888819888E-2</v>
      </c>
      <c r="F18" s="21"/>
      <c r="G18" s="22">
        <f>ROUND('PU Wise OWE'!$H$126/10000,2)</f>
        <v>182.01</v>
      </c>
      <c r="H18" s="24">
        <f t="shared" si="3"/>
        <v>4.0629952898631604E-2</v>
      </c>
      <c r="I18" s="23">
        <f>ROUND('PU Wise OWE'!$H$129/10000,2)</f>
        <v>182.01</v>
      </c>
      <c r="J18" s="24">
        <f t="shared" si="4"/>
        <v>4.0700456625088886E-2</v>
      </c>
      <c r="K18" s="22">
        <f t="shared" si="0"/>
        <v>25.609999999999985</v>
      </c>
      <c r="L18" s="54">
        <f t="shared" si="1"/>
        <v>0.16374680306905362</v>
      </c>
      <c r="M18" s="54">
        <f t="shared" si="5"/>
        <v>1</v>
      </c>
    </row>
    <row r="19" spans="1:14" ht="45" customHeight="1">
      <c r="A19" s="31"/>
      <c r="B19" s="58" t="s">
        <v>147</v>
      </c>
      <c r="C19" s="108">
        <v>188.24</v>
      </c>
      <c r="D19" s="72">
        <f>ROUND('PU Wise OWE'!$J$128/10000,2)</f>
        <v>143.69999999999999</v>
      </c>
      <c r="E19" s="68">
        <f t="shared" si="2"/>
        <v>3.4859011430456638E-2</v>
      </c>
      <c r="F19" s="21"/>
      <c r="G19" s="22">
        <f>ROUND('PU Wise OWE'!$J$126/10000,2)</f>
        <v>179.77</v>
      </c>
      <c r="H19" s="24">
        <f t="shared" si="3"/>
        <v>4.0129919414246491E-2</v>
      </c>
      <c r="I19" s="23">
        <f>ROUND('PU Wise OWE'!$J$129/10000,2)</f>
        <v>179.47</v>
      </c>
      <c r="J19" s="24">
        <f t="shared" si="4"/>
        <v>4.0132470471428511E-2</v>
      </c>
      <c r="K19" s="22">
        <f t="shared" si="0"/>
        <v>35.77000000000001</v>
      </c>
      <c r="L19" s="54">
        <f t="shared" si="1"/>
        <v>0.24892136395267928</v>
      </c>
      <c r="M19" s="54">
        <f t="shared" si="5"/>
        <v>0.99833120097902872</v>
      </c>
      <c r="N19" s="71"/>
    </row>
    <row r="20" spans="1:14">
      <c r="A20" s="31"/>
      <c r="B20" s="20" t="s">
        <v>148</v>
      </c>
      <c r="C20" s="107">
        <v>12.03</v>
      </c>
      <c r="D20" s="72">
        <f>ROUND('PU Wise OWE'!$K$128/10000,2)</f>
        <v>8.98</v>
      </c>
      <c r="E20" s="68">
        <f t="shared" si="2"/>
        <v>2.1783849870946458E-3</v>
      </c>
      <c r="F20" s="21"/>
      <c r="G20" s="22">
        <f>ROUND('PU Wise OWE'!$K$126/10000,2)</f>
        <v>10.220000000000001</v>
      </c>
      <c r="H20" s="24">
        <f t="shared" si="3"/>
        <v>2.2814027725070879E-3</v>
      </c>
      <c r="I20" s="23">
        <f>ROUND('PU Wise OWE'!$K$129/10000,2)</f>
        <v>10.210000000000001</v>
      </c>
      <c r="J20" s="24">
        <f t="shared" si="4"/>
        <v>2.2831254444379847E-3</v>
      </c>
      <c r="K20" s="22">
        <f t="shared" si="0"/>
        <v>1.2300000000000004</v>
      </c>
      <c r="L20" s="54">
        <f t="shared" si="1"/>
        <v>0.13697104677060137</v>
      </c>
      <c r="M20" s="54">
        <f t="shared" si="5"/>
        <v>0.99902152641878672</v>
      </c>
    </row>
    <row r="21" spans="1:14">
      <c r="A21" s="31"/>
      <c r="B21" s="20" t="s">
        <v>149</v>
      </c>
      <c r="C21" s="107">
        <v>48.93</v>
      </c>
      <c r="D21" s="72">
        <f>ROUND('PU Wise OWE'!$L$128/10000,2)</f>
        <v>26.79</v>
      </c>
      <c r="E21" s="68">
        <f t="shared" si="2"/>
        <v>6.4987676842166546E-3</v>
      </c>
      <c r="F21" s="21"/>
      <c r="G21" s="22">
        <f>ROUND('PU Wise OWE'!$L$126/10000,2)</f>
        <v>43.09</v>
      </c>
      <c r="H21" s="24">
        <f t="shared" si="3"/>
        <v>9.6189476973904519E-3</v>
      </c>
      <c r="I21" s="23">
        <f>ROUND('PU Wise OWE'!$L$129/10000,2)</f>
        <v>43.02</v>
      </c>
      <c r="J21" s="24">
        <f t="shared" si="4"/>
        <v>9.6199859568777777E-3</v>
      </c>
      <c r="K21" s="22">
        <f t="shared" si="0"/>
        <v>16.230000000000004</v>
      </c>
      <c r="L21" s="54">
        <f t="shared" si="1"/>
        <v>0.60582306830907073</v>
      </c>
      <c r="M21" s="54">
        <f t="shared" si="5"/>
        <v>0.99837549315386398</v>
      </c>
      <c r="N21" s="71"/>
    </row>
    <row r="22" spans="1:14">
      <c r="A22" s="31"/>
      <c r="B22" s="20" t="s">
        <v>171</v>
      </c>
      <c r="C22" s="107">
        <v>120.4</v>
      </c>
      <c r="D22" s="72">
        <f>ROUND('PU Wise OWE'!$M$128/10000,2)</f>
        <v>66.510000000000005</v>
      </c>
      <c r="E22" s="68">
        <f t="shared" si="2"/>
        <v>1.6134118651633063E-2</v>
      </c>
      <c r="F22" s="21"/>
      <c r="G22" s="22">
        <f>ROUND('PU Wise OWE'!$M$126/10000,2)</f>
        <v>71.540000000000006</v>
      </c>
      <c r="H22" s="24">
        <f t="shared" si="3"/>
        <v>1.5969819407549615E-2</v>
      </c>
      <c r="I22" s="23">
        <f>ROUND('PU Wise OWE'!$M$129/10000,2)</f>
        <v>71.42</v>
      </c>
      <c r="J22" s="24">
        <f t="shared" si="4"/>
        <v>1.5970697281269427E-2</v>
      </c>
      <c r="K22" s="22">
        <f t="shared" si="0"/>
        <v>4.9099999999999966</v>
      </c>
      <c r="L22" s="54">
        <f t="shared" si="1"/>
        <v>7.3823485190196908E-2</v>
      </c>
      <c r="M22" s="54">
        <f t="shared" si="5"/>
        <v>0.99832261671792</v>
      </c>
      <c r="N22" s="71"/>
    </row>
    <row r="23" spans="1:14">
      <c r="A23" s="31"/>
      <c r="B23" s="58" t="s">
        <v>150</v>
      </c>
      <c r="C23" s="108">
        <v>88.73</v>
      </c>
      <c r="D23" s="72">
        <f>ROUND('PU Wise OWE'!$P$128/10000,2)</f>
        <v>49.82</v>
      </c>
      <c r="E23" s="68">
        <f t="shared" si="2"/>
        <v>1.2085427623280095E-2</v>
      </c>
      <c r="F23" s="21"/>
      <c r="G23" s="22">
        <f>ROUND('PU Wise OWE'!$P$126/10000,2)</f>
        <v>62.07</v>
      </c>
      <c r="H23" s="24">
        <f t="shared" si="3"/>
        <v>1.38558385606179E-2</v>
      </c>
      <c r="I23" s="23">
        <f>ROUND('PU Wise OWE'!$P$129/10000,2)</f>
        <v>61.97</v>
      </c>
      <c r="J23" s="24">
        <f t="shared" si="4"/>
        <v>1.3857520449737698E-2</v>
      </c>
      <c r="K23" s="22">
        <f t="shared" si="0"/>
        <v>12.149999999999999</v>
      </c>
      <c r="L23" s="54">
        <f t="shared" si="1"/>
        <v>0.24387796065837011</v>
      </c>
      <c r="M23" s="54">
        <f t="shared" si="5"/>
        <v>0.9983889157402932</v>
      </c>
    </row>
    <row r="24" spans="1:14">
      <c r="B24" s="58" t="s">
        <v>151</v>
      </c>
      <c r="C24" s="108">
        <v>81.78</v>
      </c>
      <c r="D24" s="72">
        <f>ROUND('PU Wise OWE'!$S$128/10000,2)</f>
        <v>42.47</v>
      </c>
      <c r="E24" s="68">
        <f t="shared" si="2"/>
        <v>1.0302451046983253E-2</v>
      </c>
      <c r="F24" s="21"/>
      <c r="G24" s="22">
        <f>ROUND('PU Wise OWE'!$S$126/10000,2)</f>
        <v>47.22</v>
      </c>
      <c r="H24" s="24">
        <f t="shared" si="3"/>
        <v>1.0540884434225507E-2</v>
      </c>
      <c r="I24" s="23">
        <f>ROUND('PU Wise OWE'!$S$129/10000,2)</f>
        <v>47.13</v>
      </c>
      <c r="J24" s="24">
        <f t="shared" si="4"/>
        <v>1.0539050166147132E-2</v>
      </c>
      <c r="K24" s="22">
        <f t="shared" si="0"/>
        <v>4.6600000000000037</v>
      </c>
      <c r="L24" s="54">
        <f t="shared" si="1"/>
        <v>0.10972451141982585</v>
      </c>
      <c r="M24" s="54">
        <f t="shared" si="5"/>
        <v>0.99809402795425672</v>
      </c>
      <c r="N24" s="71"/>
    </row>
    <row r="25" spans="1:14">
      <c r="B25" s="58" t="s">
        <v>152</v>
      </c>
      <c r="C25" s="108">
        <v>90.5</v>
      </c>
      <c r="D25" s="72">
        <f>ROUND('PU Wise OWE'!$T$128/10000,2)</f>
        <v>37.81</v>
      </c>
      <c r="E25" s="68">
        <f t="shared" si="2"/>
        <v>9.1720196394263435E-3</v>
      </c>
      <c r="F25" s="21"/>
      <c r="G25" s="22">
        <f>ROUND('PU Wise OWE'!$T$126/10000,2)</f>
        <v>53.14</v>
      </c>
      <c r="H25" s="24">
        <f t="shared" si="3"/>
        <v>1.1862401500100454E-2</v>
      </c>
      <c r="I25" s="23">
        <f>ROUND('PU Wise OWE'!$T$129/10000,2)</f>
        <v>53.04</v>
      </c>
      <c r="J25" s="24">
        <f t="shared" si="4"/>
        <v>1.1860624248089197E-2</v>
      </c>
      <c r="K25" s="22">
        <f t="shared" si="0"/>
        <v>15.229999999999997</v>
      </c>
      <c r="L25" s="54">
        <f t="shared" si="1"/>
        <v>0.40280349113990999</v>
      </c>
      <c r="M25" s="54">
        <f t="shared" si="5"/>
        <v>0.99811817839668793</v>
      </c>
    </row>
    <row r="26" spans="1:14">
      <c r="B26" s="58" t="s">
        <v>170</v>
      </c>
      <c r="C26" s="108">
        <v>41.07</v>
      </c>
      <c r="D26" s="72">
        <f>ROUND('PU Wise OWE'!$V$128/10000,2)</f>
        <v>11.18</v>
      </c>
      <c r="E26" s="68">
        <f t="shared" si="2"/>
        <v>2.7120650507481223E-3</v>
      </c>
      <c r="F26" s="22"/>
      <c r="G26" s="22">
        <f>ROUND('PU Wise OWE'!$V$126/10000,2)</f>
        <v>10.53</v>
      </c>
      <c r="H26" s="24">
        <f t="shared" si="3"/>
        <v>2.350603835078242E-3</v>
      </c>
      <c r="I26" s="23">
        <f>ROUND('PU Wise OWE'!$V$129/10000,2)</f>
        <v>10.09</v>
      </c>
      <c r="J26" s="24">
        <f t="shared" si="4"/>
        <v>2.2562914529264707E-3</v>
      </c>
      <c r="K26" s="22">
        <f t="shared" si="0"/>
        <v>-1.0899999999999999</v>
      </c>
      <c r="L26" s="54">
        <f t="shared" si="1"/>
        <v>-9.7495527728085854E-2</v>
      </c>
      <c r="M26" s="54">
        <f t="shared" si="5"/>
        <v>0.95821462488129161</v>
      </c>
      <c r="N26" s="71"/>
    </row>
    <row r="27" spans="1:14">
      <c r="B27" s="58" t="s">
        <v>169</v>
      </c>
      <c r="C27" s="108">
        <v>169.78</v>
      </c>
      <c r="D27" s="72">
        <f>ROUND('PU Wise OWE'!$AC$128/10000,2)</f>
        <v>28.39</v>
      </c>
      <c r="E27" s="68">
        <f t="shared" si="2"/>
        <v>6.8868986396010022E-3</v>
      </c>
      <c r="F27" s="22"/>
      <c r="G27" s="22">
        <f>ROUND('PU Wise OWE'!$AC$126/10000,2)</f>
        <v>21.1</v>
      </c>
      <c r="H27" s="24">
        <f t="shared" si="3"/>
        <v>4.7101368395205045E-3</v>
      </c>
      <c r="I27" s="23">
        <f>ROUND('PU Wise OWE'!$AC$129/10000,2)</f>
        <v>21.06</v>
      </c>
      <c r="J27" s="24">
        <f t="shared" si="4"/>
        <v>4.7093655102707103E-3</v>
      </c>
      <c r="K27" s="22">
        <f t="shared" si="0"/>
        <v>-7.3300000000000018</v>
      </c>
      <c r="L27" s="54">
        <f t="shared" si="1"/>
        <v>-0.25818950334624874</v>
      </c>
      <c r="M27" s="54">
        <f t="shared" si="5"/>
        <v>0.99810426540284347</v>
      </c>
    </row>
    <row r="28" spans="1:14">
      <c r="B28" s="25" t="s">
        <v>141</v>
      </c>
      <c r="C28" s="26">
        <f>SUM(C13:C27)</f>
        <v>4551.0499999999993</v>
      </c>
      <c r="D28" s="76">
        <f>SUM(D13:D27)</f>
        <v>2618.4699999999993</v>
      </c>
      <c r="E28" s="56">
        <f>SUM(E13:E27)</f>
        <v>0.63519328921578155</v>
      </c>
      <c r="F28" s="26"/>
      <c r="G28" s="26">
        <f>G5</f>
        <v>2937.7</v>
      </c>
      <c r="H28" s="56">
        <f>SUM(H13:H27)</f>
        <v>0.65243208250552487</v>
      </c>
      <c r="I28" s="26">
        <f>SUM(I13:I27)</f>
        <v>2917.75</v>
      </c>
      <c r="J28" s="56">
        <f t="shared" si="4"/>
        <v>0.65245732277266699</v>
      </c>
      <c r="K28" s="26">
        <f t="shared" si="0"/>
        <v>299.28000000000065</v>
      </c>
      <c r="L28" s="57">
        <f t="shared" si="1"/>
        <v>0.11429575286331359</v>
      </c>
    </row>
    <row r="29" spans="1:14">
      <c r="I29" s="70"/>
      <c r="J29" s="70"/>
    </row>
    <row r="31" spans="1:14">
      <c r="B31" s="77" t="s">
        <v>172</v>
      </c>
      <c r="C31" s="77"/>
      <c r="D31" s="78"/>
      <c r="E31" s="79"/>
      <c r="K31" t="s">
        <v>142</v>
      </c>
    </row>
    <row r="32" spans="1:14" ht="15" customHeight="1">
      <c r="B32" s="298"/>
      <c r="C32" s="295" t="s">
        <v>288</v>
      </c>
      <c r="D32" s="297" t="str">
        <f>'PU Wise OWE'!$B$7</f>
        <v>Actuals upto March-23</v>
      </c>
      <c r="E32" s="295" t="s">
        <v>165</v>
      </c>
      <c r="F32" s="295"/>
      <c r="G32" s="325" t="str">
        <f>'PU Wise OWE'!$B$5</f>
        <v xml:space="preserve">FG 2023-24 </v>
      </c>
      <c r="H32" s="295" t="s">
        <v>295</v>
      </c>
      <c r="I32" s="297" t="str">
        <f>'PU Wise OWE'!B8</f>
        <v>Actuals upto March-24</v>
      </c>
      <c r="J32" s="295" t="s">
        <v>197</v>
      </c>
      <c r="K32" s="294" t="s">
        <v>139</v>
      </c>
      <c r="L32" s="294"/>
      <c r="M32" s="298" t="s">
        <v>300</v>
      </c>
      <c r="N32" s="330" t="s">
        <v>200</v>
      </c>
    </row>
    <row r="33" spans="2:14" ht="17.25" customHeight="1">
      <c r="B33" s="298"/>
      <c r="C33" s="296"/>
      <c r="D33" s="296"/>
      <c r="E33" s="296"/>
      <c r="F33" s="296"/>
      <c r="G33" s="326"/>
      <c r="H33" s="296"/>
      <c r="I33" s="296"/>
      <c r="J33" s="296"/>
      <c r="K33" s="81" t="s">
        <v>137</v>
      </c>
      <c r="L33" s="82" t="s">
        <v>138</v>
      </c>
      <c r="M33" s="298"/>
      <c r="N33" s="330"/>
    </row>
    <row r="34" spans="2:14">
      <c r="B34" s="86" t="s">
        <v>173</v>
      </c>
      <c r="C34" s="109">
        <v>10.44</v>
      </c>
      <c r="D34" s="72">
        <f>ROUND(('PU Wise OWE'!$AE$128+'PU Wise OWE'!$AF$128)/10000,2)</f>
        <v>1.59</v>
      </c>
      <c r="E34" s="87">
        <f>D34/$D$7</f>
        <v>3.8570513691319456E-4</v>
      </c>
      <c r="F34" s="21"/>
      <c r="G34" s="22">
        <f>ROUND(('PU Wise OWE'!$AE$126+'PU Wise OWE'!$AF$126)/10000,2)</f>
        <v>2.14</v>
      </c>
      <c r="H34" s="24">
        <f>G34/$G$7</f>
        <v>4.7771056097506534E-4</v>
      </c>
      <c r="I34" s="23">
        <f>ROUND(('PU Wise OWE'!$AE$129+'PU Wise OWE'!$AF$129)/10000,2)</f>
        <v>2.14</v>
      </c>
      <c r="J34" s="24">
        <f>I34/$I$7</f>
        <v>4.7853951528866671E-4</v>
      </c>
      <c r="K34" s="22">
        <f>I34-D34</f>
        <v>0.55000000000000004</v>
      </c>
      <c r="L34" s="54">
        <f>K34/D34</f>
        <v>0.34591194968553463</v>
      </c>
      <c r="M34" s="54">
        <f>I34/G34</f>
        <v>1</v>
      </c>
      <c r="N34" s="331"/>
    </row>
    <row r="35" spans="2:14" ht="16.5" customHeight="1">
      <c r="B35" s="86" t="s">
        <v>174</v>
      </c>
      <c r="C35" s="109">
        <v>21.76</v>
      </c>
      <c r="D35" s="72">
        <f>ROUND('PU Wise OWE'!$AG$128/10000,2)</f>
        <v>4.21</v>
      </c>
      <c r="E35" s="87">
        <f>D35/$D$7</f>
        <v>1.0212695763550622E-3</v>
      </c>
      <c r="F35" s="21"/>
      <c r="G35" s="22">
        <f>ROUND('PU Wise OWE'!$AG$126/10000,2)</f>
        <v>4.68</v>
      </c>
      <c r="H35" s="24">
        <f>G35/$G$7</f>
        <v>1.0447128155903296E-3</v>
      </c>
      <c r="I35" s="23">
        <f>ROUND('PU Wise OWE'!$AG$129/10000,2)</f>
        <v>4.67</v>
      </c>
      <c r="J35" s="24">
        <f>I35/$I$7</f>
        <v>1.0442895029897539E-3</v>
      </c>
      <c r="K35" s="22">
        <f>I35-D35</f>
        <v>0.45999999999999996</v>
      </c>
      <c r="L35" s="54">
        <f>K35/D35</f>
        <v>0.10926365795724464</v>
      </c>
      <c r="M35" s="54">
        <f>I35/G35</f>
        <v>0.99786324786324787</v>
      </c>
      <c r="N35" s="331"/>
    </row>
    <row r="36" spans="2:14" ht="15.75" customHeight="1">
      <c r="B36" s="86" t="s">
        <v>175</v>
      </c>
      <c r="C36" s="109">
        <v>2.42</v>
      </c>
      <c r="D36" s="72">
        <f>ROUND('PU Wise OWE'!$AJ$128/10000,2)</f>
        <v>2.23</v>
      </c>
      <c r="E36" s="87">
        <f>D36/$D$7</f>
        <v>5.4095751906693321E-4</v>
      </c>
      <c r="F36" s="21"/>
      <c r="G36" s="22">
        <f>ROUND('PU Wise OWE'!$AJ$126/10000,2)</f>
        <v>1.73</v>
      </c>
      <c r="H36" s="24">
        <f>G36/$G$7</f>
        <v>3.8618657499386123E-4</v>
      </c>
      <c r="I36" s="23">
        <f>ROUND('PU Wise OWE'!$AJ$129/10000,2)</f>
        <v>1.73</v>
      </c>
      <c r="J36" s="24">
        <f>I36/$I$7</f>
        <v>3.8685671095766046E-4</v>
      </c>
      <c r="K36" s="22">
        <f>I36-D36</f>
        <v>-0.5</v>
      </c>
      <c r="L36" s="54">
        <f>K36/D36</f>
        <v>-0.22421524663677131</v>
      </c>
      <c r="M36" s="54">
        <f>I36/G36</f>
        <v>1</v>
      </c>
      <c r="N36" s="331"/>
    </row>
    <row r="37" spans="2:14">
      <c r="B37" s="25" t="s">
        <v>141</v>
      </c>
      <c r="C37" s="26">
        <v>34.619999999999997</v>
      </c>
      <c r="D37" s="76">
        <f>SUM(D34:D36)</f>
        <v>8.0299999999999994</v>
      </c>
      <c r="E37" s="88">
        <f>D37/$D$7</f>
        <v>1.9479322323351898E-3</v>
      </c>
      <c r="F37" s="26"/>
      <c r="G37" s="76">
        <f>SUM(G34:G36)</f>
        <v>8.5500000000000007</v>
      </c>
      <c r="H37" s="56">
        <f>G37/$G$7</f>
        <v>1.9086099515592564E-3</v>
      </c>
      <c r="I37" s="76">
        <f>SUM(I34:I36)</f>
        <v>8.5400000000000009</v>
      </c>
      <c r="J37" s="56">
        <f>I37/$I$7</f>
        <v>1.9096857292360814E-3</v>
      </c>
      <c r="K37" s="26">
        <f>I37-D37</f>
        <v>0.51000000000000156</v>
      </c>
      <c r="L37" s="57">
        <f>K37/D37</f>
        <v>6.3511830635118505E-2</v>
      </c>
      <c r="M37" s="54">
        <f>I37/G37</f>
        <v>0.99883040935672518</v>
      </c>
    </row>
    <row r="39" spans="2:14">
      <c r="B39" s="84"/>
      <c r="C39" s="84"/>
      <c r="D39" s="85"/>
      <c r="E39" s="84"/>
      <c r="K39" t="s">
        <v>142</v>
      </c>
    </row>
    <row r="40" spans="2:14" ht="15" customHeight="1">
      <c r="B40" s="298" t="s">
        <v>156</v>
      </c>
      <c r="C40" s="295" t="s">
        <v>288</v>
      </c>
      <c r="D40" s="297" t="str">
        <f>'PU Wise OWE'!$B$7</f>
        <v>Actuals upto March-23</v>
      </c>
      <c r="E40" s="295" t="s">
        <v>165</v>
      </c>
      <c r="F40" s="295"/>
      <c r="G40" s="325" t="str">
        <f>'PU Wise OWE'!$B$5</f>
        <v xml:space="preserve">FG 2023-24 </v>
      </c>
      <c r="H40" s="295" t="s">
        <v>287</v>
      </c>
      <c r="I40" s="297" t="str">
        <f>'PU Wise OWE'!B8</f>
        <v>Actuals upto March-24</v>
      </c>
      <c r="J40" s="295" t="s">
        <v>197</v>
      </c>
      <c r="K40" s="294" t="s">
        <v>139</v>
      </c>
      <c r="L40" s="294"/>
      <c r="M40" s="298" t="s">
        <v>300</v>
      </c>
      <c r="N40" s="330" t="s">
        <v>200</v>
      </c>
    </row>
    <row r="41" spans="2:14">
      <c r="B41" s="298"/>
      <c r="C41" s="296"/>
      <c r="D41" s="296"/>
      <c r="E41" s="296"/>
      <c r="F41" s="296"/>
      <c r="G41" s="326"/>
      <c r="H41" s="296"/>
      <c r="I41" s="296"/>
      <c r="J41" s="296"/>
      <c r="K41" s="81" t="s">
        <v>137</v>
      </c>
      <c r="L41" s="82" t="s">
        <v>138</v>
      </c>
      <c r="M41" s="298"/>
      <c r="N41" s="330"/>
    </row>
    <row r="42" spans="2:14">
      <c r="B42" s="27" t="s">
        <v>157</v>
      </c>
      <c r="C42" s="106">
        <v>273.47000000000003</v>
      </c>
      <c r="D42" s="72">
        <f>SUM(D43:D47)</f>
        <v>82.02000000000001</v>
      </c>
      <c r="E42" s="87">
        <f t="shared" ref="E42:E49" si="6">D42/$D$7</f>
        <v>1.9896563100390074E-2</v>
      </c>
      <c r="F42" s="99"/>
      <c r="G42" s="21">
        <f>SUM(G43:G47)</f>
        <v>42.91</v>
      </c>
      <c r="H42" s="24">
        <f t="shared" ref="H42:H49" si="7">G42/$G$7</f>
        <v>9.5787664352523609E-3</v>
      </c>
      <c r="I42" s="21">
        <f>SUM(I43:I47)</f>
        <v>42.83</v>
      </c>
      <c r="J42" s="24">
        <f t="shared" ref="J42:J49" si="8">I42/$I$7</f>
        <v>9.5774988036512118E-3</v>
      </c>
      <c r="K42" s="22">
        <f t="shared" ref="K42:K49" si="9">I42-D42</f>
        <v>-39.190000000000012</v>
      </c>
      <c r="L42" s="54">
        <f t="shared" ref="L42:L49" si="10">K42/D42</f>
        <v>-0.47781029017312859</v>
      </c>
      <c r="M42" s="54">
        <f t="shared" ref="M42:M49" si="11">I42/G42</f>
        <v>0.99813563271964578</v>
      </c>
    </row>
    <row r="43" spans="2:14">
      <c r="B43" s="59" t="s">
        <v>153</v>
      </c>
      <c r="C43" s="21">
        <v>19.690000000000001</v>
      </c>
      <c r="D43" s="72">
        <f>ROUND('PU Wise OWE'!$AK$84/10000,2)</f>
        <v>0.34</v>
      </c>
      <c r="E43" s="87">
        <f t="shared" si="6"/>
        <v>8.2477828019173683E-5</v>
      </c>
      <c r="F43" s="99"/>
      <c r="G43" s="21">
        <f>ROUND('PU Wise OWE'!$AK$82/10000,2)</f>
        <v>0.15</v>
      </c>
      <c r="H43" s="24">
        <f t="shared" si="7"/>
        <v>3.348438511507467E-5</v>
      </c>
      <c r="I43" s="21">
        <f>ROUND('PU Wise OWE'!$AK$85/10000,2)</f>
        <v>0.15</v>
      </c>
      <c r="J43" s="24">
        <f t="shared" si="8"/>
        <v>3.3542489389392528E-5</v>
      </c>
      <c r="K43" s="22">
        <f t="shared" si="9"/>
        <v>-0.19000000000000003</v>
      </c>
      <c r="L43" s="54">
        <f t="shared" si="10"/>
        <v>-0.55882352941176472</v>
      </c>
      <c r="M43" s="54">
        <f t="shared" si="11"/>
        <v>1</v>
      </c>
    </row>
    <row r="44" spans="2:14">
      <c r="B44" s="60" t="s">
        <v>160</v>
      </c>
      <c r="C44" s="110">
        <v>114.4</v>
      </c>
      <c r="D44" s="72">
        <f>ROUND('PU Wise OWE'!$AR$84/10000,2)</f>
        <v>-1.1399999999999999</v>
      </c>
      <c r="E44" s="87">
        <f t="shared" si="6"/>
        <v>-2.76543305711347E-4</v>
      </c>
      <c r="F44" s="99"/>
      <c r="G44" s="21">
        <f>ROUND('PU Wise OWE'!$AR$82/10000,2)</f>
        <v>1.35</v>
      </c>
      <c r="H44" s="24">
        <f t="shared" si="7"/>
        <v>3.0135946603567209E-4</v>
      </c>
      <c r="I44" s="21">
        <f>ROUND('PU Wise OWE'!$AR$85/10000,2)</f>
        <v>1.35</v>
      </c>
      <c r="J44" s="24">
        <f t="shared" si="8"/>
        <v>3.0188240450453274E-4</v>
      </c>
      <c r="K44" s="22">
        <f t="shared" si="9"/>
        <v>2.4900000000000002</v>
      </c>
      <c r="L44" s="54">
        <f t="shared" si="10"/>
        <v>-2.1842105263157898</v>
      </c>
      <c r="M44" s="54">
        <f t="shared" si="11"/>
        <v>1</v>
      </c>
    </row>
    <row r="45" spans="2:14">
      <c r="B45" s="60" t="s">
        <v>161</v>
      </c>
      <c r="C45" s="110">
        <v>46.69</v>
      </c>
      <c r="D45" s="72">
        <f>ROUND('PU Wise OWE'!$AU$84/10000,2)</f>
        <v>-3.05</v>
      </c>
      <c r="E45" s="87">
        <f t="shared" si="6"/>
        <v>-7.3987463370141086E-4</v>
      </c>
      <c r="F45" s="99"/>
      <c r="G45" s="21">
        <f>ROUND('PU Wise OWE'!$AU$82/10000,2)</f>
        <v>0.87</v>
      </c>
      <c r="H45" s="24">
        <f t="shared" si="7"/>
        <v>1.9420943366743308E-4</v>
      </c>
      <c r="I45" s="21">
        <f>ROUND('PU Wise OWE'!$AU$85/10000,2)</f>
        <v>0.87</v>
      </c>
      <c r="J45" s="24">
        <f t="shared" si="8"/>
        <v>1.9454643845847664E-4</v>
      </c>
      <c r="K45" s="22">
        <f t="shared" si="9"/>
        <v>3.92</v>
      </c>
      <c r="L45" s="54">
        <f t="shared" si="10"/>
        <v>-1.2852459016393443</v>
      </c>
      <c r="M45" s="54">
        <f t="shared" si="11"/>
        <v>1</v>
      </c>
    </row>
    <row r="46" spans="2:14">
      <c r="B46" s="59" t="s">
        <v>158</v>
      </c>
      <c r="C46" s="21">
        <v>54.55</v>
      </c>
      <c r="D46" s="72">
        <f>ROUND('PU Wise OWE'!$AZ$84/10000,2)</f>
        <v>0</v>
      </c>
      <c r="E46" s="87">
        <f t="shared" si="6"/>
        <v>0</v>
      </c>
      <c r="F46" s="99"/>
      <c r="G46" s="21">
        <f>ROUND('PU Wise OWE'!$AZ$82/10000,2)</f>
        <v>0</v>
      </c>
      <c r="H46" s="24">
        <f t="shared" si="7"/>
        <v>0</v>
      </c>
      <c r="I46" s="21">
        <f>ROUND('PU Wise OWE'!$AZ$85/10000,2)</f>
        <v>0</v>
      </c>
      <c r="J46" s="24">
        <f t="shared" si="8"/>
        <v>0</v>
      </c>
      <c r="K46" s="22">
        <f t="shared" si="9"/>
        <v>0</v>
      </c>
      <c r="L46" s="54" t="e">
        <f t="shared" si="10"/>
        <v>#DIV/0!</v>
      </c>
      <c r="M46" s="54" t="e">
        <f t="shared" si="11"/>
        <v>#DIV/0!</v>
      </c>
    </row>
    <row r="47" spans="2:14">
      <c r="B47" s="60" t="s">
        <v>159</v>
      </c>
      <c r="C47" s="110">
        <v>38.14</v>
      </c>
      <c r="D47" s="72">
        <f>ROUND('PU Wise OWE'!$BA$84/10000,2)</f>
        <v>85.87</v>
      </c>
      <c r="E47" s="87">
        <f t="shared" si="6"/>
        <v>2.0830503211783657E-2</v>
      </c>
      <c r="F47" s="99"/>
      <c r="G47" s="21">
        <f>ROUND('PU Wise OWE'!$BA$82/10000,2)</f>
        <v>40.54</v>
      </c>
      <c r="H47" s="24">
        <f t="shared" si="7"/>
        <v>9.0497131504341816E-3</v>
      </c>
      <c r="I47" s="21">
        <f>ROUND('PU Wise OWE'!$BA$85/10000,2)</f>
        <v>40.46</v>
      </c>
      <c r="J47" s="24">
        <f t="shared" si="8"/>
        <v>9.0475274712988104E-3</v>
      </c>
      <c r="K47" s="22">
        <f t="shared" si="9"/>
        <v>-45.410000000000004</v>
      </c>
      <c r="L47" s="54">
        <f t="shared" si="10"/>
        <v>-0.52882263887271463</v>
      </c>
      <c r="M47" s="54">
        <f t="shared" si="11"/>
        <v>0.99802664035520483</v>
      </c>
    </row>
    <row r="48" spans="2:14">
      <c r="B48" s="61" t="s">
        <v>162</v>
      </c>
      <c r="C48" s="105">
        <v>663.48</v>
      </c>
      <c r="D48" s="72">
        <f>ROUND('PU Wise OWE'!$AM$84/10000,2)-ROUND('PU Wise OWE'!$BJ$84/10000,2)</f>
        <v>857.5</v>
      </c>
      <c r="E48" s="87">
        <f t="shared" si="6"/>
        <v>0.20801393390129833</v>
      </c>
      <c r="F48" s="99"/>
      <c r="G48" s="21">
        <f>ROUND('PU Wise OWE'!$AM$82/10000,2)-ROUND('PU Wise OWE'!$BJ$82/10000,2)</f>
        <v>956.67</v>
      </c>
      <c r="H48" s="24">
        <f t="shared" si="7"/>
        <v>0.21355671138692323</v>
      </c>
      <c r="I48" s="21">
        <f>ROUND('PU Wise OWE'!$AM$85/10000,2)-ROUND('PU Wise OWE'!$BJ$85/10000,2)</f>
        <v>954.9</v>
      </c>
      <c r="J48" s="24">
        <f t="shared" si="8"/>
        <v>0.21353148745287281</v>
      </c>
      <c r="K48" s="22">
        <f t="shared" si="9"/>
        <v>97.399999999999977</v>
      </c>
      <c r="L48" s="54">
        <f t="shared" si="10"/>
        <v>0.11358600583090377</v>
      </c>
      <c r="M48" s="54">
        <f t="shared" si="11"/>
        <v>0.99814983223054976</v>
      </c>
    </row>
    <row r="49" spans="2:14" s="36" customFormat="1">
      <c r="B49" s="62" t="s">
        <v>122</v>
      </c>
      <c r="C49" s="76">
        <f>C42+C48</f>
        <v>936.95</v>
      </c>
      <c r="D49" s="76">
        <f>D42+D48</f>
        <v>939.52</v>
      </c>
      <c r="E49" s="88">
        <f t="shared" si="6"/>
        <v>0.22791049700168839</v>
      </c>
      <c r="F49" s="100"/>
      <c r="G49" s="26">
        <f>G42+G48</f>
        <v>999.57999999999993</v>
      </c>
      <c r="H49" s="56">
        <f t="shared" si="7"/>
        <v>0.22313547782217558</v>
      </c>
      <c r="I49" s="26">
        <f>I42+I48</f>
        <v>997.73</v>
      </c>
      <c r="J49" s="56">
        <f t="shared" si="8"/>
        <v>0.22310898625652403</v>
      </c>
      <c r="K49" s="26">
        <f t="shared" si="9"/>
        <v>58.210000000000036</v>
      </c>
      <c r="L49" s="57">
        <f t="shared" si="10"/>
        <v>6.1957169618528651E-2</v>
      </c>
      <c r="M49" s="54">
        <f t="shared" si="11"/>
        <v>0.99814922267352302</v>
      </c>
    </row>
    <row r="51" spans="2:14">
      <c r="B51" s="77" t="s">
        <v>176</v>
      </c>
      <c r="C51" s="77"/>
    </row>
    <row r="52" spans="2:14" ht="48" customHeight="1">
      <c r="B52" s="83" t="s">
        <v>177</v>
      </c>
      <c r="C52" s="111">
        <v>188.88</v>
      </c>
      <c r="D52" s="72">
        <f>ROUND('PU Wise OWE'!$AK$128/10000,2)-D43</f>
        <v>119.78999999999999</v>
      </c>
      <c r="E52" s="87">
        <f>D52/$D$7</f>
        <v>2.9058879465931806E-2</v>
      </c>
      <c r="F52" s="313"/>
      <c r="G52" s="22">
        <f>ROUND('PU Wise OWE'!$AK$126/10000,2)-G43</f>
        <v>112.61999999999999</v>
      </c>
      <c r="H52" s="24">
        <f>G52/$G$7</f>
        <v>2.5140076344398063E-2</v>
      </c>
      <c r="I52" s="22">
        <f>ROUND('PU Wise OWE'!$AK$129/10000,2)-I43</f>
        <v>112.41</v>
      </c>
      <c r="J52" s="24">
        <f>I52/$I$7</f>
        <v>2.5136741548410758E-2</v>
      </c>
      <c r="K52" s="22">
        <f>I52-D52</f>
        <v>-7.3799999999999955</v>
      </c>
      <c r="L52" s="54">
        <f>K52/D52</f>
        <v>-6.160781367392934E-2</v>
      </c>
      <c r="M52" s="54">
        <f>I52/G52</f>
        <v>0.99813532232285562</v>
      </c>
    </row>
    <row r="53" spans="2:14">
      <c r="B53" s="20" t="s">
        <v>154</v>
      </c>
      <c r="C53" s="107">
        <v>121.46</v>
      </c>
      <c r="D53" s="72">
        <f>ROUND('PU Wise OWE'!$AL$128/10000,2)</f>
        <v>46.29</v>
      </c>
      <c r="E53" s="87">
        <f>D53/$D$7</f>
        <v>1.1229113702963381E-2</v>
      </c>
      <c r="F53" s="314"/>
      <c r="G53" s="22">
        <f>ROUND('PU Wise OWE'!$AL$126/10000,2)</f>
        <v>65.930000000000007</v>
      </c>
      <c r="H53" s="24">
        <f>G53/$G$7</f>
        <v>1.4717503404245822E-2</v>
      </c>
      <c r="I53" s="23">
        <f>ROUND('PU Wise OWE'!$AL$129/10000,2)</f>
        <v>65.81</v>
      </c>
      <c r="J53" s="24">
        <f>I53/$I$7</f>
        <v>1.4716208178106148E-2</v>
      </c>
      <c r="K53" s="22">
        <f>I53-D53</f>
        <v>19.520000000000003</v>
      </c>
      <c r="L53" s="54">
        <f>K53/D53</f>
        <v>0.4216893497515663</v>
      </c>
      <c r="M53" s="54">
        <f>I53/G53</f>
        <v>0.99817988775974509</v>
      </c>
    </row>
    <row r="54" spans="2:14" s="36" customFormat="1">
      <c r="B54" s="25" t="s">
        <v>122</v>
      </c>
      <c r="C54" s="26">
        <f>C52+C53</f>
        <v>310.33999999999997</v>
      </c>
      <c r="D54" s="76">
        <f>SUM(D52:D53)</f>
        <v>166.07999999999998</v>
      </c>
      <c r="E54" s="88">
        <f>D54/$D$7</f>
        <v>4.0287993168895184E-2</v>
      </c>
      <c r="F54" s="315"/>
      <c r="G54" s="76">
        <f>SUM(G52:G53)</f>
        <v>178.55</v>
      </c>
      <c r="H54" s="56">
        <f>G54/$G$7</f>
        <v>3.9857579748643887E-2</v>
      </c>
      <c r="I54" s="76">
        <f>SUM(I52:I53)</f>
        <v>178.22</v>
      </c>
      <c r="J54" s="56">
        <f>I54/$I$7</f>
        <v>3.9852949726516908E-2</v>
      </c>
      <c r="K54" s="26">
        <f>I54-D54</f>
        <v>12.140000000000015</v>
      </c>
      <c r="L54" s="104">
        <f>K54/D54</f>
        <v>7.3097302504817052E-2</v>
      </c>
      <c r="M54" s="54">
        <f>I54/G54</f>
        <v>0.99815177821338552</v>
      </c>
    </row>
    <row r="56" spans="2:14" s="36" customFormat="1">
      <c r="B56" s="80" t="s">
        <v>155</v>
      </c>
      <c r="C56" s="112">
        <v>348.19</v>
      </c>
      <c r="D56" s="73">
        <f>ROUND('PU Wise OWE'!$AO$128/10000,2)</f>
        <v>201.74</v>
      </c>
      <c r="E56" s="88">
        <f>D56/$D$7</f>
        <v>4.8938461837023821E-2</v>
      </c>
      <c r="F56" s="55"/>
      <c r="G56" s="26">
        <f>ROUND('PU Wise OWE'!$AO$126/10000,2)</f>
        <v>224.78</v>
      </c>
      <c r="H56" s="56">
        <f>G56/$G$7</f>
        <v>5.0177467241109899E-2</v>
      </c>
      <c r="I56" s="25">
        <f>ROUND('PU Wise OWE'!$AO$129/10000,2)</f>
        <v>224.16</v>
      </c>
      <c r="J56" s="56">
        <f>I56/$I$7</f>
        <v>5.0125896143508188E-2</v>
      </c>
      <c r="K56" s="26">
        <f>I56-D56</f>
        <v>22.419999999999987</v>
      </c>
      <c r="L56" s="57">
        <f>K56/D56</f>
        <v>0.11113314166749275</v>
      </c>
      <c r="M56" s="54">
        <f>I56/G56</f>
        <v>0.99724174748643113</v>
      </c>
      <c r="N56" s="120"/>
    </row>
    <row r="57" spans="2:14" s="36" customFormat="1">
      <c r="B57" s="118"/>
      <c r="C57" s="119"/>
      <c r="D57" s="115"/>
      <c r="E57" s="116"/>
      <c r="F57" s="117"/>
      <c r="G57" s="93"/>
      <c r="H57" s="92"/>
      <c r="I57" s="90"/>
      <c r="J57" s="92"/>
      <c r="K57" s="26"/>
      <c r="L57" s="57"/>
      <c r="M57" s="102"/>
    </row>
    <row r="58" spans="2:14">
      <c r="C58" s="295" t="s">
        <v>288</v>
      </c>
      <c r="D58" s="297" t="str">
        <f>'PU Wise OWE'!$B$7</f>
        <v>Actuals upto March-23</v>
      </c>
      <c r="E58" s="295" t="s">
        <v>165</v>
      </c>
      <c r="F58" s="295"/>
      <c r="G58" s="325" t="str">
        <f>'PU Wise OWE'!$B$5</f>
        <v xml:space="preserve">FG 2023-24 </v>
      </c>
      <c r="H58" s="295" t="s">
        <v>287</v>
      </c>
      <c r="I58" s="297" t="str">
        <f>'PU Wise OWE'!B8</f>
        <v>Actuals upto March-24</v>
      </c>
      <c r="J58" s="295" t="s">
        <v>197</v>
      </c>
      <c r="K58" s="294" t="s">
        <v>139</v>
      </c>
      <c r="L58" s="294"/>
      <c r="M58" s="298" t="s">
        <v>300</v>
      </c>
      <c r="N58" s="330" t="s">
        <v>200</v>
      </c>
    </row>
    <row r="59" spans="2:14">
      <c r="B59" s="77" t="s">
        <v>178</v>
      </c>
      <c r="C59" s="296"/>
      <c r="D59" s="296"/>
      <c r="E59" s="296"/>
      <c r="F59" s="296"/>
      <c r="G59" s="326"/>
      <c r="H59" s="296"/>
      <c r="I59" s="296"/>
      <c r="J59" s="296"/>
      <c r="K59" s="81" t="s">
        <v>137</v>
      </c>
      <c r="L59" s="82" t="s">
        <v>138</v>
      </c>
      <c r="M59" s="298"/>
      <c r="N59" s="330"/>
    </row>
    <row r="60" spans="2:14">
      <c r="B60" s="23" t="s">
        <v>179</v>
      </c>
      <c r="C60" s="22">
        <v>80.099999999999994</v>
      </c>
      <c r="D60" s="72">
        <f>ROUND('PU Wise OWE'!$AM$62/10000,2)</f>
        <v>57.33</v>
      </c>
      <c r="E60" s="87">
        <f>D60/$D$7</f>
        <v>1.3907217295115373E-2</v>
      </c>
      <c r="F60" s="310"/>
      <c r="G60" s="22">
        <f>ROUND('PU Wise OWE'!$AM$60/10000,2)</f>
        <v>43.83</v>
      </c>
      <c r="H60" s="24" t="b">
        <f>H58=G60/$G$7</f>
        <v>0</v>
      </c>
      <c r="I60" s="23">
        <f>ROUND('PU Wise OWE'!$AM$63/10000,2)</f>
        <v>43.75</v>
      </c>
      <c r="J60" s="96">
        <f>I60/$I$7</f>
        <v>9.7832260719061537E-3</v>
      </c>
      <c r="K60" s="22">
        <f>I60-D60</f>
        <v>-13.579999999999998</v>
      </c>
      <c r="L60" s="54">
        <f>K60/D60</f>
        <v>-0.23687423687423687</v>
      </c>
      <c r="M60" s="54">
        <f>I60/G60</f>
        <v>0.99817476614191192</v>
      </c>
      <c r="N60" s="71"/>
    </row>
    <row r="61" spans="2:14">
      <c r="B61" s="23" t="s">
        <v>180</v>
      </c>
      <c r="C61" s="22">
        <v>21.26</v>
      </c>
      <c r="D61" s="72">
        <f>ROUND('PU Wise OWE'!$AM$95/10000,2)</f>
        <v>5.13</v>
      </c>
      <c r="E61" s="87">
        <f>D61/$D$7</f>
        <v>1.2444448757010615E-3</v>
      </c>
      <c r="F61" s="311"/>
      <c r="G61" s="22">
        <f>ROUND('PU Wise OWE'!$AM$93/10000,2)</f>
        <v>11.46</v>
      </c>
      <c r="H61" s="24">
        <f>G61/$G$7</f>
        <v>2.558207022791705E-3</v>
      </c>
      <c r="I61" s="23">
        <f>ROUND('PU Wise OWE'!$AM$96/10000,2)</f>
        <v>11.44</v>
      </c>
      <c r="J61" s="96">
        <f>I61/$I$7</f>
        <v>2.5581738574310033E-3</v>
      </c>
      <c r="K61" s="22">
        <f>I61-D61</f>
        <v>6.31</v>
      </c>
      <c r="L61" s="54">
        <f>K61/D61</f>
        <v>1.2300194931773878</v>
      </c>
      <c r="M61" s="54">
        <f>I61/G61</f>
        <v>0.99825479930191963</v>
      </c>
    </row>
    <row r="62" spans="2:14">
      <c r="B62" s="23" t="s">
        <v>181</v>
      </c>
      <c r="C62" s="22">
        <v>9.89</v>
      </c>
      <c r="D62" s="72">
        <f>ROUND('PU Wise OWE'!$AN$18/10000,2)</f>
        <v>13.24</v>
      </c>
      <c r="E62" s="87">
        <f>D62/$D$7</f>
        <v>3.2117836558054691E-3</v>
      </c>
      <c r="F62" s="311"/>
      <c r="G62" s="22">
        <f>ROUND('PU Wise OWE'!$AN$16/10000,2)</f>
        <v>15.07</v>
      </c>
      <c r="H62" s="24">
        <f>G62/$G$7</f>
        <v>3.3640645578945022E-3</v>
      </c>
      <c r="I62" s="23">
        <f>ROUND('PU Wise OWE'!$AN$19/10000,2)</f>
        <v>15.04</v>
      </c>
      <c r="J62" s="96">
        <f>I62/$I$7</f>
        <v>3.3631936027764238E-3</v>
      </c>
      <c r="K62" s="22">
        <f>I62-D62</f>
        <v>1.7999999999999989</v>
      </c>
      <c r="L62" s="54">
        <f>K62/D62</f>
        <v>0.13595166163141986</v>
      </c>
      <c r="M62" s="54">
        <f>I62/G62</f>
        <v>0.99800928998009286</v>
      </c>
      <c r="N62" s="71"/>
    </row>
    <row r="63" spans="2:14">
      <c r="B63" s="23" t="s">
        <v>182</v>
      </c>
      <c r="C63" s="22">
        <v>1.64</v>
      </c>
      <c r="D63" s="72">
        <f>ROUND('PU Wise OWE'!$AN$62/10000,2)</f>
        <v>8.49</v>
      </c>
      <c r="E63" s="87">
        <f>D63/$D$7</f>
        <v>2.0595198820081897E-3</v>
      </c>
      <c r="F63" s="311"/>
      <c r="G63" s="22">
        <f>ROUND('PU Wise OWE'!$AN$60/10000,2)</f>
        <v>16.54</v>
      </c>
      <c r="H63" s="24">
        <f>G63/$G$7</f>
        <v>3.6922115320222335E-3</v>
      </c>
      <c r="I63" s="23">
        <f>ROUND('PU Wise OWE'!$AN$63/10000,2)</f>
        <v>16.510000000000002</v>
      </c>
      <c r="J63" s="96">
        <f>I63/$I$7</f>
        <v>3.6919099987924712E-3</v>
      </c>
      <c r="K63" s="22">
        <f>I63-D63</f>
        <v>8.0200000000000014</v>
      </c>
      <c r="L63" s="54">
        <f>K63/D63</f>
        <v>0.94464075382803314</v>
      </c>
      <c r="M63" s="54">
        <f>I63/G63</f>
        <v>0.99818621523579221</v>
      </c>
    </row>
    <row r="64" spans="2:14" s="36" customFormat="1">
      <c r="B64" s="25" t="s">
        <v>122</v>
      </c>
      <c r="C64" s="26">
        <f>C60+C61+C62+C63</f>
        <v>112.89</v>
      </c>
      <c r="D64" s="76">
        <f>SUM(D60:D63)</f>
        <v>84.19</v>
      </c>
      <c r="E64" s="88">
        <f>D64/$D$7</f>
        <v>2.0422965708630093E-2</v>
      </c>
      <c r="F64" s="312"/>
      <c r="G64" s="26">
        <f>SUM(G60:G63)</f>
        <v>86.9</v>
      </c>
      <c r="H64" s="56">
        <f>G64/$G$7</f>
        <v>1.9398620443333261E-2</v>
      </c>
      <c r="I64" s="26">
        <f>SUM(I60:I63)</f>
        <v>86.74</v>
      </c>
      <c r="J64" s="56">
        <f>I64/$I$7</f>
        <v>1.9396503530906051E-2</v>
      </c>
      <c r="K64" s="26">
        <f>I64-D64</f>
        <v>2.5499999999999972</v>
      </c>
      <c r="L64" s="57">
        <f>K64/D64</f>
        <v>3.0288632854258191E-2</v>
      </c>
      <c r="M64" s="54">
        <f>I64/G64</f>
        <v>0.99815880322209427</v>
      </c>
    </row>
    <row r="66" spans="2:13">
      <c r="B66" s="77" t="s">
        <v>183</v>
      </c>
      <c r="C66" s="77"/>
    </row>
    <row r="67" spans="2:13">
      <c r="B67" s="23" t="s">
        <v>184</v>
      </c>
      <c r="C67" s="22">
        <v>1117.51</v>
      </c>
      <c r="D67" s="72">
        <f>ROUND('PU Wise OWE'!$AP$73/10000,2)</f>
        <v>0</v>
      </c>
      <c r="E67" s="87">
        <f>D67/$D$7</f>
        <v>0</v>
      </c>
      <c r="F67" s="23"/>
      <c r="G67" s="22">
        <f>ROUND('PU Wise OWE'!$AP$71/10000,2)</f>
        <v>0</v>
      </c>
      <c r="H67" s="24">
        <f>G67/$G$7</f>
        <v>0</v>
      </c>
      <c r="I67" s="23">
        <f>ROUND('PU Wise OWE'!$AP$74/10000,2)</f>
        <v>0</v>
      </c>
      <c r="J67" s="96">
        <f>I67/$I$7</f>
        <v>0</v>
      </c>
      <c r="K67" s="22">
        <f>I67-D67</f>
        <v>0</v>
      </c>
      <c r="L67" s="54" t="e">
        <f>K67/D67</f>
        <v>#DIV/0!</v>
      </c>
      <c r="M67" s="54" t="e">
        <f>I67/G67</f>
        <v>#DIV/0!</v>
      </c>
    </row>
    <row r="68" spans="2:13">
      <c r="B68" s="89" t="s">
        <v>185</v>
      </c>
      <c r="C68" s="113">
        <v>38.520000000000003</v>
      </c>
      <c r="D68" s="72">
        <f>ROUND('PU Wise OWE'!$AP$128/10000,2)-D67</f>
        <v>-72.38</v>
      </c>
      <c r="E68" s="87">
        <f>D68/$D$7</f>
        <v>-1.7558074094199384E-2</v>
      </c>
      <c r="F68" s="23"/>
      <c r="G68" s="22">
        <f>ROUND('PU Wise OWE'!$AP$126/10000,2)-G67</f>
        <v>-67.87</v>
      </c>
      <c r="H68" s="24">
        <f>G68/$G$7</f>
        <v>-1.5150568118400787E-2</v>
      </c>
      <c r="I68" s="23">
        <f>ROUND('PU Wise OWE'!$AP$129/10000,2)-I67</f>
        <v>-67.75</v>
      </c>
      <c r="J68" s="96">
        <f>I68/$I$7</f>
        <v>-1.5150024374208957E-2</v>
      </c>
      <c r="K68" s="22">
        <f>I68-D68</f>
        <v>4.6299999999999955</v>
      </c>
      <c r="L68" s="54">
        <f>K68/D68</f>
        <v>-6.3967946946670295E-2</v>
      </c>
      <c r="M68" s="54">
        <f>I68/G68</f>
        <v>0.9982319139531457</v>
      </c>
    </row>
    <row r="69" spans="2:13" s="36" customFormat="1">
      <c r="B69" s="25" t="s">
        <v>122</v>
      </c>
      <c r="C69" s="26">
        <f>C67+C68</f>
        <v>1156.03</v>
      </c>
      <c r="D69" s="76">
        <f>SUM(D67:D68)</f>
        <v>-72.38</v>
      </c>
      <c r="E69" s="88">
        <f>D69/$D$7</f>
        <v>-1.7558074094199384E-2</v>
      </c>
      <c r="F69" s="90"/>
      <c r="G69" s="91">
        <f>SUM(G67:G68)</f>
        <v>-67.87</v>
      </c>
      <c r="H69" s="92">
        <f>G69/$G$7</f>
        <v>-1.5150568118400787E-2</v>
      </c>
      <c r="I69" s="91">
        <f>SUM(I67:I68)</f>
        <v>-67.75</v>
      </c>
      <c r="J69" s="56">
        <f>I69/$I$7</f>
        <v>-1.5150024374208957E-2</v>
      </c>
      <c r="K69" s="93">
        <f>I69-D69</f>
        <v>4.6299999999999955</v>
      </c>
      <c r="L69" s="103">
        <f>K69/D69</f>
        <v>-6.3967946946670295E-2</v>
      </c>
    </row>
    <row r="70" spans="2:13">
      <c r="F70" s="31"/>
      <c r="G70" s="34"/>
      <c r="H70" s="34"/>
      <c r="I70" s="31"/>
      <c r="J70" s="31"/>
      <c r="K70" s="34"/>
      <c r="L70" s="94"/>
    </row>
    <row r="71" spans="2:13">
      <c r="B71" s="77" t="s">
        <v>187</v>
      </c>
      <c r="C71" s="77"/>
      <c r="F71" s="31"/>
      <c r="G71" s="34"/>
      <c r="H71" s="34"/>
      <c r="I71" s="31"/>
      <c r="J71" s="31"/>
      <c r="K71" s="34"/>
      <c r="L71" s="94"/>
    </row>
    <row r="72" spans="2:13">
      <c r="B72" s="23" t="s">
        <v>186</v>
      </c>
      <c r="C72" s="22">
        <v>12.31</v>
      </c>
      <c r="D72" s="72">
        <f>ROUND('PU Wise OWE'!$AQ$29/10000,2)+ROUND('PU Wise OWE'!$BB$29/10000,2)</f>
        <v>-11.94</v>
      </c>
      <c r="E72" s="87">
        <f>D72/$D$7</f>
        <v>-2.8964272545556873E-3</v>
      </c>
      <c r="F72" s="23"/>
      <c r="G72" s="72">
        <f>ROUND('PU Wise OWE'!$AQ$27/10000,2)+ROUND('PU Wise OWE'!$BB$27/10000,2)</f>
        <v>-15.13</v>
      </c>
      <c r="H72" s="24">
        <f>G72/$G$7</f>
        <v>-3.3774583119405318E-3</v>
      </c>
      <c r="I72" s="72">
        <f>ROUND('PU Wise OWE'!$AQ$30/10000,2)+ROUND('PU Wise OWE'!$BB$30/10000,2)</f>
        <v>-15.1</v>
      </c>
      <c r="J72" s="96">
        <f>I72/$I$7</f>
        <v>-3.3766105985321808E-3</v>
      </c>
      <c r="K72" s="22">
        <f>I72-D72</f>
        <v>-3.16</v>
      </c>
      <c r="L72" s="54">
        <f>K72/D72</f>
        <v>0.26465661641541038</v>
      </c>
      <c r="M72" s="54">
        <f>I72/G72</f>
        <v>0.9980171844018505</v>
      </c>
    </row>
    <row r="73" spans="2:13">
      <c r="B73" s="23" t="s">
        <v>188</v>
      </c>
      <c r="C73" s="22">
        <v>114.52</v>
      </c>
      <c r="D73" s="72">
        <f>ROUND('PU Wise OWE'!$AQ$40/10000,2)+ROUND('PU Wise OWE'!$BB$40/10000,2)</f>
        <v>54.86</v>
      </c>
      <c r="E73" s="87">
        <f>D73/$D$7</f>
        <v>1.3308040132740787E-2</v>
      </c>
      <c r="F73" s="23"/>
      <c r="G73" s="72">
        <f>ROUND('PU Wise OWE'!$AQ$38/10000,2)+ROUND('PU Wise OWE'!$BB$38/10000,2)</f>
        <v>44.9</v>
      </c>
      <c r="H73" s="24">
        <f>G73/$G$7</f>
        <v>1.0022992611112351E-2</v>
      </c>
      <c r="I73" s="72">
        <f>ROUND('PU Wise OWE'!$AQ$41/10000,2)+ROUND('PU Wise OWE'!$BB$41/10000,2)</f>
        <v>45.230000000000004</v>
      </c>
      <c r="J73" s="96">
        <f>I73/$I$7</f>
        <v>1.0114178633881494E-2</v>
      </c>
      <c r="K73" s="22">
        <f>I73-D73</f>
        <v>-9.6299999999999955</v>
      </c>
      <c r="L73" s="54">
        <f>K73/D73</f>
        <v>-0.17553773240977025</v>
      </c>
      <c r="M73" s="54">
        <f>I73/G73</f>
        <v>1.0073496659242762</v>
      </c>
    </row>
    <row r="74" spans="2:13" s="36" customFormat="1">
      <c r="B74" s="25" t="s">
        <v>122</v>
      </c>
      <c r="C74" s="26">
        <f>C72+C73</f>
        <v>126.83</v>
      </c>
      <c r="D74" s="76">
        <f>SUM(D72:D73)</f>
        <v>42.92</v>
      </c>
      <c r="E74" s="88">
        <f>D74/$D$7</f>
        <v>1.04116128781851E-2</v>
      </c>
      <c r="F74" s="25"/>
      <c r="G74" s="76">
        <f>SUM(G72:G73)</f>
        <v>29.769999999999996</v>
      </c>
      <c r="H74" s="56">
        <f>G74/$G$7</f>
        <v>6.6455342991718191E-3</v>
      </c>
      <c r="I74" s="76">
        <f>SUM(I72:I73)</f>
        <v>30.130000000000003</v>
      </c>
      <c r="J74" s="56">
        <f>I74/$I$7</f>
        <v>6.7375680353493131E-3</v>
      </c>
      <c r="K74" s="26">
        <f>I74-D74</f>
        <v>-12.79</v>
      </c>
      <c r="L74" s="57">
        <f>K74/D74</f>
        <v>-0.29799627213420316</v>
      </c>
    </row>
    <row r="75" spans="2:13">
      <c r="E75" s="31"/>
      <c r="F75" s="31"/>
      <c r="G75" s="34"/>
      <c r="H75" s="34"/>
      <c r="I75" s="31"/>
      <c r="J75" s="31"/>
      <c r="K75" s="34"/>
      <c r="L75" s="94"/>
    </row>
    <row r="76" spans="2:13">
      <c r="B76" s="77" t="s">
        <v>189</v>
      </c>
      <c r="C76" s="77"/>
      <c r="E76" s="31"/>
      <c r="F76" s="31"/>
      <c r="G76" s="34"/>
      <c r="H76" s="34"/>
      <c r="I76" s="31"/>
      <c r="J76" s="31"/>
      <c r="K76" s="34"/>
      <c r="L76" s="94"/>
    </row>
    <row r="77" spans="2:13">
      <c r="B77" s="23" t="s">
        <v>191</v>
      </c>
      <c r="C77" s="22">
        <v>2</v>
      </c>
      <c r="D77" s="72">
        <f>ROUND('PU Wise OWE'!$AW$128/10000,2)</f>
        <v>0.41</v>
      </c>
      <c r="E77" s="87">
        <f t="shared" ref="E77:E83" si="12">D77/$D$7</f>
        <v>9.9458557317238836E-5</v>
      </c>
      <c r="F77" s="23"/>
      <c r="G77" s="22">
        <f>ROUND('PU Wise OWE'!$AW$126/10000,2)</f>
        <v>0</v>
      </c>
      <c r="H77" s="24">
        <f t="shared" ref="H77:H83" si="13">G77/$G$7</f>
        <v>0</v>
      </c>
      <c r="I77" s="23">
        <f>ROUND('PU Wise OWE'!$AW$129/10000,2)</f>
        <v>0</v>
      </c>
      <c r="J77" s="96">
        <f t="shared" ref="J77:J85" si="14">I77/$I$7</f>
        <v>0</v>
      </c>
      <c r="K77" s="22">
        <f t="shared" ref="K77:K83" si="15">I77-D77</f>
        <v>-0.41</v>
      </c>
      <c r="L77" s="54">
        <f t="shared" ref="L77:L83" si="16">K77/D77</f>
        <v>-1</v>
      </c>
      <c r="M77" s="54" t="e">
        <f t="shared" ref="M77:M82" si="17">I77/G77</f>
        <v>#DIV/0!</v>
      </c>
    </row>
    <row r="78" spans="2:13">
      <c r="B78" s="23" t="s">
        <v>190</v>
      </c>
      <c r="C78" s="22">
        <v>1.66</v>
      </c>
      <c r="D78" s="72">
        <f>ROUND('PU Wise OWE'!$AX$128/10000,2)</f>
        <v>0.15</v>
      </c>
      <c r="E78" s="87">
        <f t="shared" si="12"/>
        <v>3.6387277067282504E-5</v>
      </c>
      <c r="F78" s="23"/>
      <c r="G78" s="22">
        <f>ROUND('PU Wise OWE'!$AX$126/10000,2)</f>
        <v>0.23</v>
      </c>
      <c r="H78" s="24">
        <f t="shared" si="13"/>
        <v>5.13427238431145E-5</v>
      </c>
      <c r="I78" s="23">
        <f>ROUND('PU Wise OWE'!$AX$129/10000,2)</f>
        <v>0.23</v>
      </c>
      <c r="J78" s="96">
        <f t="shared" si="14"/>
        <v>5.1431817063735209E-5</v>
      </c>
      <c r="K78" s="22">
        <f t="shared" si="15"/>
        <v>8.0000000000000016E-2</v>
      </c>
      <c r="L78" s="54">
        <f t="shared" si="16"/>
        <v>0.53333333333333344</v>
      </c>
      <c r="M78" s="54">
        <f t="shared" si="17"/>
        <v>1</v>
      </c>
    </row>
    <row r="79" spans="2:13">
      <c r="B79" s="23" t="s">
        <v>192</v>
      </c>
      <c r="C79" s="22">
        <v>16.940000000000001</v>
      </c>
      <c r="D79" s="72">
        <f>ROUND('PU Wise OWE'!$BC$128/10000,2)</f>
        <v>10.55</v>
      </c>
      <c r="E79" s="87">
        <f t="shared" si="12"/>
        <v>2.5592384870655365E-3</v>
      </c>
      <c r="F79" s="23"/>
      <c r="G79" s="22">
        <f>ROUND('PU Wise OWE'!$BC$126/10000,2)</f>
        <v>10.29</v>
      </c>
      <c r="H79" s="24">
        <f t="shared" si="13"/>
        <v>2.2970288188941222E-3</v>
      </c>
      <c r="I79" s="23">
        <f>ROUND('PU Wise OWE'!$BC$129/10000,2)</f>
        <v>10.26</v>
      </c>
      <c r="J79" s="96">
        <f t="shared" si="14"/>
        <v>2.2943062742344488E-3</v>
      </c>
      <c r="K79" s="22">
        <f t="shared" si="15"/>
        <v>-0.29000000000000092</v>
      </c>
      <c r="L79" s="54">
        <f t="shared" si="16"/>
        <v>-2.7488151658767859E-2</v>
      </c>
      <c r="M79" s="54">
        <f t="shared" si="17"/>
        <v>0.99708454810495628</v>
      </c>
    </row>
    <row r="80" spans="2:13">
      <c r="B80" s="23" t="s">
        <v>193</v>
      </c>
      <c r="C80" s="22">
        <v>16.95</v>
      </c>
      <c r="D80" s="72">
        <f>ROUND('PU Wise OWE'!$BD$128/10000,2)</f>
        <v>10.49</v>
      </c>
      <c r="E80" s="87">
        <f t="shared" si="12"/>
        <v>2.5446835762386231E-3</v>
      </c>
      <c r="F80" s="23"/>
      <c r="G80" s="22">
        <f>ROUND('PU Wise OWE'!$BD$126/10000,2)</f>
        <v>10.29</v>
      </c>
      <c r="H80" s="24">
        <f t="shared" si="13"/>
        <v>2.2970288188941222E-3</v>
      </c>
      <c r="I80" s="23">
        <f>ROUND('PU Wise OWE'!$BD$129/10000,2)</f>
        <v>10.26</v>
      </c>
      <c r="J80" s="96">
        <f t="shared" si="14"/>
        <v>2.2943062742344488E-3</v>
      </c>
      <c r="K80" s="22">
        <f t="shared" si="15"/>
        <v>-0.23000000000000043</v>
      </c>
      <c r="L80" s="54">
        <f t="shared" si="16"/>
        <v>-2.1925643469971442E-2</v>
      </c>
      <c r="M80" s="54">
        <f t="shared" si="17"/>
        <v>0.99708454810495628</v>
      </c>
    </row>
    <row r="81" spans="2:13">
      <c r="B81" s="23" t="s">
        <v>194</v>
      </c>
      <c r="C81" s="22">
        <v>17.329999999999998</v>
      </c>
      <c r="D81" s="72">
        <f>ROUND('PU Wise OWE'!$BF$128/10000,2)</f>
        <v>14.79</v>
      </c>
      <c r="E81" s="87">
        <f t="shared" si="12"/>
        <v>3.5877855188340547E-3</v>
      </c>
      <c r="F81" s="23"/>
      <c r="G81" s="22">
        <f>ROUND('PU Wise OWE'!$BF$126/10000,2)</f>
        <v>8.44</v>
      </c>
      <c r="H81" s="24">
        <f t="shared" si="13"/>
        <v>1.8840547358082015E-3</v>
      </c>
      <c r="I81" s="23">
        <f>ROUND('PU Wise OWE'!$BF$129/10000,2)</f>
        <v>8.43</v>
      </c>
      <c r="J81" s="96">
        <f t="shared" si="14"/>
        <v>1.8850879036838599E-3</v>
      </c>
      <c r="K81" s="22">
        <f t="shared" si="15"/>
        <v>-6.3599999999999994</v>
      </c>
      <c r="L81" s="54">
        <f t="shared" si="16"/>
        <v>-0.43002028397565922</v>
      </c>
      <c r="M81" s="54">
        <f t="shared" si="17"/>
        <v>0.99881516587677732</v>
      </c>
    </row>
    <row r="82" spans="2:13">
      <c r="B82" s="23" t="s">
        <v>195</v>
      </c>
      <c r="C82" s="22">
        <v>166.71</v>
      </c>
      <c r="D82" s="72">
        <f>ROUND('PU Wise OWE'!$BG$128/10000,2)-ROUND('PU Wise OWE'!$BG$117/10000,2)</f>
        <v>83.899999999999977</v>
      </c>
      <c r="E82" s="87">
        <f t="shared" si="12"/>
        <v>2.0352616972966676E-2</v>
      </c>
      <c r="F82" s="23"/>
      <c r="G82" s="22">
        <f>ROUND('PU Wise OWE'!$BG$126/10000,2)-ROUND('PU Wise OWE'!$BG$115/10000,2)</f>
        <v>56.91</v>
      </c>
      <c r="H82" s="24">
        <f t="shared" si="13"/>
        <v>1.270397571265933E-2</v>
      </c>
      <c r="I82" s="23">
        <f>ROUND('PU Wise OWE'!$BG$129/10000,2)-ROUND('PU Wise OWE'!$BG$118/10000,2)</f>
        <v>56.809999999999974</v>
      </c>
      <c r="J82" s="96">
        <f t="shared" si="14"/>
        <v>1.2703658814742591E-2</v>
      </c>
      <c r="K82" s="22">
        <f t="shared" si="15"/>
        <v>-27.090000000000003</v>
      </c>
      <c r="L82" s="54">
        <f t="shared" si="16"/>
        <v>-0.32288438617401682</v>
      </c>
      <c r="M82" s="54">
        <f t="shared" si="17"/>
        <v>0.99824283957125248</v>
      </c>
    </row>
    <row r="83" spans="2:13" s="36" customFormat="1">
      <c r="B83" s="25" t="s">
        <v>122</v>
      </c>
      <c r="C83" s="26">
        <f>C77+C78+C79+C80+C81+C82</f>
        <v>221.59</v>
      </c>
      <c r="D83" s="76">
        <f>SUM(D77:D82)</f>
        <v>120.28999999999998</v>
      </c>
      <c r="E83" s="88">
        <f t="shared" si="12"/>
        <v>2.9180170389489411E-2</v>
      </c>
      <c r="F83" s="25"/>
      <c r="G83" s="76">
        <f>SUM(G77:G82)</f>
        <v>86.16</v>
      </c>
      <c r="H83" s="56">
        <f t="shared" si="13"/>
        <v>1.923343081009889E-2</v>
      </c>
      <c r="I83" s="76">
        <f>SUM(I77:I82)</f>
        <v>85.989999999999981</v>
      </c>
      <c r="J83" s="56">
        <f t="shared" si="14"/>
        <v>1.9228791083959085E-2</v>
      </c>
      <c r="K83" s="26">
        <f t="shared" si="15"/>
        <v>-34.299999999999997</v>
      </c>
      <c r="L83" s="57">
        <f t="shared" si="16"/>
        <v>-0.28514423476598222</v>
      </c>
      <c r="M83" s="25"/>
    </row>
    <row r="85" spans="2:13" s="36" customFormat="1" ht="31.5" customHeight="1">
      <c r="B85" s="95" t="s">
        <v>196</v>
      </c>
      <c r="C85" s="114">
        <v>3247.44</v>
      </c>
      <c r="D85" s="76">
        <f>D37+D49+D54+D56+D64+D69+D74+D83</f>
        <v>1490.3899999999999</v>
      </c>
      <c r="E85" s="88">
        <f>D85/$D$7</f>
        <v>0.36154155912204777</v>
      </c>
      <c r="F85" s="25"/>
      <c r="G85" s="76">
        <f>G37+G49+G54+G56+G64+G69+G74+G83</f>
        <v>1546.4199999999998</v>
      </c>
      <c r="H85" s="56">
        <f>G85/$G$7</f>
        <v>0.3452061521976918</v>
      </c>
      <c r="I85" s="76">
        <f>I37+I49+I54+I56+I64+I69+I74+I83</f>
        <v>1543.7600000000002</v>
      </c>
      <c r="J85" s="56">
        <f t="shared" si="14"/>
        <v>0.34521035613179074</v>
      </c>
      <c r="K85" s="26">
        <f>I85-D85</f>
        <v>53.370000000000346</v>
      </c>
      <c r="L85" s="57">
        <f>K85/D85</f>
        <v>3.5809419011131549E-2</v>
      </c>
      <c r="M85" s="54">
        <f>I85/G85</f>
        <v>0.99827989808719519</v>
      </c>
    </row>
    <row r="86" spans="2:13">
      <c r="B86" s="179"/>
      <c r="C86" s="179"/>
      <c r="D86" s="139"/>
      <c r="E86" s="179"/>
      <c r="F86" s="179"/>
      <c r="G86" s="179"/>
      <c r="H86" s="179"/>
      <c r="I86" s="179"/>
      <c r="J86" s="179"/>
      <c r="K86" s="179"/>
      <c r="L86" s="179"/>
      <c r="M86" s="179"/>
    </row>
    <row r="87" spans="2:13" s="149" customFormat="1" ht="16.5" customHeight="1">
      <c r="B87" s="186"/>
      <c r="C87" s="302" t="s">
        <v>288</v>
      </c>
      <c r="D87" s="292" t="s">
        <v>289</v>
      </c>
      <c r="E87" s="302" t="s">
        <v>165</v>
      </c>
      <c r="F87" s="302"/>
      <c r="G87" s="323" t="s">
        <v>293</v>
      </c>
      <c r="H87" s="302" t="s">
        <v>295</v>
      </c>
      <c r="I87" s="292" t="s">
        <v>290</v>
      </c>
      <c r="J87" s="302" t="s">
        <v>197</v>
      </c>
      <c r="K87" s="316" t="s">
        <v>139</v>
      </c>
      <c r="L87" s="316"/>
      <c r="M87" s="321" t="s">
        <v>292</v>
      </c>
    </row>
    <row r="88" spans="2:13" s="149" customFormat="1">
      <c r="B88" s="80" t="s">
        <v>245</v>
      </c>
      <c r="C88" s="293"/>
      <c r="D88" s="293"/>
      <c r="E88" s="293"/>
      <c r="F88" s="293"/>
      <c r="G88" s="324"/>
      <c r="H88" s="293"/>
      <c r="I88" s="309"/>
      <c r="J88" s="293"/>
      <c r="K88" s="81" t="s">
        <v>137</v>
      </c>
      <c r="L88" s="81" t="s">
        <v>138</v>
      </c>
      <c r="M88" s="321"/>
    </row>
    <row r="89" spans="2:13" s="149" customFormat="1" ht="15" customHeight="1">
      <c r="B89" s="20" t="s">
        <v>246</v>
      </c>
      <c r="C89" s="20">
        <v>17</v>
      </c>
      <c r="D89" s="83">
        <v>0</v>
      </c>
      <c r="E89" s="87">
        <f t="shared" ref="E89:E102" si="18">D89/$D$7</f>
        <v>0</v>
      </c>
      <c r="F89" s="20"/>
      <c r="G89" s="107">
        <v>0.69</v>
      </c>
      <c r="H89" s="187">
        <f t="shared" ref="H89:H102" si="19">G89/$G$7</f>
        <v>1.5402817152934347E-4</v>
      </c>
      <c r="I89" s="20">
        <v>0</v>
      </c>
      <c r="J89" s="187">
        <f t="shared" ref="J89:J102" si="20">I89/$I$7</f>
        <v>0</v>
      </c>
      <c r="K89" s="107">
        <f>I89-D89</f>
        <v>0</v>
      </c>
      <c r="L89" s="188">
        <v>0</v>
      </c>
      <c r="M89" s="188">
        <f t="shared" ref="M89:M102" si="21">I89/G89</f>
        <v>0</v>
      </c>
    </row>
    <row r="90" spans="2:13" s="149" customFormat="1">
      <c r="B90" s="20" t="s">
        <v>247</v>
      </c>
      <c r="C90" s="20">
        <v>33.630000000000003</v>
      </c>
      <c r="D90" s="111">
        <v>1.86</v>
      </c>
      <c r="E90" s="87">
        <f t="shared" si="18"/>
        <v>4.5120223563430308E-4</v>
      </c>
      <c r="F90" s="20"/>
      <c r="G90" s="107">
        <v>33.28</v>
      </c>
      <c r="H90" s="187">
        <f t="shared" si="19"/>
        <v>7.4290689108645674E-3</v>
      </c>
      <c r="I90" s="107">
        <v>2.77</v>
      </c>
      <c r="J90" s="187">
        <f t="shared" si="20"/>
        <v>6.1941797072411528E-4</v>
      </c>
      <c r="K90" s="107">
        <f t="shared" ref="K90:K102" si="22">I90-D90</f>
        <v>0.90999999999999992</v>
      </c>
      <c r="L90" s="188">
        <f t="shared" ref="L90:L102" si="23">K90/D90</f>
        <v>0.48924731182795694</v>
      </c>
      <c r="M90" s="188">
        <f t="shared" si="21"/>
        <v>8.3233173076923073E-2</v>
      </c>
    </row>
    <row r="91" spans="2:13" s="149" customFormat="1">
      <c r="B91" s="20" t="s">
        <v>257</v>
      </c>
      <c r="C91" s="20">
        <v>7.44</v>
      </c>
      <c r="D91" s="111">
        <v>0.04</v>
      </c>
      <c r="E91" s="87">
        <f t="shared" si="18"/>
        <v>9.7032738846086673E-6</v>
      </c>
      <c r="F91" s="20"/>
      <c r="G91" s="107">
        <v>0.53</v>
      </c>
      <c r="H91" s="187">
        <f t="shared" si="19"/>
        <v>1.1831149407326384E-4</v>
      </c>
      <c r="I91" s="107">
        <v>0</v>
      </c>
      <c r="J91" s="187">
        <f t="shared" si="20"/>
        <v>0</v>
      </c>
      <c r="K91" s="107">
        <f t="shared" si="22"/>
        <v>-0.04</v>
      </c>
      <c r="L91" s="188">
        <f t="shared" si="23"/>
        <v>-1</v>
      </c>
      <c r="M91" s="188">
        <f t="shared" si="21"/>
        <v>0</v>
      </c>
    </row>
    <row r="92" spans="2:13" s="149" customFormat="1">
      <c r="B92" s="61" t="s">
        <v>248</v>
      </c>
      <c r="C92" s="27">
        <f>SUM(C89:C91)</f>
        <v>58.07</v>
      </c>
      <c r="D92" s="106">
        <f>SUM(D89:D91)</f>
        <v>1.9000000000000001</v>
      </c>
      <c r="E92" s="88">
        <f t="shared" si="18"/>
        <v>4.6090550951891177E-4</v>
      </c>
      <c r="F92" s="27">
        <f>SUM(F89:F90)</f>
        <v>0</v>
      </c>
      <c r="G92" s="106">
        <f>SUM(G89:G90)</f>
        <v>33.97</v>
      </c>
      <c r="H92" s="189">
        <f t="shared" si="19"/>
        <v>7.5830970823939107E-3</v>
      </c>
      <c r="I92" s="106">
        <f>SUM(I89:I91)</f>
        <v>2.77</v>
      </c>
      <c r="J92" s="189">
        <f t="shared" si="20"/>
        <v>6.1941797072411528E-4</v>
      </c>
      <c r="K92" s="106">
        <f t="shared" si="22"/>
        <v>0.86999999999999988</v>
      </c>
      <c r="L92" s="190">
        <f t="shared" si="23"/>
        <v>0.45789473684210519</v>
      </c>
      <c r="M92" s="190">
        <f t="shared" si="21"/>
        <v>8.1542537533117465E-2</v>
      </c>
    </row>
    <row r="93" spans="2:13" s="149" customFormat="1">
      <c r="B93" s="20" t="s">
        <v>249</v>
      </c>
      <c r="C93" s="20">
        <v>0</v>
      </c>
      <c r="D93" s="83">
        <v>0</v>
      </c>
      <c r="E93" s="87">
        <f t="shared" si="18"/>
        <v>0</v>
      </c>
      <c r="F93" s="20"/>
      <c r="G93" s="107">
        <v>0</v>
      </c>
      <c r="H93" s="187">
        <f t="shared" si="19"/>
        <v>0</v>
      </c>
      <c r="I93" s="107">
        <v>0</v>
      </c>
      <c r="J93" s="187">
        <f t="shared" si="20"/>
        <v>0</v>
      </c>
      <c r="K93" s="107">
        <f t="shared" si="22"/>
        <v>0</v>
      </c>
      <c r="L93" s="188">
        <v>0</v>
      </c>
      <c r="M93" s="188">
        <v>0</v>
      </c>
    </row>
    <row r="94" spans="2:13" s="149" customFormat="1">
      <c r="B94" s="20" t="s">
        <v>250</v>
      </c>
      <c r="C94" s="20">
        <v>13.17</v>
      </c>
      <c r="D94" s="111">
        <v>0.17</v>
      </c>
      <c r="E94" s="87">
        <f t="shared" si="18"/>
        <v>4.1238914009586842E-5</v>
      </c>
      <c r="F94" s="20"/>
      <c r="G94" s="107">
        <v>14.55</v>
      </c>
      <c r="H94" s="187">
        <f t="shared" si="19"/>
        <v>3.2479853561622435E-3</v>
      </c>
      <c r="I94" s="107">
        <v>3.38</v>
      </c>
      <c r="J94" s="187">
        <f t="shared" si="20"/>
        <v>7.5582409424097819E-4</v>
      </c>
      <c r="K94" s="107">
        <f t="shared" si="22"/>
        <v>3.21</v>
      </c>
      <c r="L94" s="188">
        <f t="shared" si="23"/>
        <v>18.882352941176467</v>
      </c>
      <c r="M94" s="188">
        <f t="shared" si="21"/>
        <v>0.23230240549828177</v>
      </c>
    </row>
    <row r="95" spans="2:13" s="149" customFormat="1">
      <c r="B95" s="20" t="s">
        <v>258</v>
      </c>
      <c r="C95" s="20">
        <v>-0.3</v>
      </c>
      <c r="D95" s="111">
        <v>0</v>
      </c>
      <c r="E95" s="87">
        <f t="shared" si="18"/>
        <v>0</v>
      </c>
      <c r="F95" s="20"/>
      <c r="G95" s="107">
        <v>0.05</v>
      </c>
      <c r="H95" s="187">
        <f t="shared" si="19"/>
        <v>1.1161461705024892E-5</v>
      </c>
      <c r="I95" s="107">
        <v>0</v>
      </c>
      <c r="J95" s="187">
        <f t="shared" si="20"/>
        <v>0</v>
      </c>
      <c r="K95" s="107">
        <f t="shared" si="22"/>
        <v>0</v>
      </c>
      <c r="L95" s="188">
        <v>0</v>
      </c>
      <c r="M95" s="188">
        <v>0</v>
      </c>
    </row>
    <row r="96" spans="2:13" s="149" customFormat="1">
      <c r="B96" s="61" t="s">
        <v>251</v>
      </c>
      <c r="C96" s="27">
        <f>SUM(C93:C95)</f>
        <v>12.87</v>
      </c>
      <c r="D96" s="27">
        <f>SUM(D93:D95)</f>
        <v>0.17</v>
      </c>
      <c r="E96" s="88">
        <f t="shared" si="18"/>
        <v>4.1238914009586842E-5</v>
      </c>
      <c r="F96" s="27">
        <f>SUM(F93:F94)</f>
        <v>0</v>
      </c>
      <c r="G96" s="106">
        <f>SUM(G93:G95)</f>
        <v>14.600000000000001</v>
      </c>
      <c r="H96" s="189">
        <f t="shared" si="19"/>
        <v>3.2591468178672684E-3</v>
      </c>
      <c r="I96" s="106">
        <f>SUM(I93:I95)</f>
        <v>3.38</v>
      </c>
      <c r="J96" s="189">
        <f t="shared" si="20"/>
        <v>7.5582409424097819E-4</v>
      </c>
      <c r="K96" s="106">
        <f t="shared" si="22"/>
        <v>3.21</v>
      </c>
      <c r="L96" s="190">
        <f t="shared" si="23"/>
        <v>18.882352941176467</v>
      </c>
      <c r="M96" s="190">
        <f t="shared" si="21"/>
        <v>0.23150684931506846</v>
      </c>
    </row>
    <row r="97" spans="2:13" s="149" customFormat="1">
      <c r="B97" s="20" t="s">
        <v>252</v>
      </c>
      <c r="C97" s="107">
        <v>24.12</v>
      </c>
      <c r="D97" s="111">
        <v>1.61</v>
      </c>
      <c r="E97" s="87">
        <f t="shared" si="18"/>
        <v>3.9055677385549891E-4</v>
      </c>
      <c r="F97" s="20"/>
      <c r="G97" s="107">
        <v>17.600000000000001</v>
      </c>
      <c r="H97" s="187">
        <f t="shared" si="19"/>
        <v>3.9288345201687622E-3</v>
      </c>
      <c r="I97" s="107">
        <v>0.15</v>
      </c>
      <c r="J97" s="187">
        <f t="shared" si="20"/>
        <v>3.3542489389392528E-5</v>
      </c>
      <c r="K97" s="107">
        <f t="shared" si="22"/>
        <v>-1.4600000000000002</v>
      </c>
      <c r="L97" s="188">
        <f t="shared" si="23"/>
        <v>-0.90683229813664601</v>
      </c>
      <c r="M97" s="188">
        <f t="shared" si="21"/>
        <v>8.5227272727272721E-3</v>
      </c>
    </row>
    <row r="98" spans="2:13" s="149" customFormat="1">
      <c r="B98" s="20" t="s">
        <v>253</v>
      </c>
      <c r="C98" s="20">
        <v>145.66</v>
      </c>
      <c r="D98" s="111">
        <v>4.3499999999999996</v>
      </c>
      <c r="E98" s="87">
        <f t="shared" si="18"/>
        <v>1.0552310349511926E-3</v>
      </c>
      <c r="F98" s="20"/>
      <c r="G98" s="107">
        <v>11.56</v>
      </c>
      <c r="H98" s="187">
        <f t="shared" si="19"/>
        <v>2.5805299462017548E-3</v>
      </c>
      <c r="I98" s="107">
        <v>6.27</v>
      </c>
      <c r="J98" s="187">
        <f t="shared" si="20"/>
        <v>1.4020760564766074E-3</v>
      </c>
      <c r="K98" s="107">
        <f t="shared" si="22"/>
        <v>1.92</v>
      </c>
      <c r="L98" s="188">
        <f t="shared" si="23"/>
        <v>0.44137931034482758</v>
      </c>
      <c r="M98" s="188">
        <f t="shared" si="21"/>
        <v>0.54238754325259508</v>
      </c>
    </row>
    <row r="99" spans="2:13" s="149" customFormat="1">
      <c r="B99" s="61" t="s">
        <v>254</v>
      </c>
      <c r="C99" s="27">
        <f>SUM(C97:C98)</f>
        <v>169.78</v>
      </c>
      <c r="D99" s="106">
        <f t="shared" ref="D99:I99" si="24">SUM(D97:D98)</f>
        <v>5.96</v>
      </c>
      <c r="E99" s="88">
        <f t="shared" si="18"/>
        <v>1.4457878088066916E-3</v>
      </c>
      <c r="F99" s="27">
        <f t="shared" si="24"/>
        <v>0</v>
      </c>
      <c r="G99" s="106">
        <f t="shared" si="24"/>
        <v>29.160000000000004</v>
      </c>
      <c r="H99" s="189">
        <f t="shared" si="19"/>
        <v>6.509364466370517E-3</v>
      </c>
      <c r="I99" s="106">
        <f t="shared" si="24"/>
        <v>6.42</v>
      </c>
      <c r="J99" s="189">
        <f t="shared" si="20"/>
        <v>1.435618545866E-3</v>
      </c>
      <c r="K99" s="106">
        <f t="shared" si="22"/>
        <v>0.45999999999999996</v>
      </c>
      <c r="L99" s="190">
        <f t="shared" si="23"/>
        <v>7.7181208053691275E-2</v>
      </c>
      <c r="M99" s="190">
        <f t="shared" si="21"/>
        <v>0.22016460905349791</v>
      </c>
    </row>
    <row r="100" spans="2:13" s="149" customFormat="1">
      <c r="B100" s="20" t="s">
        <v>255</v>
      </c>
      <c r="C100" s="107">
        <v>12.31</v>
      </c>
      <c r="D100" s="111">
        <v>4.28</v>
      </c>
      <c r="E100" s="87">
        <f t="shared" si="18"/>
        <v>1.0382503056531275E-3</v>
      </c>
      <c r="F100" s="20"/>
      <c r="G100" s="107">
        <v>13.17</v>
      </c>
      <c r="H100" s="187">
        <f t="shared" si="19"/>
        <v>2.939929013103556E-3</v>
      </c>
      <c r="I100" s="107">
        <v>1.93</v>
      </c>
      <c r="J100" s="187">
        <f t="shared" si="20"/>
        <v>4.3158003014351717E-4</v>
      </c>
      <c r="K100" s="107">
        <f t="shared" si="22"/>
        <v>-2.3500000000000005</v>
      </c>
      <c r="L100" s="188">
        <f t="shared" si="23"/>
        <v>-0.54906542056074781</v>
      </c>
      <c r="M100" s="188">
        <f t="shared" si="21"/>
        <v>0.14654517843583903</v>
      </c>
    </row>
    <row r="101" spans="2:13" s="149" customFormat="1">
      <c r="B101" s="20" t="s">
        <v>256</v>
      </c>
      <c r="C101" s="107">
        <v>101.34</v>
      </c>
      <c r="D101" s="111">
        <v>1.64</v>
      </c>
      <c r="E101" s="87">
        <f t="shared" si="18"/>
        <v>3.9783422926895534E-4</v>
      </c>
      <c r="F101" s="20"/>
      <c r="G101" s="107">
        <v>65.03</v>
      </c>
      <c r="H101" s="187">
        <f t="shared" si="19"/>
        <v>1.4516597093555373E-2</v>
      </c>
      <c r="I101" s="107">
        <v>5.95</v>
      </c>
      <c r="J101" s="187">
        <f t="shared" si="20"/>
        <v>1.3305187457792369E-3</v>
      </c>
      <c r="K101" s="107">
        <f t="shared" si="22"/>
        <v>4.3100000000000005</v>
      </c>
      <c r="L101" s="188">
        <f t="shared" si="23"/>
        <v>2.6280487804878052</v>
      </c>
      <c r="M101" s="188">
        <f t="shared" si="21"/>
        <v>9.1496232508073191E-2</v>
      </c>
    </row>
    <row r="102" spans="2:13" s="149" customFormat="1">
      <c r="B102" s="61" t="s">
        <v>286</v>
      </c>
      <c r="C102" s="106">
        <f>SUM(C100:C101)</f>
        <v>113.65</v>
      </c>
      <c r="D102" s="106">
        <f t="shared" ref="D102:I102" si="25">SUM(D100:D101)</f>
        <v>5.92</v>
      </c>
      <c r="E102" s="88">
        <f t="shared" si="18"/>
        <v>1.4360845349220828E-3</v>
      </c>
      <c r="F102" s="27">
        <f t="shared" si="25"/>
        <v>0</v>
      </c>
      <c r="G102" s="106">
        <f t="shared" si="25"/>
        <v>78.2</v>
      </c>
      <c r="H102" s="189">
        <f t="shared" si="19"/>
        <v>1.7456526106658928E-2</v>
      </c>
      <c r="I102" s="106">
        <f t="shared" si="25"/>
        <v>7.88</v>
      </c>
      <c r="J102" s="189">
        <f t="shared" si="20"/>
        <v>1.7620987759227539E-3</v>
      </c>
      <c r="K102" s="106">
        <f t="shared" si="22"/>
        <v>1.96</v>
      </c>
      <c r="L102" s="190">
        <f t="shared" si="23"/>
        <v>0.33108108108108109</v>
      </c>
      <c r="M102" s="190">
        <f t="shared" si="21"/>
        <v>0.10076726342710997</v>
      </c>
    </row>
    <row r="103" spans="2:13">
      <c r="B103" s="179"/>
      <c r="C103" s="179"/>
      <c r="D103" s="139"/>
      <c r="E103" s="179"/>
      <c r="F103" s="179"/>
      <c r="G103" s="179"/>
      <c r="H103" s="179"/>
      <c r="I103" s="179"/>
      <c r="J103" s="179"/>
      <c r="K103" s="179"/>
      <c r="L103" s="179"/>
      <c r="M103" s="179"/>
    </row>
    <row r="104" spans="2:13" ht="15" customHeight="1">
      <c r="B104" s="191"/>
      <c r="C104" s="302" t="s">
        <v>288</v>
      </c>
      <c r="D104" s="292" t="str">
        <f>'PU Wise OWE'!$B$7</f>
        <v>Actuals upto March-23</v>
      </c>
      <c r="E104" s="302" t="s">
        <v>165</v>
      </c>
      <c r="F104" s="302"/>
      <c r="G104" s="323" t="str">
        <f>'PU Wise OWE'!$B$5</f>
        <v xml:space="preserve">FG 2023-24 </v>
      </c>
      <c r="H104" s="302" t="s">
        <v>296</v>
      </c>
      <c r="I104" s="292" t="str">
        <f>I40</f>
        <v>Actuals upto March-24</v>
      </c>
      <c r="J104" s="302" t="s">
        <v>197</v>
      </c>
      <c r="K104" s="316" t="s">
        <v>139</v>
      </c>
      <c r="L104" s="316"/>
      <c r="M104" s="321" t="s">
        <v>292</v>
      </c>
    </row>
    <row r="105" spans="2:13">
      <c r="B105" s="80" t="s">
        <v>183</v>
      </c>
      <c r="C105" s="293"/>
      <c r="D105" s="293"/>
      <c r="E105" s="293"/>
      <c r="F105" s="293"/>
      <c r="G105" s="324"/>
      <c r="H105" s="293"/>
      <c r="I105" s="293"/>
      <c r="J105" s="293"/>
      <c r="K105" s="81" t="s">
        <v>137</v>
      </c>
      <c r="L105" s="81" t="s">
        <v>138</v>
      </c>
      <c r="M105" s="321"/>
    </row>
    <row r="106" spans="2:13">
      <c r="B106" s="20" t="s">
        <v>209</v>
      </c>
      <c r="C106" s="20">
        <v>305.92</v>
      </c>
      <c r="D106" s="111">
        <v>19.18</v>
      </c>
      <c r="E106" s="87">
        <f>D106/$D$7</f>
        <v>4.6527198276698559E-3</v>
      </c>
      <c r="F106" s="20"/>
      <c r="G106" s="20">
        <v>115.89</v>
      </c>
      <c r="H106" s="187">
        <f>G106/$G$7</f>
        <v>2.587003593990669E-2</v>
      </c>
      <c r="I106" s="107">
        <v>28.26</v>
      </c>
      <c r="J106" s="187">
        <f>I106/$I$7</f>
        <v>6.3194050009615522E-3</v>
      </c>
      <c r="K106" s="107">
        <f>I106-D106</f>
        <v>9.0800000000000018</v>
      </c>
      <c r="L106" s="188">
        <f>K106/D106</f>
        <v>0.47340980187695525</v>
      </c>
      <c r="M106" s="188">
        <f>I106/G106</f>
        <v>0.24385192855293814</v>
      </c>
    </row>
    <row r="107" spans="2:13">
      <c r="B107" s="20" t="s">
        <v>208</v>
      </c>
      <c r="C107" s="20">
        <v>266.58999999999997</v>
      </c>
      <c r="D107" s="83">
        <v>27.95</v>
      </c>
      <c r="E107" s="87">
        <f>D107/$D$7</f>
        <v>6.7801626268703067E-3</v>
      </c>
      <c r="F107" s="20"/>
      <c r="G107" s="107">
        <v>750</v>
      </c>
      <c r="H107" s="187">
        <f>G107/$G$7</f>
        <v>0.16742192557537336</v>
      </c>
      <c r="I107" s="107">
        <v>40.58</v>
      </c>
      <c r="J107" s="187">
        <f>I107/$I$7</f>
        <v>9.0743614628103243E-3</v>
      </c>
      <c r="K107" s="107">
        <f>I107-D107</f>
        <v>12.629999999999999</v>
      </c>
      <c r="L107" s="188">
        <f>K107/D107</f>
        <v>0.45187835420393557</v>
      </c>
      <c r="M107" s="188">
        <f>I107/G107</f>
        <v>5.4106666666666664E-2</v>
      </c>
    </row>
    <row r="108" spans="2:13" ht="15.75" customHeight="1">
      <c r="B108" s="192" t="s">
        <v>207</v>
      </c>
      <c r="C108" s="20">
        <v>544.78</v>
      </c>
      <c r="D108" s="83">
        <v>165.44</v>
      </c>
      <c r="E108" s="87">
        <f>D108/$D$7</f>
        <v>4.013274078674145E-2</v>
      </c>
      <c r="F108" s="20"/>
      <c r="G108" s="107">
        <v>676.5</v>
      </c>
      <c r="H108" s="187">
        <f>G108/$G$7</f>
        <v>0.15101457686898676</v>
      </c>
      <c r="I108" s="20">
        <v>301.26</v>
      </c>
      <c r="J108" s="187">
        <f>I108/$I$7</f>
        <v>6.7366735689655954E-2</v>
      </c>
      <c r="K108" s="107">
        <f>I108-D108</f>
        <v>135.82</v>
      </c>
      <c r="L108" s="188">
        <f>K108/D108</f>
        <v>0.82096228239845259</v>
      </c>
      <c r="M108" s="188">
        <f>I108/G108</f>
        <v>0.44532150776053214</v>
      </c>
    </row>
    <row r="109" spans="2:13">
      <c r="B109" s="27" t="s">
        <v>122</v>
      </c>
      <c r="C109" s="27">
        <f>SUM(C106:C108)</f>
        <v>1117.29</v>
      </c>
      <c r="D109" s="141">
        <f>+D106+D107+D108</f>
        <v>212.57</v>
      </c>
      <c r="E109" s="88">
        <f>D109/$D$7</f>
        <v>5.1565623241281611E-2</v>
      </c>
      <c r="F109" s="27"/>
      <c r="G109" s="141">
        <f>+G106+G107+G108</f>
        <v>1542.3899999999999</v>
      </c>
      <c r="H109" s="189">
        <f>G109/$G$7</f>
        <v>0.34430653838426678</v>
      </c>
      <c r="I109" s="106">
        <f>SUM(I106:I108)</f>
        <v>370.1</v>
      </c>
      <c r="J109" s="189">
        <f>I109/$I$7</f>
        <v>8.2760502153427826E-2</v>
      </c>
      <c r="K109" s="106">
        <f>I109-D109</f>
        <v>157.53000000000003</v>
      </c>
      <c r="L109" s="190">
        <f>K109/D109</f>
        <v>0.74107352871995125</v>
      </c>
      <c r="M109" s="190">
        <f>I109/G109</f>
        <v>0.23995228184830039</v>
      </c>
    </row>
    <row r="110" spans="2:13">
      <c r="B110" s="179"/>
      <c r="C110" s="179"/>
      <c r="D110" s="139"/>
      <c r="E110" s="179"/>
      <c r="F110" s="179"/>
      <c r="G110" s="179"/>
      <c r="H110" s="179"/>
      <c r="I110" s="179"/>
      <c r="J110" s="179"/>
      <c r="K110" s="179"/>
      <c r="L110" s="179"/>
      <c r="M110" s="179"/>
    </row>
    <row r="111" spans="2:13">
      <c r="B111" s="80" t="s">
        <v>210</v>
      </c>
      <c r="C111" s="20"/>
      <c r="D111" s="83"/>
      <c r="E111" s="20"/>
      <c r="F111" s="20"/>
      <c r="G111" s="20"/>
      <c r="H111" s="20"/>
      <c r="I111" s="20"/>
      <c r="J111" s="20"/>
      <c r="K111" s="20"/>
      <c r="L111" s="20"/>
      <c r="M111" s="20"/>
    </row>
    <row r="112" spans="2:13">
      <c r="B112" s="20" t="s">
        <v>211</v>
      </c>
      <c r="C112" s="107">
        <v>28.69</v>
      </c>
      <c r="D112" s="111">
        <v>5.63</v>
      </c>
      <c r="E112" s="87">
        <f>D112/$D$7</f>
        <v>1.36573579925867E-3</v>
      </c>
      <c r="F112" s="20"/>
      <c r="G112" s="107">
        <v>27.91</v>
      </c>
      <c r="H112" s="187">
        <f>G112/$G$7</f>
        <v>6.2303279237448939E-3</v>
      </c>
      <c r="I112" s="20">
        <v>0.22</v>
      </c>
      <c r="J112" s="187">
        <f>I112/$I$7</f>
        <v>4.9195651104442374E-5</v>
      </c>
      <c r="K112" s="107">
        <f>I112-D112</f>
        <v>-5.41</v>
      </c>
      <c r="L112" s="188">
        <f>K112/D112</f>
        <v>-0.96092362344582594</v>
      </c>
      <c r="M112" s="188">
        <f>I112/G112</f>
        <v>7.8824793980652088E-3</v>
      </c>
    </row>
    <row r="113" spans="2:13">
      <c r="B113" s="20" t="s">
        <v>212</v>
      </c>
      <c r="C113" s="107">
        <v>38.6</v>
      </c>
      <c r="D113" s="83">
        <v>2.54</v>
      </c>
      <c r="E113" s="87">
        <f>D113/$D$7</f>
        <v>6.1615789167265042E-4</v>
      </c>
      <c r="F113" s="20"/>
      <c r="G113" s="20">
        <v>33.72</v>
      </c>
      <c r="H113" s="187">
        <f>G113/$G$7</f>
        <v>7.5272897738687863E-3</v>
      </c>
      <c r="I113" s="107">
        <v>0.11</v>
      </c>
      <c r="J113" s="187">
        <f>I113/$I$7</f>
        <v>2.4597825552221187E-5</v>
      </c>
      <c r="K113" s="107">
        <f>I113-D113</f>
        <v>-2.4300000000000002</v>
      </c>
      <c r="L113" s="188">
        <f>K113/D113</f>
        <v>-0.95669291338582685</v>
      </c>
      <c r="M113" s="188">
        <f>I113/G113</f>
        <v>3.2621589561091344E-3</v>
      </c>
    </row>
    <row r="114" spans="2:13">
      <c r="B114" s="192" t="s">
        <v>213</v>
      </c>
      <c r="C114" s="20">
        <v>33.32</v>
      </c>
      <c r="D114" s="83">
        <v>2.81</v>
      </c>
      <c r="E114" s="87">
        <f>D114/$D$7</f>
        <v>6.8165499039375894E-4</v>
      </c>
      <c r="F114" s="20"/>
      <c r="G114" s="20">
        <v>33.19</v>
      </c>
      <c r="H114" s="187">
        <f>G114/$G$7</f>
        <v>7.4089782797955219E-3</v>
      </c>
      <c r="I114" s="107">
        <v>3.03</v>
      </c>
      <c r="J114" s="187">
        <f>I114/$I$7</f>
        <v>6.7755828566572901E-4</v>
      </c>
      <c r="K114" s="107">
        <f>I114-D114</f>
        <v>0.21999999999999975</v>
      </c>
      <c r="L114" s="188">
        <f>K114/D114</f>
        <v>7.8291814946619132E-2</v>
      </c>
      <c r="M114" s="188">
        <f>I114/G114</f>
        <v>9.1292557999397408E-2</v>
      </c>
    </row>
    <row r="115" spans="2:13">
      <c r="B115" s="27" t="s">
        <v>122</v>
      </c>
      <c r="C115" s="106">
        <f>SUM(C112:C114)</f>
        <v>100.61000000000001</v>
      </c>
      <c r="D115" s="148">
        <f>SUM(D112:D114)</f>
        <v>10.98</v>
      </c>
      <c r="E115" s="88">
        <f>D115/$D$7</f>
        <v>2.6635486813250792E-3</v>
      </c>
      <c r="F115" s="27"/>
      <c r="G115" s="27">
        <f>SUM(G112:G114)</f>
        <v>94.82</v>
      </c>
      <c r="H115" s="189">
        <f>G115/$G$7</f>
        <v>2.1166595977409202E-2</v>
      </c>
      <c r="I115" s="27">
        <f>SUM(I112:I114)</f>
        <v>3.36</v>
      </c>
      <c r="J115" s="189">
        <f>I115/$I$7</f>
        <v>7.5135176232239253E-4</v>
      </c>
      <c r="K115" s="106">
        <f>I115-D115</f>
        <v>-7.620000000000001</v>
      </c>
      <c r="L115" s="190">
        <f>K115/D115</f>
        <v>-0.69398907103825147</v>
      </c>
      <c r="M115" s="190">
        <f>I115/G115</f>
        <v>3.543556211769669E-2</v>
      </c>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72" t="s">
        <v>204</v>
      </c>
      <c r="D1" s="272"/>
      <c r="E1" s="272"/>
      <c r="F1" s="272"/>
      <c r="G1" s="272"/>
      <c r="H1" s="272"/>
      <c r="I1" s="272"/>
      <c r="J1" s="272"/>
      <c r="K1" s="272"/>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73" t="s">
        <v>61</v>
      </c>
      <c r="N2" s="273"/>
      <c r="O2" s="273"/>
      <c r="P2" s="1"/>
      <c r="Q2" s="1"/>
      <c r="R2" s="1"/>
      <c r="S2" s="1"/>
      <c r="T2" s="1"/>
      <c r="U2" s="1"/>
      <c r="V2" s="1"/>
      <c r="W2" s="1"/>
      <c r="X2" s="1"/>
      <c r="Y2" s="1"/>
      <c r="Z2" s="1"/>
      <c r="AA2" s="1"/>
      <c r="AB2" s="1"/>
      <c r="AC2" s="2"/>
      <c r="AD2" s="1"/>
      <c r="AE2" s="1"/>
      <c r="AF2" s="1"/>
      <c r="AG2" s="1"/>
      <c r="AH2" s="1"/>
      <c r="AI2" s="1"/>
      <c r="AJ2" s="1"/>
      <c r="AK2" s="1"/>
      <c r="AL2" s="1"/>
      <c r="AM2" s="1"/>
      <c r="AN2" s="1"/>
      <c r="AO2" s="1"/>
      <c r="AP2" s="273" t="s">
        <v>61</v>
      </c>
      <c r="AQ2" s="273"/>
      <c r="AR2" s="273"/>
      <c r="AS2" s="1"/>
      <c r="AT2" s="1"/>
      <c r="AU2" s="1"/>
      <c r="AV2" s="2"/>
      <c r="AW2" s="1"/>
      <c r="AX2" s="1"/>
      <c r="AY2" s="1"/>
      <c r="AZ2" s="1"/>
      <c r="BA2" s="1"/>
      <c r="BB2" s="1"/>
      <c r="BC2" s="1"/>
      <c r="BD2" s="1"/>
      <c r="BE2" s="1"/>
      <c r="BF2" s="1"/>
      <c r="BG2" s="2"/>
      <c r="BH2" s="273" t="s">
        <v>61</v>
      </c>
      <c r="BI2" s="273"/>
      <c r="BJ2" s="273"/>
    </row>
    <row r="3" spans="1:63" ht="47.25">
      <c r="A3" s="3"/>
      <c r="B3" s="3"/>
      <c r="C3" s="3" t="s">
        <v>62</v>
      </c>
      <c r="D3" s="4" t="s">
        <v>63</v>
      </c>
      <c r="E3" s="3" t="s">
        <v>64</v>
      </c>
      <c r="F3" s="3" t="s">
        <v>65</v>
      </c>
      <c r="G3" s="3" t="s">
        <v>66</v>
      </c>
      <c r="H3" s="3" t="s">
        <v>67</v>
      </c>
      <c r="I3" s="3" t="s">
        <v>68</v>
      </c>
      <c r="J3" s="3" t="s">
        <v>69</v>
      </c>
      <c r="K3" s="4" t="s">
        <v>70</v>
      </c>
      <c r="L3" s="3" t="s">
        <v>71</v>
      </c>
      <c r="M3" s="3" t="s">
        <v>72</v>
      </c>
      <c r="N3" s="3" t="s">
        <v>73</v>
      </c>
      <c r="O3" s="3" t="s">
        <v>74</v>
      </c>
      <c r="P3" s="4" t="s">
        <v>75</v>
      </c>
      <c r="Q3" s="3" t="s">
        <v>76</v>
      </c>
      <c r="R3" s="4" t="s">
        <v>77</v>
      </c>
      <c r="S3" s="3" t="s">
        <v>78</v>
      </c>
      <c r="T3" s="3" t="s">
        <v>79</v>
      </c>
      <c r="U3" s="3" t="s">
        <v>95</v>
      </c>
      <c r="V3" s="3" t="s">
        <v>80</v>
      </c>
      <c r="W3" s="3" t="s">
        <v>81</v>
      </c>
      <c r="X3" s="3" t="s">
        <v>82</v>
      </c>
      <c r="Y3" s="3" t="s">
        <v>83</v>
      </c>
      <c r="Z3" s="3" t="s">
        <v>84</v>
      </c>
      <c r="AA3" s="3" t="s">
        <v>85</v>
      </c>
      <c r="AB3" s="3" t="s">
        <v>111</v>
      </c>
      <c r="AC3" s="4" t="s">
        <v>86</v>
      </c>
      <c r="AD3" s="3" t="s">
        <v>87</v>
      </c>
      <c r="AE3" s="3" t="s">
        <v>88</v>
      </c>
      <c r="AF3" s="3" t="s">
        <v>89</v>
      </c>
      <c r="AG3" s="3" t="s">
        <v>90</v>
      </c>
      <c r="AH3" s="3" t="s">
        <v>91</v>
      </c>
      <c r="AI3" s="3" t="s">
        <v>92</v>
      </c>
      <c r="AJ3" s="3" t="s">
        <v>93</v>
      </c>
      <c r="AK3" s="3" t="s">
        <v>94</v>
      </c>
      <c r="AL3" s="3" t="s">
        <v>96</v>
      </c>
      <c r="AM3" s="3" t="s">
        <v>97</v>
      </c>
      <c r="AN3" s="3" t="s">
        <v>98</v>
      </c>
      <c r="AO3" s="3" t="s">
        <v>99</v>
      </c>
      <c r="AP3" s="3" t="s">
        <v>100</v>
      </c>
      <c r="AQ3" s="3" t="s">
        <v>101</v>
      </c>
      <c r="AR3" s="3" t="s">
        <v>102</v>
      </c>
      <c r="AS3" s="3" t="s">
        <v>103</v>
      </c>
      <c r="AT3" s="39" t="s">
        <v>104</v>
      </c>
      <c r="AU3" s="39" t="s">
        <v>105</v>
      </c>
      <c r="AV3" s="39" t="s">
        <v>106</v>
      </c>
      <c r="AW3" s="3" t="s">
        <v>107</v>
      </c>
      <c r="AX3" s="3" t="s">
        <v>108</v>
      </c>
      <c r="AY3" s="3" t="s">
        <v>109</v>
      </c>
      <c r="AZ3" s="3" t="s">
        <v>110</v>
      </c>
      <c r="BA3" s="3" t="s">
        <v>112</v>
      </c>
      <c r="BB3" s="3" t="s">
        <v>113</v>
      </c>
      <c r="BC3" s="3" t="s">
        <v>114</v>
      </c>
      <c r="BD3" s="3" t="s">
        <v>115</v>
      </c>
      <c r="BE3" s="3" t="s">
        <v>116</v>
      </c>
      <c r="BF3" s="3" t="s">
        <v>117</v>
      </c>
      <c r="BG3" s="4" t="s">
        <v>136</v>
      </c>
      <c r="BH3" s="43" t="s">
        <v>118</v>
      </c>
      <c r="BI3" s="3" t="s">
        <v>119</v>
      </c>
      <c r="BJ3" s="49" t="s">
        <v>120</v>
      </c>
    </row>
    <row r="4" spans="1:63" ht="15.75">
      <c r="A4" s="130" t="s">
        <v>199</v>
      </c>
      <c r="B4" s="5" t="s">
        <v>121</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122</v>
      </c>
      <c r="BI4" s="5">
        <v>98</v>
      </c>
      <c r="BJ4" s="50"/>
    </row>
    <row r="5" spans="1:63" ht="15.75">
      <c r="A5" s="8" t="s">
        <v>123</v>
      </c>
      <c r="B5" s="11" t="s">
        <v>205</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BH5-BI5</f>
        <v>3762999</v>
      </c>
    </row>
    <row r="6" spans="1:63" ht="15.75">
      <c r="A6" s="130" t="s">
        <v>123</v>
      </c>
      <c r="B6" s="5" t="s">
        <v>202</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SUM(C6:AB6)</f>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SUM(AD6:BF6)</f>
        <v>180077.92000000004</v>
      </c>
      <c r="BH6" s="125">
        <f>AC6+BG6</f>
        <v>2023456.6</v>
      </c>
      <c r="BI6" s="38">
        <v>9256.5</v>
      </c>
      <c r="BJ6" s="126">
        <f>BH6-BI6</f>
        <v>2014200.1</v>
      </c>
    </row>
    <row r="7" spans="1:63" ht="15.75">
      <c r="A7" s="130"/>
      <c r="B7" s="134" t="s">
        <v>206</v>
      </c>
      <c r="C7" s="37">
        <f>C5-C6</f>
        <v>1166389.44</v>
      </c>
      <c r="D7" s="37">
        <f t="shared" ref="D7:AB7" si="0">D5-D6</f>
        <v>125874.52000000002</v>
      </c>
      <c r="E7" s="37">
        <f t="shared" si="0"/>
        <v>76770</v>
      </c>
      <c r="F7" s="37">
        <f t="shared" si="0"/>
        <v>139023.84</v>
      </c>
      <c r="G7" s="37">
        <f t="shared" si="0"/>
        <v>51248.159999999996</v>
      </c>
      <c r="H7" s="37">
        <f t="shared" si="0"/>
        <v>0</v>
      </c>
      <c r="I7" s="37">
        <f t="shared" si="0"/>
        <v>0</v>
      </c>
      <c r="J7" s="37">
        <f t="shared" si="0"/>
        <v>0</v>
      </c>
      <c r="K7" s="37">
        <f t="shared" si="0"/>
        <v>0</v>
      </c>
      <c r="L7" s="37">
        <f t="shared" si="0"/>
        <v>1776</v>
      </c>
      <c r="M7" s="37">
        <f t="shared" si="0"/>
        <v>3727.2</v>
      </c>
      <c r="N7" s="37">
        <f t="shared" si="0"/>
        <v>2844.96</v>
      </c>
      <c r="O7" s="37">
        <f t="shared" si="0"/>
        <v>5995.68</v>
      </c>
      <c r="P7" s="37">
        <f t="shared" si="0"/>
        <v>30125.760000000002</v>
      </c>
      <c r="Q7" s="37">
        <f t="shared" si="0"/>
        <v>0</v>
      </c>
      <c r="R7" s="37">
        <f t="shared" si="0"/>
        <v>-668.15999999999985</v>
      </c>
      <c r="S7" s="37">
        <f t="shared" si="0"/>
        <v>0</v>
      </c>
      <c r="T7" s="37">
        <f t="shared" si="0"/>
        <v>0</v>
      </c>
      <c r="U7" s="37">
        <f t="shared" si="0"/>
        <v>0</v>
      </c>
      <c r="V7" s="37">
        <f t="shared" si="0"/>
        <v>0</v>
      </c>
      <c r="W7" s="37">
        <f t="shared" si="0"/>
        <v>266.39999999999998</v>
      </c>
      <c r="X7" s="37">
        <f t="shared" si="0"/>
        <v>177.11999999999998</v>
      </c>
      <c r="Y7" s="37">
        <f t="shared" si="0"/>
        <v>254.39999999999998</v>
      </c>
      <c r="Z7" s="37">
        <f t="shared" si="0"/>
        <v>0</v>
      </c>
      <c r="AA7" s="37">
        <f t="shared" si="0"/>
        <v>0</v>
      </c>
      <c r="AB7" s="37">
        <f t="shared" si="0"/>
        <v>0</v>
      </c>
      <c r="AC7" s="123">
        <f>SUM(C7:AB7)</f>
        <v>1603805.3199999998</v>
      </c>
      <c r="AD7" s="37">
        <f>AD5-AD6</f>
        <v>36099.039999999994</v>
      </c>
      <c r="AE7" s="37">
        <f t="shared" ref="AE7:BF7" si="1">AE5-AE6</f>
        <v>11053.44</v>
      </c>
      <c r="AF7" s="37">
        <f t="shared" si="1"/>
        <v>5651.5199999999995</v>
      </c>
      <c r="AG7" s="37">
        <f t="shared" si="1"/>
        <v>0</v>
      </c>
      <c r="AH7" s="37">
        <f t="shared" si="1"/>
        <v>60</v>
      </c>
      <c r="AI7" s="37">
        <f t="shared" si="1"/>
        <v>115.19999999999999</v>
      </c>
      <c r="AJ7" s="37">
        <f t="shared" si="1"/>
        <v>785.03999999999905</v>
      </c>
      <c r="AK7" s="37">
        <f t="shared" si="1"/>
        <v>8558.4</v>
      </c>
      <c r="AL7" s="37">
        <f t="shared" si="1"/>
        <v>506.4</v>
      </c>
      <c r="AM7" s="37">
        <f t="shared" si="1"/>
        <v>-8.4</v>
      </c>
      <c r="AN7" s="37">
        <f t="shared" si="1"/>
        <v>38234.399999999994</v>
      </c>
      <c r="AO7" s="37">
        <f t="shared" si="1"/>
        <v>0.96</v>
      </c>
      <c r="AP7" s="37">
        <f t="shared" si="1"/>
        <v>0</v>
      </c>
      <c r="AQ7" s="37">
        <f t="shared" si="1"/>
        <v>0</v>
      </c>
      <c r="AR7" s="37">
        <f t="shared" si="1"/>
        <v>0</v>
      </c>
      <c r="AS7" s="37">
        <f t="shared" si="1"/>
        <v>0</v>
      </c>
      <c r="AT7" s="37">
        <f t="shared" si="1"/>
        <v>0</v>
      </c>
      <c r="AU7" s="37">
        <f t="shared" si="1"/>
        <v>0</v>
      </c>
      <c r="AV7" s="37">
        <f t="shared" si="1"/>
        <v>5654.4000000000005</v>
      </c>
      <c r="AW7" s="37">
        <f t="shared" si="1"/>
        <v>5009.76</v>
      </c>
      <c r="AX7" s="37">
        <f t="shared" si="1"/>
        <v>978.72</v>
      </c>
      <c r="AY7" s="37">
        <f t="shared" si="1"/>
        <v>0</v>
      </c>
      <c r="AZ7" s="37">
        <f t="shared" si="1"/>
        <v>0</v>
      </c>
      <c r="BA7" s="37">
        <f t="shared" si="1"/>
        <v>0</v>
      </c>
      <c r="BB7" s="37">
        <f t="shared" si="1"/>
        <v>909.12</v>
      </c>
      <c r="BC7" s="37">
        <f t="shared" si="1"/>
        <v>945.12</v>
      </c>
      <c r="BD7" s="37">
        <f t="shared" si="1"/>
        <v>91.679999999999993</v>
      </c>
      <c r="BE7" s="37">
        <f t="shared" si="1"/>
        <v>360.95999999999992</v>
      </c>
      <c r="BF7" s="37">
        <f t="shared" si="1"/>
        <v>39244.32</v>
      </c>
      <c r="BG7" s="124">
        <f>SUM(AD7:BF7)</f>
        <v>154250.07999999996</v>
      </c>
      <c r="BH7" s="125">
        <f>AC7+BG7</f>
        <v>1758055.4</v>
      </c>
      <c r="BI7" s="38">
        <f>BI5-BI6</f>
        <v>9256.5</v>
      </c>
      <c r="BJ7" s="126">
        <f>BH7-BI7</f>
        <v>1748798.9</v>
      </c>
    </row>
    <row r="8" spans="1:63" ht="15.75">
      <c r="A8" s="130"/>
      <c r="B8" s="12" t="s">
        <v>203</v>
      </c>
      <c r="C8" s="9">
        <f>IF('Upto Month Current'!$B$4="",0,'Upto Month Current'!$B$4)</f>
        <v>646066</v>
      </c>
      <c r="D8" s="9">
        <f>IF('Upto Month Current'!$B$5="",0,'Upto Month Current'!$B$5)</f>
        <v>296979</v>
      </c>
      <c r="E8" s="9">
        <f>IF('Upto Month Current'!$B$6="",0,'Upto Month Current'!$B$6)</f>
        <v>16460</v>
      </c>
      <c r="F8" s="9">
        <f>IF('Upto Month Current'!$B$7="",0,'Upto Month Current'!$B$7)</f>
        <v>72839</v>
      </c>
      <c r="G8" s="9">
        <f>IF('Upto Month Current'!$B$8="",0,'Upto Month Current'!$B$8)</f>
        <v>33269</v>
      </c>
      <c r="H8" s="9">
        <f>IF('Upto Month Current'!$B$9="",0,'Upto Month Current'!$B$9)</f>
        <v>0</v>
      </c>
      <c r="I8" s="9">
        <f>IF('Upto Month Current'!$B$10="",0,'Upto Month Current'!$B$10)</f>
        <v>0</v>
      </c>
      <c r="J8" s="9">
        <f>IF('Upto Month Current'!$B$11="",0,'Upto Month Current'!$B$11)</f>
        <v>0</v>
      </c>
      <c r="K8" s="9">
        <f>IF('Upto Month Current'!$B$12="",0,'Upto Month Current'!$B$12)</f>
        <v>0</v>
      </c>
      <c r="L8" s="9">
        <f>IF('Upto Month Current'!$B$13="",0,'Upto Month Current'!$B$13)</f>
        <v>780</v>
      </c>
      <c r="M8" s="9">
        <f>IF('Upto Month Current'!$B$14="",0,'Upto Month Current'!$B$14)</f>
        <v>2715</v>
      </c>
      <c r="N8" s="9">
        <f>IF('Upto Month Current'!$B$15="",0,'Upto Month Current'!$B$15)</f>
        <v>455</v>
      </c>
      <c r="O8" s="9">
        <f>IF('Upto Month Current'!$B$16="",0,'Upto Month Current'!$B$16)</f>
        <v>4702</v>
      </c>
      <c r="P8" s="9">
        <f>IF('Upto Month Current'!$B$17="",0,'Upto Month Current'!$B$17)</f>
        <v>26468</v>
      </c>
      <c r="Q8" s="9">
        <f>IF('Upto Month Current'!$B$18="",0,'Upto Month Current'!$B$18)</f>
        <v>0</v>
      </c>
      <c r="R8" s="9">
        <f>IF('Upto Month Current'!$B$21="",0,'Upto Month Current'!$B$21)</f>
        <v>5110</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91</v>
      </c>
      <c r="X8" s="9">
        <f>IF('Upto Month Current'!$B$40="",0,'Upto Month Current'!$B$40)</f>
        <v>0</v>
      </c>
      <c r="Y8" s="9">
        <f>IF('Upto Month Current'!$B$42="",0,'Upto Month Current'!$B$42)</f>
        <v>4173</v>
      </c>
      <c r="Z8" s="9">
        <f>IF('Upto Month Current'!$B$43="",0,'Upto Month Current'!$B$43)</f>
        <v>943</v>
      </c>
      <c r="AA8" s="9">
        <f>IF('Upto Month Current'!$B$44="",0,'Upto Month Current'!$B$44)</f>
        <v>761</v>
      </c>
      <c r="AB8" s="9">
        <f>IF('Upto Month Current'!$B$51="",0,'Upto Month Current'!$B$51)</f>
        <v>0</v>
      </c>
      <c r="AC8" s="123">
        <f>SUM(C8:AB8)</f>
        <v>1111811</v>
      </c>
      <c r="AD8" s="9">
        <f>IF('Upto Month Current'!$B$19="",0,'Upto Month Current'!$B$19)</f>
        <v>294</v>
      </c>
      <c r="AE8" s="9">
        <f>IF('Upto Month Current'!$B$20="",0,'Upto Month Current'!$B$20)</f>
        <v>4852</v>
      </c>
      <c r="AF8" s="9">
        <f>IF('Upto Month Current'!$B$22="",0,'Upto Month Current'!$B$22)</f>
        <v>822</v>
      </c>
      <c r="AG8" s="9">
        <f>IF('Upto Month Current'!$B$23="",0,'Upto Month Current'!$B$23)</f>
        <v>0</v>
      </c>
      <c r="AH8" s="9">
        <f>IF('Upto Month Current'!$B$24="",0,'Upto Month Current'!$B$24)</f>
        <v>0</v>
      </c>
      <c r="AI8" s="9">
        <f>IF('Upto Month Current'!$B$25="",0,'Upto Month Current'!$B$25)</f>
        <v>0</v>
      </c>
      <c r="AJ8" s="9">
        <f>IF('Upto Month Current'!$B$28="",0,'Upto Month Current'!$B$28)</f>
        <v>597</v>
      </c>
      <c r="AK8" s="9">
        <f>IF('Upto Month Current'!$B$29="",0,'Upto Month Current'!$B$29)</f>
        <v>5420</v>
      </c>
      <c r="AL8" s="9">
        <f>IF('Upto Month Current'!$B$31="",0,'Upto Month Current'!$B$31)</f>
        <v>0</v>
      </c>
      <c r="AM8" s="9">
        <f>IF('Upto Month Current'!$B$32="",0,'Upto Month Current'!$B$32)</f>
        <v>0</v>
      </c>
      <c r="AN8" s="9">
        <f>IF('Upto Month Current'!$B$33="",0,'Upto Month Current'!$B$33)</f>
        <v>3339</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0</v>
      </c>
      <c r="AW8" s="9">
        <f>IF('Upto Month Current'!$B$46="",0,'Upto Month Current'!$B$46)</f>
        <v>1479</v>
      </c>
      <c r="AX8" s="9">
        <f>IF('Upto Month Current'!$B$47="",0,'Upto Month Current'!$B$47)</f>
        <v>0</v>
      </c>
      <c r="AY8" s="9">
        <f>IF('Upto Month Current'!$B$49="",0,'Upto Month Current'!$B$49)</f>
        <v>0</v>
      </c>
      <c r="AZ8" s="9">
        <f>IF('Upto Month Current'!$B$50="",0,'Upto Month Current'!$B$50)</f>
        <v>0</v>
      </c>
      <c r="BA8" s="9">
        <f>IF('Upto Month Current'!$B$52="",0,'Upto Month Current'!$B$52)</f>
        <v>0</v>
      </c>
      <c r="BB8" s="9">
        <f>IF('Upto Month Current'!$B$53="",0,'Upto Month Current'!$B$53)</f>
        <v>671</v>
      </c>
      <c r="BC8" s="9">
        <f>IF('Upto Month Current'!$B$54="",0,'Upto Month Current'!$B$54)</f>
        <v>671</v>
      </c>
      <c r="BD8" s="9">
        <f>IF('Upto Month Current'!$B$55="",0,'Upto Month Current'!$B$55)</f>
        <v>0</v>
      </c>
      <c r="BE8" s="9">
        <f>IF('Upto Month Current'!$B$56="",0,'Upto Month Current'!$B$56)</f>
        <v>42</v>
      </c>
      <c r="BF8" s="9">
        <f>IF('Upto Month Current'!$B$58="",0,'Upto Month Current'!$B$58)</f>
        <v>9327</v>
      </c>
      <c r="BG8" s="124">
        <f>SUM(AD8:BF8)</f>
        <v>27514</v>
      </c>
      <c r="BH8" s="125">
        <f>AC8+BG8</f>
        <v>1139325</v>
      </c>
      <c r="BI8" s="9">
        <f>IF('Upto Month Current'!$B$60="",0,'Upto Month Current'!$B$60)</f>
        <v>0</v>
      </c>
      <c r="BJ8" s="126">
        <f>BH8-BI8</f>
        <v>1139325</v>
      </c>
      <c r="BK8">
        <f>'Upto Month Current'!$B$61</f>
        <v>1139322</v>
      </c>
    </row>
    <row r="9" spans="1:63" ht="15.75">
      <c r="A9" s="130"/>
      <c r="B9" s="5" t="s">
        <v>201</v>
      </c>
      <c r="C9" s="128">
        <f t="shared" ref="C9:AH9" si="2">C8/C5</f>
        <v>0.26587318897537343</v>
      </c>
      <c r="D9" s="128">
        <f t="shared" si="2"/>
        <v>0.67702334869851866</v>
      </c>
      <c r="E9" s="128">
        <f t="shared" si="2"/>
        <v>0.21440666927185098</v>
      </c>
      <c r="F9" s="128">
        <f t="shared" si="2"/>
        <v>0.25148722693891923</v>
      </c>
      <c r="G9" s="128">
        <f t="shared" si="2"/>
        <v>0.31160377270130285</v>
      </c>
      <c r="H9" s="128" t="e">
        <f t="shared" si="2"/>
        <v>#DIV/0!</v>
      </c>
      <c r="I9" s="128" t="e">
        <f t="shared" si="2"/>
        <v>#DIV/0!</v>
      </c>
      <c r="J9" s="128" t="e">
        <f t="shared" si="2"/>
        <v>#DIV/0!</v>
      </c>
      <c r="K9" s="128" t="e">
        <f t="shared" si="2"/>
        <v>#DIV/0!</v>
      </c>
      <c r="L9" s="128">
        <f t="shared" si="2"/>
        <v>0.21081081081081082</v>
      </c>
      <c r="M9" s="128">
        <f t="shared" si="2"/>
        <v>0.34964584674822924</v>
      </c>
      <c r="N9" s="128">
        <f t="shared" si="2"/>
        <v>7.676733592036443E-2</v>
      </c>
      <c r="O9" s="128">
        <f t="shared" si="2"/>
        <v>0.37643103034184611</v>
      </c>
      <c r="P9" s="128">
        <f t="shared" si="2"/>
        <v>0.4217201491348268</v>
      </c>
      <c r="Q9" s="128" t="e">
        <f t="shared" si="2"/>
        <v>#DIV/0!</v>
      </c>
      <c r="R9" s="128">
        <f t="shared" si="2"/>
        <v>0.4528937339360099</v>
      </c>
      <c r="S9" s="128" t="e">
        <f t="shared" si="2"/>
        <v>#DIV/0!</v>
      </c>
      <c r="T9" s="128" t="e">
        <f t="shared" si="2"/>
        <v>#DIV/0!</v>
      </c>
      <c r="U9" s="128" t="e">
        <f t="shared" si="2"/>
        <v>#DIV/0!</v>
      </c>
      <c r="V9" s="128" t="e">
        <f t="shared" si="2"/>
        <v>#DIV/0!</v>
      </c>
      <c r="W9" s="128">
        <f t="shared" si="2"/>
        <v>0.16396396396396395</v>
      </c>
      <c r="X9" s="128">
        <f t="shared" si="2"/>
        <v>0</v>
      </c>
      <c r="Y9" s="128">
        <f t="shared" si="2"/>
        <v>7.8735849056603771</v>
      </c>
      <c r="Z9" s="128" t="e">
        <f t="shared" si="2"/>
        <v>#DIV/0!</v>
      </c>
      <c r="AA9" s="128" t="e">
        <f t="shared" si="2"/>
        <v>#DIV/0!</v>
      </c>
      <c r="AB9" s="128" t="e">
        <f t="shared" si="2"/>
        <v>#DIV/0!</v>
      </c>
      <c r="AC9" s="128">
        <f t="shared" si="2"/>
        <v>0.32252731504903714</v>
      </c>
      <c r="AD9" s="128">
        <f t="shared" si="2"/>
        <v>3.650722694084339E-3</v>
      </c>
      <c r="AE9" s="128">
        <f t="shared" si="2"/>
        <v>0.21070001737015806</v>
      </c>
      <c r="AF9" s="128">
        <f t="shared" si="2"/>
        <v>6.981484627144556E-2</v>
      </c>
      <c r="AG9" s="128" t="e">
        <f t="shared" si="2"/>
        <v>#DIV/0!</v>
      </c>
      <c r="AH9" s="128">
        <f t="shared" si="2"/>
        <v>0</v>
      </c>
      <c r="AI9" s="128">
        <f t="shared" ref="AI9:BJ9" si="3">AI8/AI5</f>
        <v>0</v>
      </c>
      <c r="AJ9" s="128">
        <f t="shared" si="3"/>
        <v>6.3754805638615977E-2</v>
      </c>
      <c r="AK9" s="128">
        <f t="shared" si="3"/>
        <v>0.30398205272013462</v>
      </c>
      <c r="AL9" s="128">
        <f t="shared" si="3"/>
        <v>0</v>
      </c>
      <c r="AM9" s="128">
        <f t="shared" si="3"/>
        <v>0</v>
      </c>
      <c r="AN9" s="128">
        <f t="shared" si="3"/>
        <v>4.1918272550373482E-2</v>
      </c>
      <c r="AO9" s="128">
        <f t="shared" si="3"/>
        <v>0</v>
      </c>
      <c r="AP9" s="128" t="e">
        <f t="shared" si="3"/>
        <v>#DIV/0!</v>
      </c>
      <c r="AQ9" s="128" t="e">
        <f t="shared" si="3"/>
        <v>#DIV/0!</v>
      </c>
      <c r="AR9" s="128" t="e">
        <f t="shared" si="3"/>
        <v>#DIV/0!</v>
      </c>
      <c r="AS9" s="128" t="e">
        <f t="shared" si="3"/>
        <v>#DIV/0!</v>
      </c>
      <c r="AT9" s="128" t="e">
        <f t="shared" si="3"/>
        <v>#DIV/0!</v>
      </c>
      <c r="AU9" s="128" t="e">
        <f t="shared" si="3"/>
        <v>#DIV/0!</v>
      </c>
      <c r="AV9" s="128">
        <f t="shared" si="3"/>
        <v>0</v>
      </c>
      <c r="AW9" s="128">
        <f t="shared" si="3"/>
        <v>0.14170738718022421</v>
      </c>
      <c r="AX9" s="128">
        <f t="shared" si="3"/>
        <v>0</v>
      </c>
      <c r="AY9" s="128" t="e">
        <f t="shared" si="3"/>
        <v>#DIV/0!</v>
      </c>
      <c r="AZ9" s="128" t="e">
        <f t="shared" si="3"/>
        <v>#DIV/0!</v>
      </c>
      <c r="BA9" s="128" t="e">
        <f t="shared" si="3"/>
        <v>#DIV/0!</v>
      </c>
      <c r="BB9" s="128">
        <f t="shared" si="3"/>
        <v>0.3542766631467793</v>
      </c>
      <c r="BC9" s="128">
        <f t="shared" si="3"/>
        <v>0.34078212290502791</v>
      </c>
      <c r="BD9" s="128">
        <f t="shared" si="3"/>
        <v>0</v>
      </c>
      <c r="BE9" s="128">
        <f t="shared" si="3"/>
        <v>5.5851063829787231E-2</v>
      </c>
      <c r="BF9" s="128">
        <f t="shared" si="3"/>
        <v>0.11421888585459043</v>
      </c>
      <c r="BG9" s="128">
        <f t="shared" si="3"/>
        <v>8.2296427460457997E-2</v>
      </c>
      <c r="BH9" s="128">
        <f t="shared" si="3"/>
        <v>0.30128821487278107</v>
      </c>
      <c r="BI9" s="128">
        <f t="shared" si="3"/>
        <v>0</v>
      </c>
      <c r="BJ9" s="128">
        <f t="shared" si="3"/>
        <v>0.30277047642053584</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128</v>
      </c>
      <c r="B11" s="11" t="s">
        <v>205</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BH11-BI11</f>
        <v>8368212</v>
      </c>
    </row>
    <row r="12" spans="1:63" ht="15.75">
      <c r="A12" s="130" t="s">
        <v>128</v>
      </c>
      <c r="B12" s="5" t="s">
        <v>202</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SUM(C12:AB12)</f>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SUM(AD12:BF12)</f>
        <v>855324.6</v>
      </c>
      <c r="BH12" s="125">
        <f>AC12+BG12</f>
        <v>4509088.4799999995</v>
      </c>
      <c r="BI12" s="37">
        <v>31979.500000000004</v>
      </c>
      <c r="BJ12" s="126">
        <f>BH12-BI12</f>
        <v>4477108.9799999995</v>
      </c>
    </row>
    <row r="13" spans="1:63" ht="15.75">
      <c r="A13" s="130"/>
      <c r="B13" s="5"/>
      <c r="C13" s="37">
        <f>C11-C12</f>
        <v>2236971.84</v>
      </c>
      <c r="D13" s="37">
        <f t="shared" ref="D13:AB13" si="4">D11-D12</f>
        <v>140892</v>
      </c>
      <c r="E13" s="37">
        <f t="shared" si="4"/>
        <v>277075</v>
      </c>
      <c r="F13" s="37">
        <f t="shared" si="4"/>
        <v>163680.47999999998</v>
      </c>
      <c r="G13" s="37">
        <f t="shared" si="4"/>
        <v>122043.84</v>
      </c>
      <c r="H13" s="37">
        <f t="shared" si="4"/>
        <v>0</v>
      </c>
      <c r="I13" s="37">
        <f t="shared" si="4"/>
        <v>0</v>
      </c>
      <c r="J13" s="37">
        <f t="shared" si="4"/>
        <v>0</v>
      </c>
      <c r="K13" s="37">
        <f t="shared" si="4"/>
        <v>0</v>
      </c>
      <c r="L13" s="37">
        <f t="shared" si="4"/>
        <v>25042.559999999998</v>
      </c>
      <c r="M13" s="37">
        <f t="shared" si="4"/>
        <v>148098.72</v>
      </c>
      <c r="N13" s="37">
        <f t="shared" si="4"/>
        <v>126.72</v>
      </c>
      <c r="O13" s="37">
        <f t="shared" si="4"/>
        <v>4305.6000000000004</v>
      </c>
      <c r="P13" s="37">
        <f t="shared" si="4"/>
        <v>115777.43999999997</v>
      </c>
      <c r="Q13" s="37">
        <f t="shared" si="4"/>
        <v>0</v>
      </c>
      <c r="R13" s="37">
        <f t="shared" si="4"/>
        <v>-1355.08</v>
      </c>
      <c r="S13" s="37">
        <f t="shared" si="4"/>
        <v>0</v>
      </c>
      <c r="T13" s="37">
        <f t="shared" si="4"/>
        <v>0</v>
      </c>
      <c r="U13" s="37">
        <f t="shared" si="4"/>
        <v>0</v>
      </c>
      <c r="V13" s="37">
        <f t="shared" si="4"/>
        <v>0</v>
      </c>
      <c r="W13" s="37">
        <f t="shared" si="4"/>
        <v>0</v>
      </c>
      <c r="X13" s="37">
        <f t="shared" si="4"/>
        <v>0</v>
      </c>
      <c r="Y13" s="37">
        <f t="shared" si="4"/>
        <v>0</v>
      </c>
      <c r="Z13" s="37">
        <f t="shared" si="4"/>
        <v>0</v>
      </c>
      <c r="AA13" s="37">
        <f t="shared" si="4"/>
        <v>0</v>
      </c>
      <c r="AB13" s="37">
        <f t="shared" si="4"/>
        <v>0</v>
      </c>
      <c r="AC13" s="123">
        <f>SUM(C13:AB13)</f>
        <v>3232659.12</v>
      </c>
      <c r="AD13" s="37">
        <f>AD11-AD12</f>
        <v>4343.96</v>
      </c>
      <c r="AE13" s="37">
        <f t="shared" ref="AE13:BF13" si="5">AE11-AE12</f>
        <v>24</v>
      </c>
      <c r="AF13" s="37">
        <f t="shared" si="5"/>
        <v>14392.319999999996</v>
      </c>
      <c r="AG13" s="37">
        <f t="shared" si="5"/>
        <v>0</v>
      </c>
      <c r="AH13" s="37">
        <f t="shared" si="5"/>
        <v>0</v>
      </c>
      <c r="AI13" s="37">
        <f t="shared" si="5"/>
        <v>0</v>
      </c>
      <c r="AJ13" s="37">
        <f t="shared" si="5"/>
        <v>50121.199999999983</v>
      </c>
      <c r="AK13" s="37">
        <f t="shared" si="5"/>
        <v>166010.4</v>
      </c>
      <c r="AL13" s="37">
        <f t="shared" si="5"/>
        <v>0</v>
      </c>
      <c r="AM13" s="37">
        <f t="shared" si="5"/>
        <v>16496.16</v>
      </c>
      <c r="AN13" s="37">
        <f t="shared" si="5"/>
        <v>429793.44</v>
      </c>
      <c r="AO13" s="37">
        <f t="shared" si="5"/>
        <v>-33864.959999999999</v>
      </c>
      <c r="AP13" s="37">
        <f t="shared" si="5"/>
        <v>0</v>
      </c>
      <c r="AQ13" s="37">
        <f t="shared" si="5"/>
        <v>0</v>
      </c>
      <c r="AR13" s="37">
        <f t="shared" si="5"/>
        <v>0</v>
      </c>
      <c r="AS13" s="37">
        <f t="shared" si="5"/>
        <v>0</v>
      </c>
      <c r="AT13" s="37">
        <f t="shared" si="5"/>
        <v>0</v>
      </c>
      <c r="AU13" s="37">
        <f t="shared" si="5"/>
        <v>1</v>
      </c>
      <c r="AV13" s="37">
        <f t="shared" si="5"/>
        <v>98.4</v>
      </c>
      <c r="AW13" s="37">
        <f t="shared" si="5"/>
        <v>191.04</v>
      </c>
      <c r="AX13" s="37">
        <f t="shared" si="5"/>
        <v>126.72</v>
      </c>
      <c r="AY13" s="37">
        <f t="shared" si="5"/>
        <v>0</v>
      </c>
      <c r="AZ13" s="37">
        <f t="shared" si="5"/>
        <v>0</v>
      </c>
      <c r="BA13" s="37">
        <f t="shared" si="5"/>
        <v>0</v>
      </c>
      <c r="BB13" s="37">
        <f t="shared" si="5"/>
        <v>11664</v>
      </c>
      <c r="BC13" s="37">
        <f t="shared" si="5"/>
        <v>11663.039999999999</v>
      </c>
      <c r="BD13" s="37">
        <f t="shared" si="5"/>
        <v>0</v>
      </c>
      <c r="BE13" s="37">
        <f t="shared" si="5"/>
        <v>4849.4400000000005</v>
      </c>
      <c r="BF13" s="37">
        <f t="shared" si="5"/>
        <v>14513.239999999998</v>
      </c>
      <c r="BG13" s="124">
        <f>SUM(AD13:BF13)</f>
        <v>690423.4</v>
      </c>
      <c r="BH13" s="125">
        <f>AC13+BG13</f>
        <v>3923082.52</v>
      </c>
      <c r="BI13" s="38">
        <f>BI11-BI12</f>
        <v>31979.499999999996</v>
      </c>
      <c r="BJ13" s="126">
        <f>BH13-BI13</f>
        <v>3891103.02</v>
      </c>
    </row>
    <row r="14" spans="1:63" ht="15.75">
      <c r="A14" s="130"/>
      <c r="B14" s="12" t="s">
        <v>203</v>
      </c>
      <c r="C14" s="9">
        <f>IF('Upto Month Current'!$C$4="",0,'Upto Month Current'!$C$4)</f>
        <v>2510339</v>
      </c>
      <c r="D14" s="9">
        <f>IF('Upto Month Current'!$C$5="",0,'Upto Month Current'!$C$5)</f>
        <v>1147565</v>
      </c>
      <c r="E14" s="9">
        <f>IF('Upto Month Current'!$C$6="",0,'Upto Month Current'!$C$6)</f>
        <v>125162</v>
      </c>
      <c r="F14" s="9">
        <f>IF('Upto Month Current'!$C$7="",0,'Upto Month Current'!$C$7)</f>
        <v>192097</v>
      </c>
      <c r="G14" s="9">
        <f>IF('Upto Month Current'!$C$8="",0,'Upto Month Current'!$C$8)</f>
        <v>209461</v>
      </c>
      <c r="H14" s="9">
        <f>IF('Upto Month Current'!$C$9="",0,'Upto Month Current'!$C$9)</f>
        <v>0</v>
      </c>
      <c r="I14" s="9">
        <f>IF('Upto Month Current'!$C$10="",0,'Upto Month Current'!$C$10)</f>
        <v>0</v>
      </c>
      <c r="J14" s="9">
        <f>IF('Upto Month Current'!$C$11="",0,'Upto Month Current'!$C$11)</f>
        <v>0</v>
      </c>
      <c r="K14" s="9">
        <f>IF('Upto Month Current'!$C$12="",0,'Upto Month Current'!$C$12)</f>
        <v>62</v>
      </c>
      <c r="L14" s="9">
        <f>IF('Upto Month Current'!$C$13="",0,'Upto Month Current'!$C$13)</f>
        <v>49833</v>
      </c>
      <c r="M14" s="9">
        <f>IF('Upto Month Current'!$C$14="",0,'Upto Month Current'!$C$14)</f>
        <v>241696</v>
      </c>
      <c r="N14" s="9">
        <f>IF('Upto Month Current'!$C$15="",0,'Upto Month Current'!$C$15)</f>
        <v>88</v>
      </c>
      <c r="O14" s="9">
        <f>IF('Upto Month Current'!$C$16="",0,'Upto Month Current'!$C$16)</f>
        <v>3031</v>
      </c>
      <c r="P14" s="9">
        <f>IF('Upto Month Current'!$C$17="",0,'Upto Month Current'!$C$17)</f>
        <v>178027</v>
      </c>
      <c r="Q14" s="9">
        <f>IF('Upto Month Current'!$C$18="",0,'Upto Month Current'!$C$18)</f>
        <v>0</v>
      </c>
      <c r="R14" s="9">
        <f>IF('Upto Month Current'!$C$21="",0,'Upto Month Current'!$C$21)</f>
        <v>3427</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3787</v>
      </c>
      <c r="Z14" s="9">
        <f>IF('Upto Month Current'!$C$43="",0,'Upto Month Current'!$C$43)</f>
        <v>1187</v>
      </c>
      <c r="AA14" s="9">
        <f>IF('Upto Month Current'!$C$44="",0,'Upto Month Current'!$C$44)</f>
        <v>1704</v>
      </c>
      <c r="AB14" s="9">
        <f>IF('Upto Month Current'!$C$51="",0,'Upto Month Current'!$C$51)</f>
        <v>0</v>
      </c>
      <c r="AC14" s="123">
        <f>SUM(C14:AB14)</f>
        <v>4667466</v>
      </c>
      <c r="AD14" s="9">
        <f>IF('Upto Month Current'!$C$19="",0,'Upto Month Current'!$C$19)</f>
        <v>78</v>
      </c>
      <c r="AE14" s="9">
        <f>IF('Upto Month Current'!$C$20="",0,'Upto Month Current'!$C$20)</f>
        <v>0</v>
      </c>
      <c r="AF14" s="9">
        <f>IF('Upto Month Current'!$C$22="",0,'Upto Month Current'!$C$22)</f>
        <v>15889</v>
      </c>
      <c r="AG14" s="9">
        <f>IF('Upto Month Current'!$C$23="",0,'Upto Month Current'!$C$23)</f>
        <v>0</v>
      </c>
      <c r="AH14" s="9">
        <f>IF('Upto Month Current'!$C$24="",0,'Upto Month Current'!$C$24)</f>
        <v>0</v>
      </c>
      <c r="AI14" s="9">
        <f>IF('Upto Month Current'!$C$25="",0,'Upto Month Current'!$C$25)</f>
        <v>0</v>
      </c>
      <c r="AJ14" s="9">
        <f>IF('Upto Month Current'!$C$28="",0,'Upto Month Current'!$C$28)</f>
        <v>88597</v>
      </c>
      <c r="AK14" s="9">
        <f>IF('Upto Month Current'!$C$29="",0,'Upto Month Current'!$C$29)</f>
        <v>149103</v>
      </c>
      <c r="AL14" s="9">
        <f>IF('Upto Month Current'!$C$31="",0,'Upto Month Current'!$C$31)</f>
        <v>0</v>
      </c>
      <c r="AM14" s="9">
        <f>IF('Upto Month Current'!$C$32="",0,'Upto Month Current'!$C$32)</f>
        <v>150449</v>
      </c>
      <c r="AN14" s="9">
        <f>IF('Upto Month Current'!$C$33="",0,'Upto Month Current'!$C$33)</f>
        <v>546959</v>
      </c>
      <c r="AO14" s="9">
        <f>IF('Upto Month Current'!$C$34="",0,'Upto Month Current'!$C$34)</f>
        <v>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811</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27559</v>
      </c>
      <c r="BC14" s="9">
        <f>IF('Upto Month Current'!$C$54="",0,'Upto Month Current'!$C$54)</f>
        <v>27559</v>
      </c>
      <c r="BD14" s="9">
        <f>IF('Upto Month Current'!$C$55="",0,'Upto Month Current'!$C$55)</f>
        <v>0</v>
      </c>
      <c r="BE14" s="9">
        <f>IF('Upto Month Current'!$C$56="",0,'Upto Month Current'!$C$56)</f>
        <v>6284</v>
      </c>
      <c r="BF14" s="9">
        <f>IF('Upto Month Current'!$C$58="",0,'Upto Month Current'!$C$58)</f>
        <v>1131</v>
      </c>
      <c r="BG14" s="124">
        <f>SUM(AD14:BF14)</f>
        <v>1014419</v>
      </c>
      <c r="BH14" s="125">
        <f>AC14+BG14</f>
        <v>5681885</v>
      </c>
      <c r="BI14" s="9">
        <f>IF('Upto Month Current'!$C$60="",0,'Upto Month Current'!$C$60)</f>
        <v>0</v>
      </c>
      <c r="BJ14" s="126">
        <f>BH14-BI14</f>
        <v>5681885</v>
      </c>
      <c r="BK14">
        <f>'Upto Month Current'!$C$61</f>
        <v>5681883</v>
      </c>
    </row>
    <row r="15" spans="1:63" ht="15.75">
      <c r="A15" s="130"/>
      <c r="B15" s="5" t="s">
        <v>201</v>
      </c>
      <c r="C15" s="128">
        <f t="shared" ref="C15:AH15" si="6">C14/C11</f>
        <v>0.53865797434446028</v>
      </c>
      <c r="D15" s="128">
        <f t="shared" si="6"/>
        <v>1.5547575596227607</v>
      </c>
      <c r="E15" s="128">
        <f t="shared" si="6"/>
        <v>0.45172606694938194</v>
      </c>
      <c r="F15" s="128">
        <f t="shared" si="6"/>
        <v>0.56333265884850781</v>
      </c>
      <c r="G15" s="128">
        <f t="shared" si="6"/>
        <v>0.82381282004892664</v>
      </c>
      <c r="H15" s="128" t="e">
        <f t="shared" si="6"/>
        <v>#DIV/0!</v>
      </c>
      <c r="I15" s="128" t="e">
        <f t="shared" si="6"/>
        <v>#DIV/0!</v>
      </c>
      <c r="J15" s="128" t="e">
        <f t="shared" si="6"/>
        <v>#DIV/0!</v>
      </c>
      <c r="K15" s="128" t="e">
        <f t="shared" si="6"/>
        <v>#DIV/0!</v>
      </c>
      <c r="L15" s="128">
        <f t="shared" si="6"/>
        <v>0.95516752280916972</v>
      </c>
      <c r="M15" s="128">
        <f t="shared" si="6"/>
        <v>0.78335639902897203</v>
      </c>
      <c r="N15" s="128">
        <f t="shared" si="6"/>
        <v>0.33333333333333331</v>
      </c>
      <c r="O15" s="128">
        <f t="shared" si="6"/>
        <v>0.33790412486064658</v>
      </c>
      <c r="P15" s="128">
        <f t="shared" si="6"/>
        <v>0.73807954295759171</v>
      </c>
      <c r="Q15" s="128" t="e">
        <f t="shared" si="6"/>
        <v>#DIV/0!</v>
      </c>
      <c r="R15" s="128">
        <f t="shared" si="6"/>
        <v>0.76427297056199817</v>
      </c>
      <c r="S15" s="128" t="e">
        <f t="shared" si="6"/>
        <v>#DIV/0!</v>
      </c>
      <c r="T15" s="128" t="e">
        <f t="shared" si="6"/>
        <v>#DIV/0!</v>
      </c>
      <c r="U15" s="128" t="e">
        <f t="shared" si="6"/>
        <v>#DIV/0!</v>
      </c>
      <c r="V15" s="128" t="e">
        <f t="shared" si="6"/>
        <v>#DIV/0!</v>
      </c>
      <c r="W15" s="128" t="e">
        <f t="shared" si="6"/>
        <v>#DIV/0!</v>
      </c>
      <c r="X15" s="128" t="e">
        <f t="shared" si="6"/>
        <v>#DIV/0!</v>
      </c>
      <c r="Y15" s="128" t="e">
        <f t="shared" si="6"/>
        <v>#DIV/0!</v>
      </c>
      <c r="Z15" s="128" t="e">
        <f t="shared" si="6"/>
        <v>#DIV/0!</v>
      </c>
      <c r="AA15" s="128" t="e">
        <f t="shared" si="6"/>
        <v>#DIV/0!</v>
      </c>
      <c r="AB15" s="128" t="e">
        <f t="shared" si="6"/>
        <v>#DIV/0!</v>
      </c>
      <c r="AC15" s="128">
        <f t="shared" si="6"/>
        <v>0.67777799882464385</v>
      </c>
      <c r="AD15" s="128">
        <f t="shared" si="6"/>
        <v>8.0189164182173332E-3</v>
      </c>
      <c r="AE15" s="128">
        <f t="shared" si="6"/>
        <v>0</v>
      </c>
      <c r="AF15" s="128">
        <f t="shared" si="6"/>
        <v>0.52991595517609391</v>
      </c>
      <c r="AG15" s="128" t="e">
        <f t="shared" si="6"/>
        <v>#DIV/0!</v>
      </c>
      <c r="AH15" s="128" t="e">
        <f t="shared" si="6"/>
        <v>#DIV/0!</v>
      </c>
      <c r="AI15" s="128" t="e">
        <f t="shared" ref="AI15:BJ15" si="7">AI14/AI11</f>
        <v>#DIV/0!</v>
      </c>
      <c r="AJ15" s="128">
        <f t="shared" si="7"/>
        <v>0.41967618470166929</v>
      </c>
      <c r="AK15" s="128">
        <f t="shared" si="7"/>
        <v>0.43111419525523703</v>
      </c>
      <c r="AL15" s="128" t="e">
        <f t="shared" si="7"/>
        <v>#DIV/0!</v>
      </c>
      <c r="AM15" s="128">
        <f t="shared" si="7"/>
        <v>4.3777169959554225</v>
      </c>
      <c r="AN15" s="128">
        <f t="shared" si="7"/>
        <v>0.61085232012847845</v>
      </c>
      <c r="AO15" s="128">
        <f t="shared" si="7"/>
        <v>0</v>
      </c>
      <c r="AP15" s="128" t="e">
        <f t="shared" si="7"/>
        <v>#DIV/0!</v>
      </c>
      <c r="AQ15" s="128" t="e">
        <f t="shared" si="7"/>
        <v>#DIV/0!</v>
      </c>
      <c r="AR15" s="128" t="e">
        <f t="shared" si="7"/>
        <v>#DIV/0!</v>
      </c>
      <c r="AS15" s="128" t="e">
        <f t="shared" si="7"/>
        <v>#DIV/0!</v>
      </c>
      <c r="AT15" s="128" t="e">
        <f t="shared" si="7"/>
        <v>#DIV/0!</v>
      </c>
      <c r="AU15" s="128">
        <f t="shared" si="7"/>
        <v>0</v>
      </c>
      <c r="AV15" s="128">
        <f t="shared" si="7"/>
        <v>0</v>
      </c>
      <c r="AW15" s="128">
        <f t="shared" si="7"/>
        <v>2.0376884422110555</v>
      </c>
      <c r="AX15" s="128">
        <f t="shared" si="7"/>
        <v>0</v>
      </c>
      <c r="AY15" s="128" t="e">
        <f t="shared" si="7"/>
        <v>#DIV/0!</v>
      </c>
      <c r="AZ15" s="128" t="e">
        <f t="shared" si="7"/>
        <v>#DIV/0!</v>
      </c>
      <c r="BA15" s="128" t="e">
        <f t="shared" si="7"/>
        <v>#DIV/0!</v>
      </c>
      <c r="BB15" s="128">
        <f t="shared" si="7"/>
        <v>1.1341152263374485</v>
      </c>
      <c r="BC15" s="128">
        <f t="shared" si="7"/>
        <v>1.1342085768375998</v>
      </c>
      <c r="BD15" s="128" t="e">
        <f t="shared" si="7"/>
        <v>#DIV/0!</v>
      </c>
      <c r="BE15" s="128">
        <f t="shared" si="7"/>
        <v>0.62199346728694449</v>
      </c>
      <c r="BF15" s="128">
        <f t="shared" si="7"/>
        <v>3.7404504415120547E-2</v>
      </c>
      <c r="BG15" s="128">
        <f t="shared" si="7"/>
        <v>0.65626415172460195</v>
      </c>
      <c r="BH15" s="128">
        <f t="shared" si="7"/>
        <v>0.67383417627559972</v>
      </c>
      <c r="BI15" s="128">
        <f t="shared" si="7"/>
        <v>0</v>
      </c>
      <c r="BJ15" s="128">
        <f t="shared" si="7"/>
        <v>0.67898435173487481</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129</v>
      </c>
      <c r="B17" s="11" t="s">
        <v>205</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BH17-BI17</f>
        <v>2317390</v>
      </c>
    </row>
    <row r="18" spans="1:63" ht="15.75">
      <c r="A18" s="130" t="s">
        <v>129</v>
      </c>
      <c r="B18" s="5" t="s">
        <v>202</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SUM(C18:AB18)</f>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SUM(AD18:BF18)</f>
        <v>477027.20000000007</v>
      </c>
      <c r="BH18" s="125">
        <f>AC18+BG18</f>
        <v>1257185.2800000003</v>
      </c>
      <c r="BI18" s="37">
        <v>35674</v>
      </c>
      <c r="BJ18" s="126">
        <f>BH18-BI18</f>
        <v>1221511.2800000003</v>
      </c>
    </row>
    <row r="19" spans="1:63" ht="15.75">
      <c r="A19" s="130"/>
      <c r="B19" s="134" t="s">
        <v>206</v>
      </c>
      <c r="C19" s="37">
        <f>C17-C18</f>
        <v>379570.55999999994</v>
      </c>
      <c r="D19" s="37">
        <f t="shared" ref="D19:AB19" si="8">D17-D18</f>
        <v>58210.36</v>
      </c>
      <c r="E19" s="37">
        <f t="shared" si="8"/>
        <v>44688</v>
      </c>
      <c r="F19" s="37">
        <f t="shared" si="8"/>
        <v>45331.68</v>
      </c>
      <c r="G19" s="37">
        <f t="shared" si="8"/>
        <v>33128.159999999996</v>
      </c>
      <c r="H19" s="37">
        <f t="shared" si="8"/>
        <v>0</v>
      </c>
      <c r="I19" s="37">
        <f t="shared" si="8"/>
        <v>0</v>
      </c>
      <c r="J19" s="37">
        <f t="shared" si="8"/>
        <v>0</v>
      </c>
      <c r="K19" s="37">
        <f t="shared" si="8"/>
        <v>389.75999999999988</v>
      </c>
      <c r="L19" s="37">
        <f t="shared" si="8"/>
        <v>3617.7599999999998</v>
      </c>
      <c r="M19" s="37">
        <f t="shared" si="8"/>
        <v>3221.7599999999998</v>
      </c>
      <c r="N19" s="37">
        <f t="shared" si="8"/>
        <v>7.1999999999999993</v>
      </c>
      <c r="O19" s="37">
        <f t="shared" si="8"/>
        <v>1315.1999999999998</v>
      </c>
      <c r="P19" s="37">
        <f t="shared" si="8"/>
        <v>5426.24</v>
      </c>
      <c r="Q19" s="37">
        <f t="shared" si="8"/>
        <v>0</v>
      </c>
      <c r="R19" s="37">
        <f t="shared" si="8"/>
        <v>-544.60000000000036</v>
      </c>
      <c r="S19" s="37">
        <f t="shared" si="8"/>
        <v>0</v>
      </c>
      <c r="T19" s="37">
        <f t="shared" si="8"/>
        <v>0</v>
      </c>
      <c r="U19" s="37">
        <f t="shared" si="8"/>
        <v>0</v>
      </c>
      <c r="V19" s="37">
        <f t="shared" si="8"/>
        <v>3298.079999999999</v>
      </c>
      <c r="W19" s="37">
        <f t="shared" si="8"/>
        <v>0</v>
      </c>
      <c r="X19" s="37">
        <f t="shared" si="8"/>
        <v>0</v>
      </c>
      <c r="Y19" s="37">
        <f t="shared" si="8"/>
        <v>0</v>
      </c>
      <c r="Z19" s="37">
        <f t="shared" si="8"/>
        <v>0</v>
      </c>
      <c r="AA19" s="37">
        <f t="shared" si="8"/>
        <v>0</v>
      </c>
      <c r="AB19" s="37">
        <f t="shared" si="8"/>
        <v>148013.76000000001</v>
      </c>
      <c r="AC19" s="123">
        <f>SUM(C19:AB19)</f>
        <v>725673.91999999993</v>
      </c>
      <c r="AD19" s="37">
        <f>AD17-AD18</f>
        <v>318.71999999999997</v>
      </c>
      <c r="AE19" s="37">
        <f t="shared" ref="AE19:BF19" si="9">AE17-AE18</f>
        <v>0</v>
      </c>
      <c r="AF19" s="37">
        <f t="shared" si="9"/>
        <v>166.07999999999998</v>
      </c>
      <c r="AG19" s="37">
        <f t="shared" si="9"/>
        <v>0</v>
      </c>
      <c r="AH19" s="37">
        <f t="shared" si="9"/>
        <v>0</v>
      </c>
      <c r="AI19" s="37">
        <f t="shared" si="9"/>
        <v>0</v>
      </c>
      <c r="AJ19" s="37">
        <f t="shared" si="9"/>
        <v>161289.59999999998</v>
      </c>
      <c r="AK19" s="37">
        <f t="shared" si="9"/>
        <v>47060.159999999996</v>
      </c>
      <c r="AL19" s="37">
        <f t="shared" si="9"/>
        <v>0</v>
      </c>
      <c r="AM19" s="37">
        <f t="shared" si="9"/>
        <v>0</v>
      </c>
      <c r="AN19" s="37">
        <f t="shared" si="9"/>
        <v>49805.279999999984</v>
      </c>
      <c r="AO19" s="37">
        <f t="shared" si="9"/>
        <v>49560.959999999992</v>
      </c>
      <c r="AP19" s="37">
        <f t="shared" si="9"/>
        <v>0</v>
      </c>
      <c r="AQ19" s="37">
        <f t="shared" si="9"/>
        <v>0</v>
      </c>
      <c r="AR19" s="37">
        <f t="shared" si="9"/>
        <v>0</v>
      </c>
      <c r="AS19" s="37">
        <f t="shared" si="9"/>
        <v>0</v>
      </c>
      <c r="AT19" s="37">
        <f t="shared" si="9"/>
        <v>0</v>
      </c>
      <c r="AU19" s="37">
        <f t="shared" si="9"/>
        <v>0</v>
      </c>
      <c r="AV19" s="37">
        <f t="shared" si="9"/>
        <v>33.119999999999997</v>
      </c>
      <c r="AW19" s="37">
        <f t="shared" si="9"/>
        <v>37.92</v>
      </c>
      <c r="AX19" s="37">
        <f t="shared" si="9"/>
        <v>30.240000000000002</v>
      </c>
      <c r="AY19" s="37">
        <f t="shared" si="9"/>
        <v>0</v>
      </c>
      <c r="AZ19" s="37">
        <f t="shared" si="9"/>
        <v>0</v>
      </c>
      <c r="BA19" s="37">
        <f t="shared" si="9"/>
        <v>92894.32</v>
      </c>
      <c r="BB19" s="37">
        <f t="shared" si="9"/>
        <v>1235.5199999999998</v>
      </c>
      <c r="BC19" s="37">
        <f t="shared" si="9"/>
        <v>1235.5199999999998</v>
      </c>
      <c r="BD19" s="37">
        <f t="shared" si="9"/>
        <v>0</v>
      </c>
      <c r="BE19" s="37">
        <f t="shared" si="9"/>
        <v>1778.8799999999999</v>
      </c>
      <c r="BF19" s="37">
        <f t="shared" si="9"/>
        <v>432.48</v>
      </c>
      <c r="BG19" s="124">
        <f>SUM(AD19:BF19)</f>
        <v>405878.79999999993</v>
      </c>
      <c r="BH19" s="125">
        <f>AC19+BG19</f>
        <v>1131552.7199999997</v>
      </c>
      <c r="BI19" s="38">
        <f>BI17-BI18</f>
        <v>35674</v>
      </c>
      <c r="BJ19" s="126">
        <f>BH19-BI19</f>
        <v>1095878.7199999997</v>
      </c>
    </row>
    <row r="20" spans="1:63" ht="15.75">
      <c r="A20" s="130"/>
      <c r="B20" s="12" t="s">
        <v>203</v>
      </c>
      <c r="C20" s="9">
        <f>IF('Upto Month Current'!$D$4="",0,'Upto Month Current'!$D$4)</f>
        <v>454290</v>
      </c>
      <c r="D20" s="9">
        <f>IF('Upto Month Current'!$D$5="",0,'Upto Month Current'!$D$5)</f>
        <v>209098</v>
      </c>
      <c r="E20" s="9">
        <f>IF('Upto Month Current'!$D$6="",0,'Upto Month Current'!$D$6)</f>
        <v>21398</v>
      </c>
      <c r="F20" s="9">
        <f>IF('Upto Month Current'!$D$7="",0,'Upto Month Current'!$D$7)</f>
        <v>47948</v>
      </c>
      <c r="G20" s="9">
        <f>IF('Upto Month Current'!$D$8="",0,'Upto Month Current'!$D$8)</f>
        <v>62970</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0</v>
      </c>
      <c r="M20" s="9">
        <f>IF('Upto Month Current'!$D$14="",0,'Upto Month Current'!$D$14)</f>
        <v>8002</v>
      </c>
      <c r="N20" s="9">
        <f>IF('Upto Month Current'!$D$15="",0,'Upto Month Current'!$D$15)</f>
        <v>18</v>
      </c>
      <c r="O20" s="9">
        <f>IF('Upto Month Current'!$D$16="",0,'Upto Month Current'!$D$16)</f>
        <v>1465</v>
      </c>
      <c r="P20" s="9">
        <f>IF('Upto Month Current'!$D$17="",0,'Upto Month Current'!$D$17)</f>
        <v>7564</v>
      </c>
      <c r="Q20" s="9">
        <f>IF('Upto Month Current'!$D$18="",0,'Upto Month Current'!$D$18)</f>
        <v>0</v>
      </c>
      <c r="R20" s="9">
        <f>IF('Upto Month Current'!$D$21="",0,'Upto Month Current'!$D$21)</f>
        <v>1264</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607</v>
      </c>
      <c r="Z20" s="9">
        <f>IF('Upto Month Current'!$D$43="",0,'Upto Month Current'!$D$43)</f>
        <v>178</v>
      </c>
      <c r="AA20" s="9">
        <f>IF('Upto Month Current'!$D$44="",0,'Upto Month Current'!$D$44)</f>
        <v>133</v>
      </c>
      <c r="AB20" s="9">
        <f>IF('Upto Month Current'!$D$51="",0,'Upto Month Current'!$D$51)</f>
        <v>-77175</v>
      </c>
      <c r="AC20" s="123">
        <f>SUM(C20:AB20)</f>
        <v>737760</v>
      </c>
      <c r="AD20" s="9">
        <f>IF('Upto Month Current'!$D$19="",0,'Upto Month Current'!$D$19)</f>
        <v>0</v>
      </c>
      <c r="AE20" s="9">
        <f>IF('Upto Month Current'!$D$20="",0,'Upto Month Current'!$D$20)</f>
        <v>1218</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411091</v>
      </c>
      <c r="AK20" s="9">
        <f>IF('Upto Month Current'!$D$29="",0,'Upto Month Current'!$D$29)</f>
        <v>73303</v>
      </c>
      <c r="AL20" s="9">
        <f>IF('Upto Month Current'!$D$31="",0,'Upto Month Current'!$D$31)</f>
        <v>0</v>
      </c>
      <c r="AM20" s="9">
        <f>IF('Upto Month Current'!$D$32="",0,'Upto Month Current'!$D$32)</f>
        <v>0</v>
      </c>
      <c r="AN20" s="9">
        <f>IF('Upto Month Current'!$D$33="",0,'Upto Month Current'!$D$33)</f>
        <v>12691</v>
      </c>
      <c r="AO20" s="9">
        <f>IF('Upto Month Current'!$D$34="",0,'Upto Month Current'!$D$34)</f>
        <v>-32492</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-150983</v>
      </c>
      <c r="BB20" s="9">
        <f>IF('Upto Month Current'!$D$53="",0,'Upto Month Current'!$D$53)</f>
        <v>3512</v>
      </c>
      <c r="BC20" s="9">
        <f>IF('Upto Month Current'!$D$54="",0,'Upto Month Current'!$D$54)</f>
        <v>3512</v>
      </c>
      <c r="BD20" s="9">
        <f>IF('Upto Month Current'!$D$55="",0,'Upto Month Current'!$D$55)</f>
        <v>0</v>
      </c>
      <c r="BE20" s="9">
        <f>IF('Upto Month Current'!$D$56="",0,'Upto Month Current'!$D$56)</f>
        <v>4828</v>
      </c>
      <c r="BF20" s="9">
        <f>IF('Upto Month Current'!$D$58="",0,'Upto Month Current'!$D$58)</f>
        <v>259</v>
      </c>
      <c r="BG20" s="124">
        <f>SUM(AD20:BF20)</f>
        <v>326939</v>
      </c>
      <c r="BH20" s="125">
        <f>AC20+BG20</f>
        <v>1064699</v>
      </c>
      <c r="BI20" s="9">
        <f>IF('Upto Month Current'!$D$60="",0,'Upto Month Current'!$D$60)</f>
        <v>0</v>
      </c>
      <c r="BJ20" s="126">
        <f>BH20-BI20</f>
        <v>1064699</v>
      </c>
      <c r="BK20">
        <f>'Upto Month Current'!$D$61</f>
        <v>1064701</v>
      </c>
    </row>
    <row r="21" spans="1:63" ht="15.75">
      <c r="A21" s="130"/>
      <c r="B21" s="5" t="s">
        <v>201</v>
      </c>
      <c r="C21" s="128">
        <f t="shared" ref="C21:AH21" si="10">C20/C17</f>
        <v>0.57448923330618684</v>
      </c>
      <c r="D21" s="128">
        <f t="shared" si="10"/>
        <v>1.3068298292542686</v>
      </c>
      <c r="E21" s="128">
        <f t="shared" si="10"/>
        <v>0.47883100608664519</v>
      </c>
      <c r="F21" s="128">
        <f t="shared" si="10"/>
        <v>0.50770322211751251</v>
      </c>
      <c r="G21" s="128">
        <f t="shared" si="10"/>
        <v>0.91238390541460801</v>
      </c>
      <c r="H21" s="128" t="e">
        <f t="shared" si="10"/>
        <v>#DIV/0!</v>
      </c>
      <c r="I21" s="128" t="e">
        <f t="shared" si="10"/>
        <v>#DIV/0!</v>
      </c>
      <c r="J21" s="128" t="e">
        <f t="shared" si="10"/>
        <v>#DIV/0!</v>
      </c>
      <c r="K21" s="128">
        <f t="shared" si="10"/>
        <v>0</v>
      </c>
      <c r="L21" s="128">
        <f t="shared" si="10"/>
        <v>0</v>
      </c>
      <c r="M21" s="128">
        <f t="shared" si="10"/>
        <v>1.1921930870083433</v>
      </c>
      <c r="N21" s="128">
        <f t="shared" si="10"/>
        <v>1.2</v>
      </c>
      <c r="O21" s="128">
        <f t="shared" si="10"/>
        <v>0.53467153284671531</v>
      </c>
      <c r="P21" s="128">
        <f t="shared" si="10"/>
        <v>0.61059089441394898</v>
      </c>
      <c r="Q21" s="128" t="e">
        <f t="shared" si="10"/>
        <v>#DIV/0!</v>
      </c>
      <c r="R21" s="128">
        <f t="shared" si="10"/>
        <v>0.85811269517990496</v>
      </c>
      <c r="S21" s="128" t="e">
        <f t="shared" si="10"/>
        <v>#DIV/0!</v>
      </c>
      <c r="T21" s="128" t="e">
        <f t="shared" si="10"/>
        <v>#DIV/0!</v>
      </c>
      <c r="U21" s="128" t="e">
        <f t="shared" si="10"/>
        <v>#DIV/0!</v>
      </c>
      <c r="V21" s="128">
        <f t="shared" si="10"/>
        <v>0</v>
      </c>
      <c r="W21" s="128" t="e">
        <f t="shared" si="10"/>
        <v>#DIV/0!</v>
      </c>
      <c r="X21" s="128" t="e">
        <f t="shared" si="10"/>
        <v>#DIV/0!</v>
      </c>
      <c r="Y21" s="128" t="e">
        <f t="shared" si="10"/>
        <v>#DIV/0!</v>
      </c>
      <c r="Z21" s="128" t="e">
        <f t="shared" si="10"/>
        <v>#DIV/0!</v>
      </c>
      <c r="AA21" s="128" t="e">
        <f t="shared" si="10"/>
        <v>#DIV/0!</v>
      </c>
      <c r="AB21" s="128">
        <f t="shared" si="10"/>
        <v>-0.25027402857680259</v>
      </c>
      <c r="AC21" s="128">
        <f t="shared" si="10"/>
        <v>0.48993513220598311</v>
      </c>
      <c r="AD21" s="128">
        <f t="shared" si="10"/>
        <v>0</v>
      </c>
      <c r="AE21" s="128" t="e">
        <f t="shared" si="10"/>
        <v>#DIV/0!</v>
      </c>
      <c r="AF21" s="128">
        <f t="shared" si="10"/>
        <v>0</v>
      </c>
      <c r="AG21" s="128" t="e">
        <f t="shared" si="10"/>
        <v>#DIV/0!</v>
      </c>
      <c r="AH21" s="128" t="e">
        <f t="shared" si="10"/>
        <v>#DIV/0!</v>
      </c>
      <c r="AI21" s="128" t="e">
        <f t="shared" ref="AI21:BJ21" si="11">AI20/AI17</f>
        <v>#DIV/0!</v>
      </c>
      <c r="AJ21" s="128">
        <f t="shared" si="11"/>
        <v>1.22341229688709</v>
      </c>
      <c r="AK21" s="128">
        <f t="shared" si="11"/>
        <v>0.74766936619000024</v>
      </c>
      <c r="AL21" s="128" t="e">
        <f t="shared" si="11"/>
        <v>#DIV/0!</v>
      </c>
      <c r="AM21" s="128" t="e">
        <f t="shared" si="11"/>
        <v>#DIV/0!</v>
      </c>
      <c r="AN21" s="128">
        <f t="shared" si="11"/>
        <v>0.12230992376711866</v>
      </c>
      <c r="AO21" s="128">
        <f t="shared" si="11"/>
        <v>-0.31468639832642464</v>
      </c>
      <c r="AP21" s="128" t="e">
        <f t="shared" si="11"/>
        <v>#DIV/0!</v>
      </c>
      <c r="AQ21" s="128" t="e">
        <f t="shared" si="11"/>
        <v>#DIV/0!</v>
      </c>
      <c r="AR21" s="128" t="e">
        <f t="shared" si="11"/>
        <v>#DIV/0!</v>
      </c>
      <c r="AS21" s="128" t="e">
        <f t="shared" si="11"/>
        <v>#DIV/0!</v>
      </c>
      <c r="AT21" s="128" t="e">
        <f t="shared" si="11"/>
        <v>#DIV/0!</v>
      </c>
      <c r="AU21" s="128" t="e">
        <f t="shared" si="11"/>
        <v>#DIV/0!</v>
      </c>
      <c r="AV21" s="128">
        <f t="shared" si="11"/>
        <v>0</v>
      </c>
      <c r="AW21" s="128">
        <f t="shared" si="11"/>
        <v>0</v>
      </c>
      <c r="AX21" s="128">
        <f t="shared" si="11"/>
        <v>0</v>
      </c>
      <c r="AY21" s="128" t="e">
        <f t="shared" si="11"/>
        <v>#DIV/0!</v>
      </c>
      <c r="AZ21" s="128" t="e">
        <f t="shared" si="11"/>
        <v>#DIV/0!</v>
      </c>
      <c r="BA21" s="128">
        <f t="shared" si="11"/>
        <v>-0.65401659050053063</v>
      </c>
      <c r="BB21" s="128">
        <f t="shared" si="11"/>
        <v>1.3644133644133645</v>
      </c>
      <c r="BC21" s="128">
        <f t="shared" si="11"/>
        <v>1.3644133644133645</v>
      </c>
      <c r="BD21" s="128" t="e">
        <f t="shared" si="11"/>
        <v>#DIV/0!</v>
      </c>
      <c r="BE21" s="128">
        <f t="shared" si="11"/>
        <v>1.3027522935779816</v>
      </c>
      <c r="BF21" s="128">
        <f t="shared" si="11"/>
        <v>0.28745837957824638</v>
      </c>
      <c r="BG21" s="128">
        <f t="shared" si="11"/>
        <v>0.37029876340176643</v>
      </c>
      <c r="BH21" s="128">
        <f t="shared" si="11"/>
        <v>0.44571610616149615</v>
      </c>
      <c r="BI21" s="128">
        <f t="shared" si="11"/>
        <v>0</v>
      </c>
      <c r="BJ21" s="128">
        <f t="shared" si="11"/>
        <v>0.45943885146652053</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130</v>
      </c>
      <c r="B23" s="11" t="s">
        <v>205</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BH23-BI23</f>
        <v>4612017</v>
      </c>
    </row>
    <row r="24" spans="1:63" ht="15.75">
      <c r="A24" s="130" t="s">
        <v>130</v>
      </c>
      <c r="B24" s="5" t="s">
        <v>202</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SUM(C24:AB24)</f>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SUM(AD24:BF24)</f>
        <v>631172.3600000001</v>
      </c>
      <c r="BH24" s="125">
        <f>AC24+BG24</f>
        <v>2609257.56</v>
      </c>
      <c r="BI24" s="37">
        <v>52500.500000000007</v>
      </c>
      <c r="BJ24" s="126">
        <f>BH24-BI24</f>
        <v>2556757.06</v>
      </c>
    </row>
    <row r="25" spans="1:63" ht="15.75">
      <c r="A25" s="130"/>
      <c r="B25" s="5"/>
      <c r="C25" s="37">
        <f>C23-C24</f>
        <v>685082.88</v>
      </c>
      <c r="D25" s="37">
        <f t="shared" ref="D25:AB25" si="12">D23-D24</f>
        <v>66441.879999999976</v>
      </c>
      <c r="E25" s="37">
        <f t="shared" si="12"/>
        <v>66218</v>
      </c>
      <c r="F25" s="37">
        <f t="shared" si="12"/>
        <v>81700.799999999988</v>
      </c>
      <c r="G25" s="37">
        <f t="shared" si="12"/>
        <v>42349.919999999998</v>
      </c>
      <c r="H25" s="37">
        <f t="shared" si="12"/>
        <v>0</v>
      </c>
      <c r="I25" s="37">
        <f t="shared" si="12"/>
        <v>0</v>
      </c>
      <c r="J25" s="37">
        <f t="shared" si="12"/>
        <v>0</v>
      </c>
      <c r="K25" s="37">
        <f t="shared" si="12"/>
        <v>652.87999999999988</v>
      </c>
      <c r="L25" s="37">
        <f t="shared" si="12"/>
        <v>14828.159999999998</v>
      </c>
      <c r="M25" s="37">
        <f t="shared" si="12"/>
        <v>8197.92</v>
      </c>
      <c r="N25" s="37">
        <f t="shared" si="12"/>
        <v>60.960000000000008</v>
      </c>
      <c r="O25" s="37">
        <f t="shared" si="12"/>
        <v>1330.08</v>
      </c>
      <c r="P25" s="37">
        <f t="shared" si="12"/>
        <v>5557.7999999999993</v>
      </c>
      <c r="Q25" s="37">
        <f t="shared" si="12"/>
        <v>0</v>
      </c>
      <c r="R25" s="37">
        <f t="shared" si="12"/>
        <v>-452.91999999999962</v>
      </c>
      <c r="S25" s="37">
        <f t="shared" si="12"/>
        <v>0</v>
      </c>
      <c r="T25" s="37">
        <f t="shared" si="12"/>
        <v>0</v>
      </c>
      <c r="U25" s="37">
        <f t="shared" si="12"/>
        <v>0</v>
      </c>
      <c r="V25" s="37">
        <f t="shared" si="12"/>
        <v>140877.59999999998</v>
      </c>
      <c r="W25" s="37">
        <f t="shared" si="12"/>
        <v>0</v>
      </c>
      <c r="X25" s="37">
        <f t="shared" si="12"/>
        <v>0</v>
      </c>
      <c r="Y25" s="37">
        <f t="shared" si="12"/>
        <v>161.76</v>
      </c>
      <c r="Z25" s="37">
        <f t="shared" si="12"/>
        <v>10.56</v>
      </c>
      <c r="AA25" s="37">
        <f t="shared" si="12"/>
        <v>24.480000000000004</v>
      </c>
      <c r="AB25" s="37">
        <f t="shared" si="12"/>
        <v>664391.04</v>
      </c>
      <c r="AC25" s="123">
        <f>SUM(C25:AB25)</f>
        <v>1777433.8</v>
      </c>
      <c r="AD25" s="37">
        <f>AD23-AD24</f>
        <v>699.36000000000013</v>
      </c>
      <c r="AE25" s="37">
        <f t="shared" ref="AE25:BF25" si="13">AE23-AE24</f>
        <v>28.32</v>
      </c>
      <c r="AF25" s="37">
        <f t="shared" si="13"/>
        <v>0</v>
      </c>
      <c r="AG25" s="37">
        <f t="shared" si="13"/>
        <v>0</v>
      </c>
      <c r="AH25" s="37">
        <f t="shared" si="13"/>
        <v>0</v>
      </c>
      <c r="AI25" s="37">
        <f t="shared" si="13"/>
        <v>0</v>
      </c>
      <c r="AJ25" s="37">
        <f t="shared" si="13"/>
        <v>80356.799999999988</v>
      </c>
      <c r="AK25" s="37">
        <f t="shared" si="13"/>
        <v>15373.439999999999</v>
      </c>
      <c r="AL25" s="37">
        <f t="shared" si="13"/>
        <v>186.24</v>
      </c>
      <c r="AM25" s="37">
        <f t="shared" si="13"/>
        <v>0</v>
      </c>
      <c r="AN25" s="37">
        <f t="shared" si="13"/>
        <v>58151.520000000004</v>
      </c>
      <c r="AO25" s="37">
        <f t="shared" si="13"/>
        <v>19888.319999999996</v>
      </c>
      <c r="AP25" s="37">
        <f t="shared" si="13"/>
        <v>32419.68</v>
      </c>
      <c r="AQ25" s="37">
        <f t="shared" si="13"/>
        <v>0</v>
      </c>
      <c r="AR25" s="37">
        <f t="shared" si="13"/>
        <v>0</v>
      </c>
      <c r="AS25" s="37">
        <f t="shared" si="13"/>
        <v>0</v>
      </c>
      <c r="AT25" s="37">
        <f t="shared" si="13"/>
        <v>0</v>
      </c>
      <c r="AU25" s="37">
        <f t="shared" si="13"/>
        <v>0</v>
      </c>
      <c r="AV25" s="37">
        <f t="shared" si="13"/>
        <v>0</v>
      </c>
      <c r="AW25" s="37">
        <f t="shared" si="13"/>
        <v>0</v>
      </c>
      <c r="AX25" s="37">
        <f t="shared" si="13"/>
        <v>0</v>
      </c>
      <c r="AY25" s="37">
        <f t="shared" si="13"/>
        <v>0</v>
      </c>
      <c r="AZ25" s="37">
        <f t="shared" si="13"/>
        <v>0</v>
      </c>
      <c r="BA25" s="37">
        <f t="shared" si="13"/>
        <v>120876.71999999997</v>
      </c>
      <c r="BB25" s="37">
        <f t="shared" si="13"/>
        <v>552</v>
      </c>
      <c r="BC25" s="37">
        <f t="shared" si="13"/>
        <v>552</v>
      </c>
      <c r="BD25" s="37">
        <f t="shared" si="13"/>
        <v>0</v>
      </c>
      <c r="BE25" s="37">
        <f t="shared" si="13"/>
        <v>1000.8</v>
      </c>
      <c r="BF25" s="37">
        <f t="shared" si="13"/>
        <v>241.44</v>
      </c>
      <c r="BG25" s="124">
        <f>SUM(AD25:BF25)</f>
        <v>330326.63999999996</v>
      </c>
      <c r="BH25" s="125">
        <f>AC25+BG25</f>
        <v>2107760.44</v>
      </c>
      <c r="BI25" s="38">
        <f>BI23-BI24</f>
        <v>52500.499999999993</v>
      </c>
      <c r="BJ25" s="126">
        <f>BH25-BI25</f>
        <v>2055259.94</v>
      </c>
    </row>
    <row r="26" spans="1:63" ht="15.75">
      <c r="A26" s="130"/>
      <c r="B26" s="12" t="s">
        <v>203</v>
      </c>
      <c r="C26" s="9">
        <f>IF('Upto Month Current'!$E$4="",0,'Upto Month Current'!$E$4)</f>
        <v>1060258</v>
      </c>
      <c r="D26" s="9">
        <f>IF('Upto Month Current'!$E$5="",0,'Upto Month Current'!$E$5)</f>
        <v>489246</v>
      </c>
      <c r="E26" s="9">
        <f>IF('Upto Month Current'!$E$6="",0,'Upto Month Current'!$E$6)</f>
        <v>48632</v>
      </c>
      <c r="F26" s="9">
        <f>IF('Upto Month Current'!$E$7="",0,'Upto Month Current'!$E$7)</f>
        <v>129086</v>
      </c>
      <c r="G26" s="9">
        <f>IF('Upto Month Current'!$E$8="",0,'Upto Month Current'!$E$8)</f>
        <v>95936</v>
      </c>
      <c r="H26" s="9">
        <f>IF('Upto Month Current'!$E$9="",0,'Upto Month Current'!$E$9)</f>
        <v>0</v>
      </c>
      <c r="I26" s="9">
        <f>IF('Upto Month Current'!$E$10="",0,'Upto Month Current'!$E$10)</f>
        <v>0</v>
      </c>
      <c r="J26" s="9">
        <f>IF('Upto Month Current'!$E$11="",0,'Upto Month Current'!$E$11)</f>
        <v>0</v>
      </c>
      <c r="K26" s="9">
        <f>IF('Upto Month Current'!$E$12="",0,'Upto Month Current'!$E$12)</f>
        <v>380</v>
      </c>
      <c r="L26" s="9">
        <f>IF('Upto Month Current'!$E$13="",0,'Upto Month Current'!$E$13)</f>
        <v>39790</v>
      </c>
      <c r="M26" s="9">
        <f>IF('Upto Month Current'!$E$14="",0,'Upto Month Current'!$E$14)</f>
        <v>25302</v>
      </c>
      <c r="N26" s="9">
        <f>IF('Upto Month Current'!$E$15="",0,'Upto Month Current'!$E$15)</f>
        <v>63</v>
      </c>
      <c r="O26" s="9">
        <f>IF('Upto Month Current'!$E$16="",0,'Upto Month Current'!$E$16)</f>
        <v>2131</v>
      </c>
      <c r="P26" s="9">
        <f>IF('Upto Month Current'!$E$17="",0,'Upto Month Current'!$E$17)</f>
        <v>33202</v>
      </c>
      <c r="Q26" s="9">
        <f>IF('Upto Month Current'!$E$18="",0,'Upto Month Current'!$E$18)</f>
        <v>0</v>
      </c>
      <c r="R26" s="9">
        <f>IF('Upto Month Current'!$E$21="",0,'Upto Month Current'!$E$21)</f>
        <v>2763</v>
      </c>
      <c r="S26" s="9">
        <f>IF('Upto Month Current'!$E$26="",0,'Upto Month Current'!$E$26)</f>
        <v>0</v>
      </c>
      <c r="T26" s="9">
        <f>IF('Upto Month Current'!$E$27="",0,'Upto Month Current'!$E$27)</f>
        <v>0</v>
      </c>
      <c r="U26" s="9">
        <f>IF('Upto Month Current'!$E$30="",0,'Upto Month Current'!$E$30)</f>
        <v>0</v>
      </c>
      <c r="V26" s="9">
        <f>IF('Upto Month Current'!$E$35="",0,'Upto Month Current'!$E$35)</f>
        <v>100878</v>
      </c>
      <c r="W26" s="9">
        <f>IF('Upto Month Current'!$E$39="",0,'Upto Month Current'!$E$39)</f>
        <v>0</v>
      </c>
      <c r="X26" s="9">
        <f>IF('Upto Month Current'!$E$40="",0,'Upto Month Current'!$E$40)</f>
        <v>0</v>
      </c>
      <c r="Y26" s="9">
        <f>IF('Upto Month Current'!$E$42="",0,'Upto Month Current'!$E$42)</f>
        <v>2748</v>
      </c>
      <c r="Z26" s="9">
        <f>IF('Upto Month Current'!$E$43="",0,'Upto Month Current'!$E$43)</f>
        <v>763</v>
      </c>
      <c r="AA26" s="9">
        <f>IF('Upto Month Current'!$E$44="",0,'Upto Month Current'!$E$44)</f>
        <v>744</v>
      </c>
      <c r="AB26" s="9">
        <f>IF('Upto Month Current'!$E$51="",0,'Upto Month Current'!$E$51)</f>
        <v>287824</v>
      </c>
      <c r="AC26" s="123">
        <f>SUM(C26:AB26)</f>
        <v>2319746</v>
      </c>
      <c r="AD26" s="9">
        <f>IF('Upto Month Current'!$E$19="",0,'Upto Month Current'!$E$19)</f>
        <v>0</v>
      </c>
      <c r="AE26" s="9">
        <f>IF('Upto Month Current'!$E$20="",0,'Upto Month Current'!$E$20)</f>
        <v>119</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280447</v>
      </c>
      <c r="AK26" s="9">
        <f>IF('Upto Month Current'!$E$29="",0,'Upto Month Current'!$E$29)</f>
        <v>49729</v>
      </c>
      <c r="AL26" s="9">
        <f>IF('Upto Month Current'!$E$31="",0,'Upto Month Current'!$E$31)</f>
        <v>0</v>
      </c>
      <c r="AM26" s="9">
        <f>IF('Upto Month Current'!$E$32="",0,'Upto Month Current'!$E$32)</f>
        <v>0</v>
      </c>
      <c r="AN26" s="9">
        <f>IF('Upto Month Current'!$E$33="",0,'Upto Month Current'!$E$33)</f>
        <v>58270</v>
      </c>
      <c r="AO26" s="9">
        <f>IF('Upto Month Current'!$E$34="",0,'Upto Month Current'!$E$34)</f>
        <v>-698195</v>
      </c>
      <c r="AP26" s="9">
        <f>IF('Upto Month Current'!$E$36="",0,'Upto Month Current'!$E$36)</f>
        <v>145640</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306681</v>
      </c>
      <c r="BB26" s="9">
        <f>IF('Upto Month Current'!$E$53="",0,'Upto Month Current'!$E$53)</f>
        <v>1496</v>
      </c>
      <c r="BC26" s="9">
        <f>IF('Upto Month Current'!$E$54="",0,'Upto Month Current'!$E$54)</f>
        <v>1496</v>
      </c>
      <c r="BD26" s="9">
        <f>IF('Upto Month Current'!$E$55="",0,'Upto Month Current'!$E$55)</f>
        <v>0</v>
      </c>
      <c r="BE26" s="9">
        <f>IF('Upto Month Current'!$E$56="",0,'Upto Month Current'!$E$56)</f>
        <v>12199</v>
      </c>
      <c r="BF26" s="9">
        <f>IF('Upto Month Current'!$E$58="",0,'Upto Month Current'!$E$58)</f>
        <v>10</v>
      </c>
      <c r="BG26" s="124">
        <f>SUM(AD26:BF26)</f>
        <v>157892</v>
      </c>
      <c r="BH26" s="125">
        <f>AC26+BG26</f>
        <v>2477638</v>
      </c>
      <c r="BI26" s="9">
        <f>IF('Upto Month Current'!$E$60="",0,'Upto Month Current'!$E$60)</f>
        <v>1859</v>
      </c>
      <c r="BJ26" s="126">
        <f>BH26-BI26</f>
        <v>2475779</v>
      </c>
      <c r="BK26">
        <f>'Upto Month Current'!$E$61</f>
        <v>2475778</v>
      </c>
    </row>
    <row r="27" spans="1:63" ht="15.75">
      <c r="A27" s="130"/>
      <c r="B27" s="5" t="s">
        <v>201</v>
      </c>
      <c r="C27" s="128">
        <f t="shared" ref="C27:AH27" si="14">C26/C23</f>
        <v>0.74286462975107481</v>
      </c>
      <c r="D27" s="128">
        <f t="shared" si="14"/>
        <v>1.9558261509186561</v>
      </c>
      <c r="E27" s="128">
        <f t="shared" si="14"/>
        <v>0.73442266453230243</v>
      </c>
      <c r="F27" s="128">
        <f t="shared" si="14"/>
        <v>0.75839257387932557</v>
      </c>
      <c r="G27" s="128">
        <f t="shared" si="14"/>
        <v>1.0873522311258204</v>
      </c>
      <c r="H27" s="128" t="e">
        <f t="shared" si="14"/>
        <v>#DIV/0!</v>
      </c>
      <c r="I27" s="128" t="e">
        <f t="shared" si="14"/>
        <v>#DIV/0!</v>
      </c>
      <c r="J27" s="128" t="e">
        <f t="shared" si="14"/>
        <v>#DIV/0!</v>
      </c>
      <c r="K27" s="128">
        <f t="shared" si="14"/>
        <v>0.15428339423467316</v>
      </c>
      <c r="L27" s="128">
        <f t="shared" si="14"/>
        <v>1.2880357374077431</v>
      </c>
      <c r="M27" s="128">
        <f t="shared" si="14"/>
        <v>1.4814684700509397</v>
      </c>
      <c r="N27" s="128">
        <f t="shared" si="14"/>
        <v>0.49606299212598426</v>
      </c>
      <c r="O27" s="128">
        <f t="shared" si="14"/>
        <v>0.76903644893540235</v>
      </c>
      <c r="P27" s="128">
        <f t="shared" si="14"/>
        <v>1.6639270321740003</v>
      </c>
      <c r="Q27" s="128" t="e">
        <f t="shared" si="14"/>
        <v>#DIV/0!</v>
      </c>
      <c r="R27" s="128">
        <f t="shared" si="14"/>
        <v>1.3039169419537517</v>
      </c>
      <c r="S27" s="128" t="e">
        <f t="shared" si="14"/>
        <v>#DIV/0!</v>
      </c>
      <c r="T27" s="128" t="e">
        <f t="shared" si="14"/>
        <v>#DIV/0!</v>
      </c>
      <c r="U27" s="128" t="e">
        <f t="shared" si="14"/>
        <v>#DIV/0!</v>
      </c>
      <c r="V27" s="128">
        <f t="shared" si="14"/>
        <v>0.34371284008245456</v>
      </c>
      <c r="W27" s="128" t="e">
        <f t="shared" si="14"/>
        <v>#DIV/0!</v>
      </c>
      <c r="X27" s="128" t="e">
        <f t="shared" si="14"/>
        <v>#DIV/0!</v>
      </c>
      <c r="Y27" s="128">
        <f t="shared" si="14"/>
        <v>8.1543026706231458</v>
      </c>
      <c r="Z27" s="128">
        <f t="shared" si="14"/>
        <v>34.68181818181818</v>
      </c>
      <c r="AA27" s="128">
        <f t="shared" si="14"/>
        <v>14.588235294117647</v>
      </c>
      <c r="AB27" s="128">
        <f t="shared" si="14"/>
        <v>0.20794308123119781</v>
      </c>
      <c r="AC27" s="128">
        <f t="shared" si="14"/>
        <v>0.61768985857880099</v>
      </c>
      <c r="AD27" s="128">
        <f t="shared" si="14"/>
        <v>0</v>
      </c>
      <c r="AE27" s="128">
        <f t="shared" si="14"/>
        <v>2.0169491525423728</v>
      </c>
      <c r="AF27" s="128" t="e">
        <f t="shared" si="14"/>
        <v>#DIV/0!</v>
      </c>
      <c r="AG27" s="128" t="e">
        <f t="shared" si="14"/>
        <v>#DIV/0!</v>
      </c>
      <c r="AH27" s="128" t="e">
        <f t="shared" si="14"/>
        <v>#DIV/0!</v>
      </c>
      <c r="AI27" s="128" t="e">
        <f t="shared" ref="AI27:BJ27" si="15">AI26/AI23</f>
        <v>#DIV/0!</v>
      </c>
      <c r="AJ27" s="128">
        <f t="shared" si="15"/>
        <v>1.6752105608983932</v>
      </c>
      <c r="AK27" s="128">
        <f t="shared" si="15"/>
        <v>1.5526726614212565</v>
      </c>
      <c r="AL27" s="128">
        <f t="shared" si="15"/>
        <v>0</v>
      </c>
      <c r="AM27" s="128" t="e">
        <f t="shared" si="15"/>
        <v>#DIV/0!</v>
      </c>
      <c r="AN27" s="128">
        <f t="shared" si="15"/>
        <v>0.48097796927750125</v>
      </c>
      <c r="AO27" s="128">
        <f t="shared" si="15"/>
        <v>-16.850774726070377</v>
      </c>
      <c r="AP27" s="128">
        <f t="shared" si="15"/>
        <v>2.1563198649709068</v>
      </c>
      <c r="AQ27" s="128" t="e">
        <f t="shared" si="15"/>
        <v>#DIV/0!</v>
      </c>
      <c r="AR27" s="128" t="e">
        <f t="shared" si="15"/>
        <v>#DIV/0!</v>
      </c>
      <c r="AS27" s="128" t="e">
        <f t="shared" si="15"/>
        <v>#DIV/0!</v>
      </c>
      <c r="AT27" s="128" t="e">
        <f t="shared" si="15"/>
        <v>#DIV/0!</v>
      </c>
      <c r="AU27" s="128" t="e">
        <f t="shared" si="15"/>
        <v>#DIV/0!</v>
      </c>
      <c r="AV27" s="128" t="e">
        <f t="shared" si="15"/>
        <v>#DIV/0!</v>
      </c>
      <c r="AW27" s="128" t="e">
        <f t="shared" si="15"/>
        <v>#DIV/0!</v>
      </c>
      <c r="AX27" s="128" t="e">
        <f t="shared" si="15"/>
        <v>#DIV/0!</v>
      </c>
      <c r="AY27" s="128" t="e">
        <f t="shared" si="15"/>
        <v>#DIV/0!</v>
      </c>
      <c r="AZ27" s="128" t="e">
        <f t="shared" si="15"/>
        <v>#DIV/0!</v>
      </c>
      <c r="BA27" s="128">
        <f t="shared" si="15"/>
        <v>0.58399299241161962</v>
      </c>
      <c r="BB27" s="128">
        <f t="shared" si="15"/>
        <v>1.3008695652173914</v>
      </c>
      <c r="BC27" s="128">
        <f t="shared" si="15"/>
        <v>1.3008695652173914</v>
      </c>
      <c r="BD27" s="128" t="e">
        <f t="shared" si="15"/>
        <v>#DIV/0!</v>
      </c>
      <c r="BE27" s="128">
        <f t="shared" si="15"/>
        <v>5.8508393285371705</v>
      </c>
      <c r="BF27" s="128">
        <f t="shared" si="15"/>
        <v>1.9880715705765408E-2</v>
      </c>
      <c r="BG27" s="128">
        <f t="shared" si="15"/>
        <v>0.16421441935977052</v>
      </c>
      <c r="BH27" s="128">
        <f t="shared" si="15"/>
        <v>0.5252551506057429</v>
      </c>
      <c r="BI27" s="128">
        <f t="shared" si="15"/>
        <v>1.7704593289587719E-2</v>
      </c>
      <c r="BJ27" s="128">
        <f t="shared" si="15"/>
        <v>0.53681046709064606</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131</v>
      </c>
      <c r="B29" s="11" t="s">
        <v>205</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BH29-BI29</f>
        <v>5207779</v>
      </c>
    </row>
    <row r="30" spans="1:63" ht="15.75">
      <c r="A30" s="130" t="s">
        <v>131</v>
      </c>
      <c r="B30" s="5" t="s">
        <v>202</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SUM(C30:AB30)</f>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SUM(AD30:BF30)</f>
        <v>903664.27999999991</v>
      </c>
      <c r="BH30" s="125">
        <f>AC30+BG30</f>
        <v>2851254.08</v>
      </c>
      <c r="BI30" s="37">
        <v>43054.5</v>
      </c>
      <c r="BJ30" s="126">
        <f>BH30-BI30</f>
        <v>2808199.58</v>
      </c>
    </row>
    <row r="31" spans="1:63" ht="15.75">
      <c r="A31" s="130"/>
      <c r="B31" s="5"/>
      <c r="C31" s="37">
        <f>C29-C30</f>
        <v>1205217.5999999999</v>
      </c>
      <c r="D31" s="37">
        <f t="shared" ref="D31:AB31" si="16">D29-D30</f>
        <v>68769.399999999965</v>
      </c>
      <c r="E31" s="37">
        <f t="shared" si="16"/>
        <v>127280</v>
      </c>
      <c r="F31" s="37">
        <f t="shared" si="16"/>
        <v>94088.639999999999</v>
      </c>
      <c r="G31" s="37">
        <f t="shared" si="16"/>
        <v>64859.520000000004</v>
      </c>
      <c r="H31" s="37">
        <f t="shared" si="16"/>
        <v>0</v>
      </c>
      <c r="I31" s="37">
        <f t="shared" si="16"/>
        <v>0</v>
      </c>
      <c r="J31" s="37">
        <f t="shared" si="16"/>
        <v>528.48</v>
      </c>
      <c r="K31" s="37">
        <f t="shared" si="16"/>
        <v>694.56</v>
      </c>
      <c r="L31" s="37">
        <f t="shared" si="16"/>
        <v>14275.679999999997</v>
      </c>
      <c r="M31" s="37">
        <f t="shared" si="16"/>
        <v>23448.479999999996</v>
      </c>
      <c r="N31" s="37">
        <f t="shared" si="16"/>
        <v>118.07999999999998</v>
      </c>
      <c r="O31" s="37">
        <f t="shared" si="16"/>
        <v>2925.12</v>
      </c>
      <c r="P31" s="37">
        <f t="shared" si="16"/>
        <v>73626.439999999988</v>
      </c>
      <c r="Q31" s="37">
        <f t="shared" si="16"/>
        <v>0</v>
      </c>
      <c r="R31" s="37">
        <f t="shared" si="16"/>
        <v>-1631.7600000000002</v>
      </c>
      <c r="S31" s="37">
        <f t="shared" si="16"/>
        <v>0</v>
      </c>
      <c r="T31" s="37">
        <f t="shared" si="16"/>
        <v>0</v>
      </c>
      <c r="U31" s="37">
        <f t="shared" si="16"/>
        <v>0</v>
      </c>
      <c r="V31" s="37">
        <f t="shared" si="16"/>
        <v>8755.68</v>
      </c>
      <c r="W31" s="37">
        <f t="shared" si="16"/>
        <v>0</v>
      </c>
      <c r="X31" s="37">
        <f t="shared" si="16"/>
        <v>0</v>
      </c>
      <c r="Y31" s="37">
        <f t="shared" si="16"/>
        <v>291.36</v>
      </c>
      <c r="Z31" s="37">
        <f t="shared" si="16"/>
        <v>0</v>
      </c>
      <c r="AA31" s="37">
        <f t="shared" si="16"/>
        <v>1.92</v>
      </c>
      <c r="AB31" s="37">
        <f t="shared" si="16"/>
        <v>0</v>
      </c>
      <c r="AC31" s="123">
        <f>SUM(C31:AB31)</f>
        <v>1683249.1999999997</v>
      </c>
      <c r="AD31" s="37">
        <f>AD29-AD30</f>
        <v>-4770.8000000000011</v>
      </c>
      <c r="AE31" s="37">
        <f t="shared" ref="AE31:BF31" si="17">AE29-AE30</f>
        <v>11837.279999999999</v>
      </c>
      <c r="AF31" s="37">
        <f t="shared" si="17"/>
        <v>2626.0800000000004</v>
      </c>
      <c r="AG31" s="37">
        <f t="shared" si="17"/>
        <v>0</v>
      </c>
      <c r="AH31" s="37">
        <f t="shared" si="17"/>
        <v>0</v>
      </c>
      <c r="AI31" s="37">
        <f t="shared" si="17"/>
        <v>60.480000000000004</v>
      </c>
      <c r="AJ31" s="37">
        <f t="shared" si="17"/>
        <v>76190.720000000001</v>
      </c>
      <c r="AK31" s="37">
        <f t="shared" si="17"/>
        <v>186491.04</v>
      </c>
      <c r="AL31" s="37">
        <f t="shared" si="17"/>
        <v>0</v>
      </c>
      <c r="AM31" s="37">
        <f t="shared" si="17"/>
        <v>621.12</v>
      </c>
      <c r="AN31" s="37">
        <f t="shared" si="17"/>
        <v>245066.40000000002</v>
      </c>
      <c r="AO31" s="37">
        <f t="shared" si="17"/>
        <v>90833.279999999984</v>
      </c>
      <c r="AP31" s="37">
        <f t="shared" si="17"/>
        <v>7731.8399999999983</v>
      </c>
      <c r="AQ31" s="37">
        <f t="shared" si="17"/>
        <v>0</v>
      </c>
      <c r="AR31" s="37">
        <f t="shared" si="17"/>
        <v>0</v>
      </c>
      <c r="AS31" s="37">
        <f t="shared" si="17"/>
        <v>0</v>
      </c>
      <c r="AT31" s="37">
        <f t="shared" si="17"/>
        <v>0</v>
      </c>
      <c r="AU31" s="37">
        <f t="shared" si="17"/>
        <v>0</v>
      </c>
      <c r="AV31" s="37">
        <f t="shared" si="17"/>
        <v>8.1599999999999984</v>
      </c>
      <c r="AW31" s="37">
        <f t="shared" si="17"/>
        <v>18.72</v>
      </c>
      <c r="AX31" s="37">
        <f t="shared" si="17"/>
        <v>0</v>
      </c>
      <c r="AY31" s="37">
        <f t="shared" si="17"/>
        <v>0</v>
      </c>
      <c r="AZ31" s="37">
        <f t="shared" si="17"/>
        <v>0</v>
      </c>
      <c r="BA31" s="37">
        <f t="shared" si="17"/>
        <v>0</v>
      </c>
      <c r="BB31" s="37">
        <f t="shared" si="17"/>
        <v>5258.4000000000005</v>
      </c>
      <c r="BC31" s="37">
        <f t="shared" si="17"/>
        <v>5259.8399999999992</v>
      </c>
      <c r="BD31" s="37">
        <f t="shared" si="17"/>
        <v>0</v>
      </c>
      <c r="BE31" s="37">
        <f t="shared" si="17"/>
        <v>2370.2399999999998</v>
      </c>
      <c r="BF31" s="37">
        <f t="shared" si="17"/>
        <v>129781.92000000001</v>
      </c>
      <c r="BG31" s="124">
        <f>SUM(AD31:BF31)</f>
        <v>759384.72</v>
      </c>
      <c r="BH31" s="125">
        <f>AC31+BG31</f>
        <v>2442633.92</v>
      </c>
      <c r="BI31" s="38">
        <f>BI29-BI30</f>
        <v>43054.5</v>
      </c>
      <c r="BJ31" s="126">
        <f>BH31-BI31</f>
        <v>2399579.42</v>
      </c>
    </row>
    <row r="32" spans="1:63" ht="15.75">
      <c r="A32" s="130"/>
      <c r="B32" s="12" t="s">
        <v>203</v>
      </c>
      <c r="C32" s="9">
        <f>IF('Upto Month Current'!$F$4="",0,'Upto Month Current'!$F$4)</f>
        <v>1396270</v>
      </c>
      <c r="D32" s="9">
        <f>IF('Upto Month Current'!$F$5="",0,'Upto Month Current'!$F$5)</f>
        <v>643400</v>
      </c>
      <c r="E32" s="9">
        <f>IF('Upto Month Current'!$F$6="",0,'Upto Month Current'!$F$6)</f>
        <v>64110</v>
      </c>
      <c r="F32" s="9">
        <f>IF('Upto Month Current'!$F$7="",0,'Upto Month Current'!$F$7)</f>
        <v>117814</v>
      </c>
      <c r="G32" s="9">
        <f>IF('Upto Month Current'!$F$8="",0,'Upto Month Current'!$F$8)</f>
        <v>112928</v>
      </c>
      <c r="H32" s="9">
        <f>IF('Upto Month Current'!$F$9="",0,'Upto Month Current'!$F$9)</f>
        <v>0</v>
      </c>
      <c r="I32" s="9">
        <f>IF('Upto Month Current'!$F$10="",0,'Upto Month Current'!$F$10)</f>
        <v>0</v>
      </c>
      <c r="J32" s="9">
        <f>IF('Upto Month Current'!$F$11="",0,'Upto Month Current'!$F$11)</f>
        <v>7478</v>
      </c>
      <c r="K32" s="9">
        <f>IF('Upto Month Current'!$F$12="",0,'Upto Month Current'!$F$12)</f>
        <v>556</v>
      </c>
      <c r="L32" s="9">
        <f>IF('Upto Month Current'!$F$13="",0,'Upto Month Current'!$F$13)</f>
        <v>23554</v>
      </c>
      <c r="M32" s="9">
        <f>IF('Upto Month Current'!$F$14="",0,'Upto Month Current'!$F$14)</f>
        <v>26284</v>
      </c>
      <c r="N32" s="9">
        <f>IF('Upto Month Current'!$F$15="",0,'Upto Month Current'!$F$15)</f>
        <v>14</v>
      </c>
      <c r="O32" s="9">
        <f>IF('Upto Month Current'!$F$16="",0,'Upto Month Current'!$F$16)</f>
        <v>3255</v>
      </c>
      <c r="P32" s="9">
        <f>IF('Upto Month Current'!$F$17="",0,'Upto Month Current'!$F$17)</f>
        <v>114759</v>
      </c>
      <c r="Q32" s="9">
        <f>IF('Upto Month Current'!$F$18="",0,'Upto Month Current'!$F$18)</f>
        <v>0</v>
      </c>
      <c r="R32" s="9">
        <f>IF('Upto Month Current'!$F$21="",0,'Upto Month Current'!$F$21)</f>
        <v>3908</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7305</v>
      </c>
      <c r="Z32" s="9">
        <f>IF('Upto Month Current'!$F$43="",0,'Upto Month Current'!$F$43)</f>
        <v>1998</v>
      </c>
      <c r="AA32" s="9">
        <f>IF('Upto Month Current'!$F$44="",0,'Upto Month Current'!$F$44)</f>
        <v>1867</v>
      </c>
      <c r="AB32" s="9">
        <f>IF('Upto Month Current'!$F$51="",0,'Upto Month Current'!$F$51)</f>
        <v>0</v>
      </c>
      <c r="AC32" s="123">
        <f>SUM(C32:AB32)</f>
        <v>2525500</v>
      </c>
      <c r="AD32" s="9">
        <f>IF('Upto Month Current'!$F$19="",0,'Upto Month Current'!$F$19)</f>
        <v>381</v>
      </c>
      <c r="AE32" s="9">
        <f>IF('Upto Month Current'!$F$20="",0,'Upto Month Current'!$F$20)</f>
        <v>12678</v>
      </c>
      <c r="AF32" s="9">
        <f>IF('Upto Month Current'!$F$22="",0,'Upto Month Current'!$F$22)</f>
        <v>7884</v>
      </c>
      <c r="AG32" s="9">
        <f>IF('Upto Month Current'!$F$23="",0,'Upto Month Current'!$F$23)</f>
        <v>0</v>
      </c>
      <c r="AH32" s="9">
        <f>IF('Upto Month Current'!$F$24="",0,'Upto Month Current'!$F$24)</f>
        <v>0</v>
      </c>
      <c r="AI32" s="9">
        <f>IF('Upto Month Current'!$F$25="",0,'Upto Month Current'!$F$25)</f>
        <v>0</v>
      </c>
      <c r="AJ32" s="9">
        <f>IF('Upto Month Current'!$F$28="",0,'Upto Month Current'!$F$28)</f>
        <v>235644</v>
      </c>
      <c r="AK32" s="9">
        <f>IF('Upto Month Current'!$F$29="",0,'Upto Month Current'!$F$29)</f>
        <v>189617</v>
      </c>
      <c r="AL32" s="9">
        <f>IF('Upto Month Current'!$F$31="",0,'Upto Month Current'!$F$31)</f>
        <v>0</v>
      </c>
      <c r="AM32" s="9">
        <f>IF('Upto Month Current'!$F$32="",0,'Upto Month Current'!$F$32)</f>
        <v>0</v>
      </c>
      <c r="AN32" s="9">
        <f>IF('Upto Month Current'!$F$33="",0,'Upto Month Current'!$F$33)</f>
        <v>354478</v>
      </c>
      <c r="AO32" s="9">
        <f>IF('Upto Month Current'!$F$34="",0,'Upto Month Current'!$F$34)</f>
        <v>24579</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18488</v>
      </c>
      <c r="BC32" s="9">
        <f>IF('Upto Month Current'!$F$54="",0,'Upto Month Current'!$F$54)</f>
        <v>18488</v>
      </c>
      <c r="BD32" s="9">
        <f>IF('Upto Month Current'!$F$55="",0,'Upto Month Current'!$F$55)</f>
        <v>0</v>
      </c>
      <c r="BE32" s="9">
        <f>IF('Upto Month Current'!$F$56="",0,'Upto Month Current'!$F$56)</f>
        <v>18575</v>
      </c>
      <c r="BF32" s="9">
        <f>IF('Upto Month Current'!$F$58="",0,'Upto Month Current'!$F$58)</f>
        <v>496041</v>
      </c>
      <c r="BG32" s="124">
        <f>SUM(AD32:BF32)</f>
        <v>1376853</v>
      </c>
      <c r="BH32" s="125">
        <f>AC32+BG32</f>
        <v>3902353</v>
      </c>
      <c r="BI32" s="9">
        <f>IF('Upto Month Current'!$F$60="",0,'Upto Month Current'!$F$60)</f>
        <v>46767</v>
      </c>
      <c r="BJ32" s="126">
        <f>BH32-BI32</f>
        <v>3855586</v>
      </c>
      <c r="BK32">
        <f>'Upto Month Current'!$F$61</f>
        <v>3855584</v>
      </c>
    </row>
    <row r="33" spans="1:63" ht="15.75">
      <c r="A33" s="130"/>
      <c r="B33" s="5" t="s">
        <v>201</v>
      </c>
      <c r="C33" s="128">
        <f t="shared" ref="C33:AH33" si="18">C32/C29</f>
        <v>0.55609012015755499</v>
      </c>
      <c r="D33" s="128">
        <f t="shared" si="18"/>
        <v>1.6418542694845792</v>
      </c>
      <c r="E33" s="128">
        <f t="shared" si="18"/>
        <v>0.50369264613450659</v>
      </c>
      <c r="F33" s="128">
        <f t="shared" si="18"/>
        <v>0.60103663949229147</v>
      </c>
      <c r="G33" s="128">
        <f t="shared" si="18"/>
        <v>0.83573606465172734</v>
      </c>
      <c r="H33" s="128" t="e">
        <f t="shared" si="18"/>
        <v>#DIV/0!</v>
      </c>
      <c r="I33" s="128" t="e">
        <f t="shared" si="18"/>
        <v>#DIV/0!</v>
      </c>
      <c r="J33" s="128">
        <f t="shared" si="18"/>
        <v>6.7920072661217077</v>
      </c>
      <c r="K33" s="128">
        <f t="shared" si="18"/>
        <v>0.38424326192121633</v>
      </c>
      <c r="L33" s="128">
        <f t="shared" si="18"/>
        <v>0.79197068020577654</v>
      </c>
      <c r="M33" s="128">
        <f t="shared" si="18"/>
        <v>0.53804425702646819</v>
      </c>
      <c r="N33" s="128">
        <f t="shared" si="18"/>
        <v>5.6910569105691054E-2</v>
      </c>
      <c r="O33" s="128">
        <f t="shared" si="18"/>
        <v>0.53413193304890061</v>
      </c>
      <c r="P33" s="128">
        <f t="shared" si="18"/>
        <v>0.71958239277652369</v>
      </c>
      <c r="Q33" s="128" t="e">
        <f t="shared" si="18"/>
        <v>#DIV/0!</v>
      </c>
      <c r="R33" s="128">
        <f t="shared" si="18"/>
        <v>1.0121730121730121</v>
      </c>
      <c r="S33" s="128" t="e">
        <f t="shared" si="18"/>
        <v>#DIV/0!</v>
      </c>
      <c r="T33" s="128" t="e">
        <f t="shared" si="18"/>
        <v>#DIV/0!</v>
      </c>
      <c r="U33" s="128" t="e">
        <f t="shared" si="18"/>
        <v>#DIV/0!</v>
      </c>
      <c r="V33" s="128">
        <f t="shared" si="18"/>
        <v>0</v>
      </c>
      <c r="W33" s="128" t="e">
        <f t="shared" si="18"/>
        <v>#DIV/0!</v>
      </c>
      <c r="X33" s="128" t="e">
        <f t="shared" si="18"/>
        <v>#DIV/0!</v>
      </c>
      <c r="Y33" s="128">
        <f t="shared" si="18"/>
        <v>12.034596375617792</v>
      </c>
      <c r="Z33" s="128" t="e">
        <f t="shared" si="18"/>
        <v>#DIV/0!</v>
      </c>
      <c r="AA33" s="128">
        <f t="shared" si="18"/>
        <v>466.75</v>
      </c>
      <c r="AB33" s="128" t="e">
        <f t="shared" si="18"/>
        <v>#DIV/0!</v>
      </c>
      <c r="AC33" s="128">
        <f t="shared" si="18"/>
        <v>0.69556926098898908</v>
      </c>
      <c r="AD33" s="128">
        <f t="shared" si="18"/>
        <v>7.5222112537018757E-2</v>
      </c>
      <c r="AE33" s="128">
        <f t="shared" si="18"/>
        <v>0.51409107497668383</v>
      </c>
      <c r="AF33" s="128">
        <f t="shared" si="18"/>
        <v>1.4410528239809908</v>
      </c>
      <c r="AG33" s="128" t="e">
        <f t="shared" si="18"/>
        <v>#DIV/0!</v>
      </c>
      <c r="AH33" s="128" t="e">
        <f t="shared" si="18"/>
        <v>#DIV/0!</v>
      </c>
      <c r="AI33" s="128">
        <f t="shared" ref="AI33:BJ33" si="19">AI32/AI29</f>
        <v>0</v>
      </c>
      <c r="AJ33" s="128">
        <f t="shared" si="19"/>
        <v>1.0484763002282547</v>
      </c>
      <c r="AK33" s="128">
        <f t="shared" si="19"/>
        <v>0.4880457527610978</v>
      </c>
      <c r="AL33" s="128" t="e">
        <f t="shared" si="19"/>
        <v>#DIV/0!</v>
      </c>
      <c r="AM33" s="128">
        <f t="shared" si="19"/>
        <v>0</v>
      </c>
      <c r="AN33" s="128">
        <f t="shared" si="19"/>
        <v>0.6942993409133198</v>
      </c>
      <c r="AO33" s="128">
        <f t="shared" si="19"/>
        <v>0.12988543406117228</v>
      </c>
      <c r="AP33" s="128">
        <f t="shared" si="19"/>
        <v>0</v>
      </c>
      <c r="AQ33" s="128" t="e">
        <f t="shared" si="19"/>
        <v>#DIV/0!</v>
      </c>
      <c r="AR33" s="128" t="e">
        <f t="shared" si="19"/>
        <v>#DIV/0!</v>
      </c>
      <c r="AS33" s="128" t="e">
        <f t="shared" si="19"/>
        <v>#DIV/0!</v>
      </c>
      <c r="AT33" s="128" t="e">
        <f t="shared" si="19"/>
        <v>#DIV/0!</v>
      </c>
      <c r="AU33" s="128" t="e">
        <f t="shared" si="19"/>
        <v>#DIV/0!</v>
      </c>
      <c r="AV33" s="128">
        <f t="shared" si="19"/>
        <v>0</v>
      </c>
      <c r="AW33" s="128">
        <f t="shared" si="19"/>
        <v>0</v>
      </c>
      <c r="AX33" s="128" t="e">
        <f t="shared" si="19"/>
        <v>#DIV/0!</v>
      </c>
      <c r="AY33" s="128" t="e">
        <f t="shared" si="19"/>
        <v>#DIV/0!</v>
      </c>
      <c r="AZ33" s="128" t="e">
        <f t="shared" si="19"/>
        <v>#DIV/0!</v>
      </c>
      <c r="BA33" s="128" t="e">
        <f t="shared" si="19"/>
        <v>#DIV/0!</v>
      </c>
      <c r="BB33" s="128">
        <f t="shared" si="19"/>
        <v>1.687631218621634</v>
      </c>
      <c r="BC33" s="128">
        <f t="shared" si="19"/>
        <v>1.6871691914582954</v>
      </c>
      <c r="BD33" s="128" t="e">
        <f t="shared" si="19"/>
        <v>#DIV/0!</v>
      </c>
      <c r="BE33" s="128">
        <f t="shared" si="19"/>
        <v>3.7616443904414743</v>
      </c>
      <c r="BF33" s="128">
        <f t="shared" si="19"/>
        <v>1.8347832841385738</v>
      </c>
      <c r="BG33" s="128">
        <f t="shared" si="19"/>
        <v>0.82790885896927868</v>
      </c>
      <c r="BH33" s="128">
        <f t="shared" si="19"/>
        <v>0.73714309785171128</v>
      </c>
      <c r="BI33" s="128">
        <f t="shared" si="19"/>
        <v>0.54311396021321812</v>
      </c>
      <c r="BJ33" s="128">
        <f t="shared" si="19"/>
        <v>0.74035130907052704</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132</v>
      </c>
      <c r="B35" s="11" t="s">
        <v>205</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BH35-BI35</f>
        <v>8810582</v>
      </c>
    </row>
    <row r="36" spans="1:63" ht="15.75">
      <c r="A36" s="130" t="s">
        <v>132</v>
      </c>
      <c r="B36" s="5" t="s">
        <v>202</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SUM(C36:AB36)</f>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SUM(AD36:BF36)</f>
        <v>754408.72</v>
      </c>
      <c r="BH36" s="125">
        <f>AC36+BG36</f>
        <v>4855592.04</v>
      </c>
      <c r="BI36" s="37">
        <v>17479.5</v>
      </c>
      <c r="BJ36" s="126">
        <f>BH36-BI36</f>
        <v>4838112.54</v>
      </c>
    </row>
    <row r="37" spans="1:63" ht="15.75">
      <c r="A37" s="130"/>
      <c r="B37" s="5"/>
      <c r="C37" s="37">
        <f>C35-C36</f>
        <v>2061699.8399999999</v>
      </c>
      <c r="D37" s="37">
        <f t="shared" ref="D37:AB37" si="20">D35-D36</f>
        <v>226675.6399999999</v>
      </c>
      <c r="E37" s="37">
        <f t="shared" si="20"/>
        <v>159048</v>
      </c>
      <c r="F37" s="37">
        <f t="shared" si="20"/>
        <v>310538.39999999997</v>
      </c>
      <c r="G37" s="37">
        <f t="shared" si="20"/>
        <v>104374.55999999997</v>
      </c>
      <c r="H37" s="37">
        <f t="shared" si="20"/>
        <v>0</v>
      </c>
      <c r="I37" s="37">
        <f t="shared" si="20"/>
        <v>0</v>
      </c>
      <c r="J37" s="37">
        <f t="shared" si="20"/>
        <v>428100.95999999996</v>
      </c>
      <c r="K37" s="37">
        <f t="shared" si="20"/>
        <v>48240</v>
      </c>
      <c r="L37" s="37">
        <f t="shared" si="20"/>
        <v>63000.479999999996</v>
      </c>
      <c r="M37" s="37">
        <f t="shared" si="20"/>
        <v>99943.679999999993</v>
      </c>
      <c r="N37" s="37">
        <f t="shared" si="20"/>
        <v>169.92000000000002</v>
      </c>
      <c r="O37" s="37">
        <f t="shared" si="20"/>
        <v>2602.5599999999995</v>
      </c>
      <c r="P37" s="37">
        <f t="shared" si="20"/>
        <v>2829</v>
      </c>
      <c r="Q37" s="37">
        <f t="shared" si="20"/>
        <v>0</v>
      </c>
      <c r="R37" s="37">
        <f t="shared" si="20"/>
        <v>4334.24</v>
      </c>
      <c r="S37" s="37">
        <f t="shared" si="20"/>
        <v>0</v>
      </c>
      <c r="T37" s="37">
        <f t="shared" si="20"/>
        <v>0</v>
      </c>
      <c r="U37" s="37">
        <f t="shared" si="20"/>
        <v>0</v>
      </c>
      <c r="V37" s="37">
        <f t="shared" si="20"/>
        <v>0</v>
      </c>
      <c r="W37" s="37">
        <f t="shared" si="20"/>
        <v>0</v>
      </c>
      <c r="X37" s="37">
        <f t="shared" si="20"/>
        <v>0</v>
      </c>
      <c r="Y37" s="37">
        <f t="shared" si="20"/>
        <v>171.84000000000003</v>
      </c>
      <c r="Z37" s="37">
        <f t="shared" si="20"/>
        <v>22.559999999999995</v>
      </c>
      <c r="AA37" s="37">
        <f t="shared" si="20"/>
        <v>20916</v>
      </c>
      <c r="AB37" s="37">
        <f t="shared" si="20"/>
        <v>0</v>
      </c>
      <c r="AC37" s="123">
        <f>SUM(C37:AB37)</f>
        <v>3532667.6799999997</v>
      </c>
      <c r="AD37" s="37">
        <f>AD35-AD36</f>
        <v>-2310.84</v>
      </c>
      <c r="AE37" s="37">
        <f t="shared" ref="AE37:BF37" si="21">AE35-AE36</f>
        <v>12.48</v>
      </c>
      <c r="AF37" s="37">
        <f t="shared" si="21"/>
        <v>2722.0800000000004</v>
      </c>
      <c r="AG37" s="37">
        <f t="shared" si="21"/>
        <v>0</v>
      </c>
      <c r="AH37" s="37">
        <f t="shared" si="21"/>
        <v>0</v>
      </c>
      <c r="AI37" s="37">
        <f t="shared" si="21"/>
        <v>170.88000000000002</v>
      </c>
      <c r="AJ37" s="37">
        <f t="shared" si="21"/>
        <v>-23000.320000000007</v>
      </c>
      <c r="AK37" s="37">
        <f t="shared" si="21"/>
        <v>52492.479999999996</v>
      </c>
      <c r="AL37" s="37">
        <f t="shared" si="21"/>
        <v>266742.24</v>
      </c>
      <c r="AM37" s="37">
        <f t="shared" si="21"/>
        <v>-13400.36</v>
      </c>
      <c r="AN37" s="37">
        <f t="shared" si="21"/>
        <v>188306.40000000002</v>
      </c>
      <c r="AO37" s="37">
        <f t="shared" si="21"/>
        <v>-17546.400000000001</v>
      </c>
      <c r="AP37" s="37">
        <f t="shared" si="21"/>
        <v>0</v>
      </c>
      <c r="AQ37" s="37">
        <f t="shared" si="21"/>
        <v>0</v>
      </c>
      <c r="AR37" s="37">
        <f t="shared" si="21"/>
        <v>0</v>
      </c>
      <c r="AS37" s="37">
        <f t="shared" si="21"/>
        <v>0</v>
      </c>
      <c r="AT37" s="37">
        <f t="shared" si="21"/>
        <v>0</v>
      </c>
      <c r="AU37" s="37">
        <f t="shared" si="21"/>
        <v>0</v>
      </c>
      <c r="AV37" s="37">
        <f t="shared" si="21"/>
        <v>128.63999999999999</v>
      </c>
      <c r="AW37" s="37">
        <f t="shared" si="21"/>
        <v>152.15999999999997</v>
      </c>
      <c r="AX37" s="37">
        <f t="shared" si="21"/>
        <v>0</v>
      </c>
      <c r="AY37" s="37">
        <f t="shared" si="21"/>
        <v>0</v>
      </c>
      <c r="AZ37" s="37">
        <f t="shared" si="21"/>
        <v>0</v>
      </c>
      <c r="BA37" s="37">
        <f t="shared" si="21"/>
        <v>0</v>
      </c>
      <c r="BB37" s="37">
        <f t="shared" si="21"/>
        <v>1297.92</v>
      </c>
      <c r="BC37" s="37">
        <f t="shared" si="21"/>
        <v>1300.32</v>
      </c>
      <c r="BD37" s="37">
        <f t="shared" si="21"/>
        <v>0</v>
      </c>
      <c r="BE37" s="37">
        <f t="shared" si="21"/>
        <v>212.64</v>
      </c>
      <c r="BF37" s="37">
        <f t="shared" si="21"/>
        <v>0.96</v>
      </c>
      <c r="BG37" s="124">
        <f>SUM(AD37:BF37)</f>
        <v>457281.28000000003</v>
      </c>
      <c r="BH37" s="125">
        <f>AC37+BG37</f>
        <v>3989948.96</v>
      </c>
      <c r="BI37" s="38">
        <f>BI35-BI36</f>
        <v>17479.5</v>
      </c>
      <c r="BJ37" s="126">
        <f>BH37-BI37</f>
        <v>3972469.46</v>
      </c>
    </row>
    <row r="38" spans="1:63" ht="15.75">
      <c r="A38" s="130"/>
      <c r="B38" s="12" t="s">
        <v>203</v>
      </c>
      <c r="C38" s="9">
        <f>IF('Upto Month Current'!$G$4="",0,'Upto Month Current'!$G$4)</f>
        <v>2589438</v>
      </c>
      <c r="D38" s="9">
        <f>IF('Upto Month Current'!$G$5="",0,'Upto Month Current'!$G$5)</f>
        <v>1496700</v>
      </c>
      <c r="E38" s="9">
        <f>IF('Upto Month Current'!$G$6="",0,'Upto Month Current'!$G$6)</f>
        <v>105880</v>
      </c>
      <c r="F38" s="9">
        <f>IF('Upto Month Current'!$G$7="",0,'Upto Month Current'!$G$7)</f>
        <v>474098</v>
      </c>
      <c r="G38" s="9">
        <f>IF('Upto Month Current'!$G$8="",0,'Upto Month Current'!$G$8)</f>
        <v>207528</v>
      </c>
      <c r="H38" s="9">
        <f>IF('Upto Month Current'!$G$9="",0,'Upto Month Current'!$G$9)</f>
        <v>0</v>
      </c>
      <c r="I38" s="9">
        <f>IF('Upto Month Current'!$G$10="",0,'Upto Month Current'!$G$10)</f>
        <v>0</v>
      </c>
      <c r="J38" s="9">
        <f>IF('Upto Month Current'!$G$11="",0,'Upto Month Current'!$G$11)</f>
        <v>1255163</v>
      </c>
      <c r="K38" s="9">
        <f>IF('Upto Month Current'!$G$12="",0,'Upto Month Current'!$G$12)</f>
        <v>27374</v>
      </c>
      <c r="L38" s="9">
        <f>IF('Upto Month Current'!$G$13="",0,'Upto Month Current'!$G$13)</f>
        <v>152129</v>
      </c>
      <c r="M38" s="9">
        <f>IF('Upto Month Current'!$G$14="",0,'Upto Month Current'!$G$14)</f>
        <v>178883</v>
      </c>
      <c r="N38" s="9">
        <f>IF('Upto Month Current'!$G$15="",0,'Upto Month Current'!$G$15)</f>
        <v>228</v>
      </c>
      <c r="O38" s="9">
        <f>IF('Upto Month Current'!$G$16="",0,'Upto Month Current'!$G$16)</f>
        <v>6366</v>
      </c>
      <c r="P38" s="9">
        <f>IF('Upto Month Current'!$G$17="",0,'Upto Month Current'!$G$17)</f>
        <v>5579</v>
      </c>
      <c r="Q38" s="9">
        <f>IF('Upto Month Current'!$G$18="",0,'Upto Month Current'!$G$18)</f>
        <v>0</v>
      </c>
      <c r="R38" s="9">
        <f>IF('Upto Month Current'!$G$21="",0,'Upto Month Current'!$G$21)</f>
        <v>7685</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1591</v>
      </c>
      <c r="Z38" s="9">
        <f>IF('Upto Month Current'!$G$43="",0,'Upto Month Current'!$G$43)</f>
        <v>465</v>
      </c>
      <c r="AA38" s="9">
        <f>IF('Upto Month Current'!$G$44="",0,'Upto Month Current'!$G$44)</f>
        <v>480</v>
      </c>
      <c r="AB38" s="9">
        <f>IF('Upto Month Current'!$G$51="",0,'Upto Month Current'!$G$51)</f>
        <v>0</v>
      </c>
      <c r="AC38" s="123">
        <f>SUM(C38:AB38)</f>
        <v>6509587</v>
      </c>
      <c r="AD38" s="9">
        <f>IF('Upto Month Current'!$G$19="",0,'Upto Month Current'!$G$19)</f>
        <v>0</v>
      </c>
      <c r="AE38" s="9">
        <f>IF('Upto Month Current'!$G$20="",0,'Upto Month Current'!$G$20)</f>
        <v>0</v>
      </c>
      <c r="AF38" s="9">
        <f>IF('Upto Month Current'!$G$22="",0,'Upto Month Current'!$G$22)</f>
        <v>3725</v>
      </c>
      <c r="AG38" s="9">
        <f>IF('Upto Month Current'!$G$23="",0,'Upto Month Current'!$G$23)</f>
        <v>0</v>
      </c>
      <c r="AH38" s="9">
        <f>IF('Upto Month Current'!$G$24="",0,'Upto Month Current'!$G$24)</f>
        <v>0</v>
      </c>
      <c r="AI38" s="9">
        <f>IF('Upto Month Current'!$G$25="",0,'Upto Month Current'!$G$25)</f>
        <v>0</v>
      </c>
      <c r="AJ38" s="9">
        <f>IF('Upto Month Current'!$G$28="",0,'Upto Month Current'!$G$28)</f>
        <v>81854</v>
      </c>
      <c r="AK38" s="9">
        <f>IF('Upto Month Current'!$G$29="",0,'Upto Month Current'!$G$29)</f>
        <v>36956</v>
      </c>
      <c r="AL38" s="9">
        <f>IF('Upto Month Current'!$G$31="",0,'Upto Month Current'!$G$31)</f>
        <v>437488</v>
      </c>
      <c r="AM38" s="9">
        <f>IF('Upto Month Current'!$G$32="",0,'Upto Month Current'!$G$32)</f>
        <v>165076</v>
      </c>
      <c r="AN38" s="9">
        <f>IF('Upto Month Current'!$G$33="",0,'Upto Month Current'!$G$33)</f>
        <v>621460</v>
      </c>
      <c r="AO38" s="9">
        <f>IF('Upto Month Current'!$G$34="",0,'Upto Month Current'!$G$34)</f>
        <v>28353</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14057</v>
      </c>
      <c r="BC38" s="9">
        <f>IF('Upto Month Current'!$G$54="",0,'Upto Month Current'!$G$54)</f>
        <v>14057</v>
      </c>
      <c r="BD38" s="9">
        <f>IF('Upto Month Current'!$G$55="",0,'Upto Month Current'!$G$55)</f>
        <v>0</v>
      </c>
      <c r="BE38" s="9">
        <f>IF('Upto Month Current'!$G$56="",0,'Upto Month Current'!$G$56)</f>
        <v>22428</v>
      </c>
      <c r="BF38" s="9">
        <f>IF('Upto Month Current'!$G$58="",0,'Upto Month Current'!$G$58)</f>
        <v>0</v>
      </c>
      <c r="BG38" s="124">
        <f>SUM(AD38:BF38)</f>
        <v>1425454</v>
      </c>
      <c r="BH38" s="125">
        <f>AC38+BG38</f>
        <v>7935041</v>
      </c>
      <c r="BI38" s="9">
        <f>IF('Upto Month Current'!$G$60="",0,'Upto Month Current'!$G$60)</f>
        <v>0</v>
      </c>
      <c r="BJ38" s="126">
        <f>BH38-BI38</f>
        <v>7935041</v>
      </c>
      <c r="BK38">
        <f>'Upto Month Current'!$G$61</f>
        <v>7935044</v>
      </c>
    </row>
    <row r="39" spans="1:63" ht="15.75">
      <c r="A39" s="130"/>
      <c r="B39" s="5" t="s">
        <v>201</v>
      </c>
      <c r="C39" s="128">
        <f t="shared" ref="C39:AH39" si="22">C38/C35</f>
        <v>0.60286672962054455</v>
      </c>
      <c r="D39" s="128">
        <f t="shared" si="22"/>
        <v>1.6382586537535355</v>
      </c>
      <c r="E39" s="128">
        <f t="shared" si="22"/>
        <v>0.66571098033298126</v>
      </c>
      <c r="F39" s="128">
        <f t="shared" si="22"/>
        <v>0.73281449250720687</v>
      </c>
      <c r="G39" s="128">
        <f t="shared" si="22"/>
        <v>0.95438428674573572</v>
      </c>
      <c r="H39" s="128" t="e">
        <f t="shared" si="22"/>
        <v>#DIV/0!</v>
      </c>
      <c r="I39" s="128" t="e">
        <f t="shared" si="22"/>
        <v>#DIV/0!</v>
      </c>
      <c r="J39" s="128">
        <f t="shared" si="22"/>
        <v>1.4073274678010532</v>
      </c>
      <c r="K39" s="128">
        <f t="shared" si="22"/>
        <v>0.27237810945273633</v>
      </c>
      <c r="L39" s="128">
        <f t="shared" si="22"/>
        <v>1.1590692642341773</v>
      </c>
      <c r="M39" s="128">
        <f t="shared" si="22"/>
        <v>0.85912225765551153</v>
      </c>
      <c r="N39" s="128">
        <f t="shared" si="22"/>
        <v>0.64406779661016944</v>
      </c>
      <c r="O39" s="128">
        <f t="shared" si="22"/>
        <v>1.1741054961268904</v>
      </c>
      <c r="P39" s="128">
        <f t="shared" si="22"/>
        <v>0.63520437208243197</v>
      </c>
      <c r="Q39" s="128" t="e">
        <f t="shared" si="22"/>
        <v>#DIV/0!</v>
      </c>
      <c r="R39" s="128">
        <f t="shared" si="22"/>
        <v>0.68505972544125515</v>
      </c>
      <c r="S39" s="128" t="e">
        <f t="shared" si="22"/>
        <v>#DIV/0!</v>
      </c>
      <c r="T39" s="128" t="e">
        <f t="shared" si="22"/>
        <v>#DIV/0!</v>
      </c>
      <c r="U39" s="128" t="e">
        <f t="shared" si="22"/>
        <v>#DIV/0!</v>
      </c>
      <c r="V39" s="128" t="e">
        <f t="shared" si="22"/>
        <v>#DIV/0!</v>
      </c>
      <c r="W39" s="128" t="e">
        <f t="shared" si="22"/>
        <v>#DIV/0!</v>
      </c>
      <c r="X39" s="128" t="e">
        <f t="shared" si="22"/>
        <v>#DIV/0!</v>
      </c>
      <c r="Y39" s="128">
        <f t="shared" si="22"/>
        <v>4.4441340782122909</v>
      </c>
      <c r="Z39" s="128">
        <f t="shared" si="22"/>
        <v>9.8936170212765955</v>
      </c>
      <c r="AA39" s="128">
        <f t="shared" si="22"/>
        <v>1.1015490533562823E-2</v>
      </c>
      <c r="AB39" s="128" t="e">
        <f t="shared" si="22"/>
        <v>#DIV/0!</v>
      </c>
      <c r="AC39" s="128">
        <f t="shared" si="22"/>
        <v>0.85272649413775559</v>
      </c>
      <c r="AD39" s="128">
        <f t="shared" si="22"/>
        <v>0</v>
      </c>
      <c r="AE39" s="128">
        <f t="shared" si="22"/>
        <v>0</v>
      </c>
      <c r="AF39" s="128">
        <f t="shared" si="22"/>
        <v>0.65685064362546286</v>
      </c>
      <c r="AG39" s="128" t="e">
        <f t="shared" si="22"/>
        <v>#DIV/0!</v>
      </c>
      <c r="AH39" s="128" t="e">
        <f t="shared" si="22"/>
        <v>#DIV/0!</v>
      </c>
      <c r="AI39" s="128">
        <f t="shared" ref="AI39:BJ39" si="23">AI38/AI35</f>
        <v>0</v>
      </c>
      <c r="AJ39" s="128">
        <f t="shared" si="23"/>
        <v>0.87288587454944866</v>
      </c>
      <c r="AK39" s="128">
        <f t="shared" si="23"/>
        <v>0.31731149004859788</v>
      </c>
      <c r="AL39" s="128">
        <f t="shared" si="23"/>
        <v>0.78725529185028964</v>
      </c>
      <c r="AM39" s="128">
        <f t="shared" si="23"/>
        <v>2.1977021287926193</v>
      </c>
      <c r="AN39" s="128">
        <f t="shared" si="23"/>
        <v>1.5841245969335083</v>
      </c>
      <c r="AO39" s="128">
        <f t="shared" si="23"/>
        <v>-0.77562576938859251</v>
      </c>
      <c r="AP39" s="128" t="e">
        <f t="shared" si="23"/>
        <v>#DIV/0!</v>
      </c>
      <c r="AQ39" s="128" t="e">
        <f t="shared" si="23"/>
        <v>#DIV/0!</v>
      </c>
      <c r="AR39" s="128" t="e">
        <f t="shared" si="23"/>
        <v>#DIV/0!</v>
      </c>
      <c r="AS39" s="128" t="e">
        <f t="shared" si="23"/>
        <v>#DIV/0!</v>
      </c>
      <c r="AT39" s="128" t="e">
        <f t="shared" si="23"/>
        <v>#DIV/0!</v>
      </c>
      <c r="AU39" s="128" t="e">
        <f t="shared" si="23"/>
        <v>#DIV/0!</v>
      </c>
      <c r="AV39" s="128">
        <f t="shared" si="23"/>
        <v>0</v>
      </c>
      <c r="AW39" s="128">
        <f t="shared" si="23"/>
        <v>0</v>
      </c>
      <c r="AX39" s="128" t="e">
        <f t="shared" si="23"/>
        <v>#DIV/0!</v>
      </c>
      <c r="AY39" s="128" t="e">
        <f t="shared" si="23"/>
        <v>#DIV/0!</v>
      </c>
      <c r="AZ39" s="128" t="e">
        <f t="shared" si="23"/>
        <v>#DIV/0!</v>
      </c>
      <c r="BA39" s="128" t="e">
        <f t="shared" si="23"/>
        <v>#DIV/0!</v>
      </c>
      <c r="BB39" s="128">
        <f t="shared" si="23"/>
        <v>5.1985946745562126</v>
      </c>
      <c r="BC39" s="128">
        <f t="shared" si="23"/>
        <v>5.1889996308600956</v>
      </c>
      <c r="BD39" s="128" t="e">
        <f t="shared" si="23"/>
        <v>#DIV/0!</v>
      </c>
      <c r="BE39" s="128">
        <f t="shared" si="23"/>
        <v>50.627539503386004</v>
      </c>
      <c r="BF39" s="128">
        <f t="shared" si="23"/>
        <v>0</v>
      </c>
      <c r="BG39" s="128">
        <f t="shared" si="23"/>
        <v>1.1764180607251029</v>
      </c>
      <c r="BH39" s="128">
        <f t="shared" si="23"/>
        <v>0.89706678200915013</v>
      </c>
      <c r="BI39" s="128">
        <f t="shared" si="23"/>
        <v>0</v>
      </c>
      <c r="BJ39" s="128">
        <f t="shared" si="23"/>
        <v>0.90062620153810502</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133</v>
      </c>
      <c r="B41" s="11" t="s">
        <v>205</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BH41-BI41</f>
        <v>26089898</v>
      </c>
    </row>
    <row r="42" spans="1:63" ht="15.75">
      <c r="A42" s="130" t="s">
        <v>133</v>
      </c>
      <c r="B42" s="5" t="s">
        <v>202</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SUM(C42:AB42)</f>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SUM(AD42:BF42)</f>
        <v>12061844.480000002</v>
      </c>
      <c r="BH42" s="125">
        <f>AC42+BG42</f>
        <v>16906831.640000001</v>
      </c>
      <c r="BI42" s="11">
        <v>0</v>
      </c>
      <c r="BJ42" s="126">
        <f>BH42-BI42</f>
        <v>16906831.640000001</v>
      </c>
    </row>
    <row r="43" spans="1:63" ht="15.75">
      <c r="A43" s="130"/>
      <c r="B43" s="5"/>
      <c r="C43" s="37">
        <f>C41-C42</f>
        <v>2787648.9599999995</v>
      </c>
      <c r="D43" s="37">
        <f t="shared" ref="D43:AB43" si="24">D41-D42</f>
        <v>213832.71999999997</v>
      </c>
      <c r="E43" s="37">
        <f t="shared" si="24"/>
        <v>216781</v>
      </c>
      <c r="F43" s="37">
        <f t="shared" si="24"/>
        <v>299418.71999999997</v>
      </c>
      <c r="G43" s="37">
        <f t="shared" si="24"/>
        <v>150382.08000000002</v>
      </c>
      <c r="H43" s="37">
        <f t="shared" si="24"/>
        <v>0</v>
      </c>
      <c r="I43" s="37">
        <f t="shared" si="24"/>
        <v>0</v>
      </c>
      <c r="J43" s="37">
        <f t="shared" si="24"/>
        <v>167811.36</v>
      </c>
      <c r="K43" s="37">
        <f t="shared" si="24"/>
        <v>26572.639999999992</v>
      </c>
      <c r="L43" s="37">
        <f t="shared" si="24"/>
        <v>87956.160000000003</v>
      </c>
      <c r="M43" s="37">
        <f t="shared" si="24"/>
        <v>76614.239999999991</v>
      </c>
      <c r="N43" s="37">
        <f t="shared" si="24"/>
        <v>472.31999999999994</v>
      </c>
      <c r="O43" s="37">
        <f t="shared" si="24"/>
        <v>8884.7999999999993</v>
      </c>
      <c r="P43" s="37">
        <f t="shared" si="24"/>
        <v>27308.880000000005</v>
      </c>
      <c r="Q43" s="37">
        <f t="shared" si="24"/>
        <v>0</v>
      </c>
      <c r="R43" s="37">
        <f t="shared" si="24"/>
        <v>-1143.2399999999998</v>
      </c>
      <c r="S43" s="37">
        <f t="shared" si="24"/>
        <v>0</v>
      </c>
      <c r="T43" s="37">
        <f t="shared" si="24"/>
        <v>0</v>
      </c>
      <c r="U43" s="37">
        <f t="shared" si="24"/>
        <v>0</v>
      </c>
      <c r="V43" s="37">
        <f t="shared" si="24"/>
        <v>0</v>
      </c>
      <c r="W43" s="37">
        <f t="shared" si="24"/>
        <v>0</v>
      </c>
      <c r="X43" s="37">
        <f t="shared" si="24"/>
        <v>0</v>
      </c>
      <c r="Y43" s="37">
        <f t="shared" si="24"/>
        <v>2052</v>
      </c>
      <c r="Z43" s="37">
        <f t="shared" si="24"/>
        <v>306.71999999999997</v>
      </c>
      <c r="AA43" s="37">
        <f t="shared" si="24"/>
        <v>300.48</v>
      </c>
      <c r="AB43" s="37">
        <f t="shared" si="24"/>
        <v>0</v>
      </c>
      <c r="AC43" s="123">
        <f>SUM(C43:AB43)</f>
        <v>4065199.8399999994</v>
      </c>
      <c r="AD43" s="37">
        <f>AD41-AD42</f>
        <v>2487.3600000000006</v>
      </c>
      <c r="AE43" s="37">
        <f t="shared" ref="AE43:BF43" si="25">AE41-AE42</f>
        <v>184.79999999999998</v>
      </c>
      <c r="AF43" s="37">
        <f t="shared" si="25"/>
        <v>3419.0399999999995</v>
      </c>
      <c r="AG43" s="37">
        <f t="shared" si="25"/>
        <v>0</v>
      </c>
      <c r="AH43" s="37">
        <f t="shared" si="25"/>
        <v>0</v>
      </c>
      <c r="AI43" s="37">
        <f t="shared" si="25"/>
        <v>4930.5599999999995</v>
      </c>
      <c r="AJ43" s="37">
        <f t="shared" si="25"/>
        <v>-19995.600000000006</v>
      </c>
      <c r="AK43" s="37">
        <f t="shared" si="25"/>
        <v>13787.039999999999</v>
      </c>
      <c r="AL43" s="37">
        <f t="shared" si="25"/>
        <v>0</v>
      </c>
      <c r="AM43" s="37">
        <f t="shared" si="25"/>
        <v>-146.88000000000002</v>
      </c>
      <c r="AN43" s="37">
        <f t="shared" si="25"/>
        <v>136624.79999999999</v>
      </c>
      <c r="AO43" s="37">
        <f t="shared" si="25"/>
        <v>4966182.7199999988</v>
      </c>
      <c r="AP43" s="37">
        <f t="shared" si="25"/>
        <v>0</v>
      </c>
      <c r="AQ43" s="37">
        <f t="shared" si="25"/>
        <v>0</v>
      </c>
      <c r="AR43" s="37">
        <f t="shared" si="25"/>
        <v>0</v>
      </c>
      <c r="AS43" s="37">
        <f t="shared" si="25"/>
        <v>0</v>
      </c>
      <c r="AT43" s="37">
        <f t="shared" si="25"/>
        <v>0</v>
      </c>
      <c r="AU43" s="37">
        <f t="shared" si="25"/>
        <v>0</v>
      </c>
      <c r="AV43" s="37">
        <f t="shared" si="25"/>
        <v>122.39999999999998</v>
      </c>
      <c r="AW43" s="37">
        <f t="shared" si="25"/>
        <v>478.07999999999993</v>
      </c>
      <c r="AX43" s="37">
        <f t="shared" si="25"/>
        <v>27.839999999999996</v>
      </c>
      <c r="AY43" s="37">
        <f t="shared" si="25"/>
        <v>0</v>
      </c>
      <c r="AZ43" s="37">
        <f t="shared" si="25"/>
        <v>0</v>
      </c>
      <c r="BA43" s="37">
        <f t="shared" si="25"/>
        <v>0</v>
      </c>
      <c r="BB43" s="37">
        <f t="shared" si="25"/>
        <v>1843.1999999999998</v>
      </c>
      <c r="BC43" s="37">
        <f t="shared" si="25"/>
        <v>1843.1999999999998</v>
      </c>
      <c r="BD43" s="37">
        <f t="shared" si="25"/>
        <v>0</v>
      </c>
      <c r="BE43" s="37">
        <f t="shared" si="25"/>
        <v>4740.96</v>
      </c>
      <c r="BF43" s="37">
        <f t="shared" si="25"/>
        <v>1337</v>
      </c>
      <c r="BG43" s="124">
        <f>SUM(AD43:BF43)</f>
        <v>5117866.5199999996</v>
      </c>
      <c r="BH43" s="125">
        <f>AC43+BG43</f>
        <v>9183066.3599999994</v>
      </c>
      <c r="BI43" s="38">
        <f>BI41-BI42</f>
        <v>0</v>
      </c>
      <c r="BJ43" s="126">
        <f>BH43-BI43</f>
        <v>9183066.3599999994</v>
      </c>
    </row>
    <row r="44" spans="1:63" ht="15.75">
      <c r="A44" s="130"/>
      <c r="B44" s="12" t="s">
        <v>203</v>
      </c>
      <c r="C44" s="9">
        <f>IF('Upto Month Current'!$H$4="",0,'Upto Month Current'!$H$4)</f>
        <v>3048537</v>
      </c>
      <c r="D44" s="9">
        <f>IF('Upto Month Current'!$H$5="",0,'Upto Month Current'!$H$5)</f>
        <v>1530226</v>
      </c>
      <c r="E44" s="9">
        <f>IF('Upto Month Current'!$H$6="",0,'Upto Month Current'!$H$6)</f>
        <v>107630</v>
      </c>
      <c r="F44" s="9">
        <f>IF('Upto Month Current'!$H$7="",0,'Upto Month Current'!$H$7)</f>
        <v>347606</v>
      </c>
      <c r="G44" s="9">
        <f>IF('Upto Month Current'!$H$8="",0,'Upto Month Current'!$H$8)</f>
        <v>218013</v>
      </c>
      <c r="H44" s="9">
        <f>IF('Upto Month Current'!$H$9="",0,'Upto Month Current'!$H$9)</f>
        <v>0</v>
      </c>
      <c r="I44" s="9">
        <f>IF('Upto Month Current'!$H$10="",0,'Upto Month Current'!$H$10)</f>
        <v>0</v>
      </c>
      <c r="J44" s="9">
        <f>IF('Upto Month Current'!$H$11="",0,'Upto Month Current'!$H$11)</f>
        <v>532059</v>
      </c>
      <c r="K44" s="9">
        <f>IF('Upto Month Current'!$H$12="",0,'Upto Month Current'!$H$12)</f>
        <v>73044</v>
      </c>
      <c r="L44" s="9">
        <f>IF('Upto Month Current'!$H$13="",0,'Upto Month Current'!$H$13)</f>
        <v>161442</v>
      </c>
      <c r="M44" s="9">
        <f>IF('Upto Month Current'!$H$14="",0,'Upto Month Current'!$H$14)</f>
        <v>112828</v>
      </c>
      <c r="N44" s="9">
        <f>IF('Upto Month Current'!$H$15="",0,'Upto Month Current'!$H$15)</f>
        <v>744</v>
      </c>
      <c r="O44" s="9">
        <f>IF('Upto Month Current'!$H$16="",0,'Upto Month Current'!$H$16)</f>
        <v>14576</v>
      </c>
      <c r="P44" s="9">
        <f>IF('Upto Month Current'!$H$17="",0,'Upto Month Current'!$H$17)</f>
        <v>151419</v>
      </c>
      <c r="Q44" s="9">
        <f>IF('Upto Month Current'!$H$18="",0,'Upto Month Current'!$H$18)</f>
        <v>0</v>
      </c>
      <c r="R44" s="9">
        <f>IF('Upto Month Current'!$H$21="",0,'Upto Month Current'!$H$21)</f>
        <v>8232</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12742</v>
      </c>
      <c r="Z44" s="9">
        <f>IF('Upto Month Current'!$H$43="",0,'Upto Month Current'!$H$43)</f>
        <v>3635</v>
      </c>
      <c r="AA44" s="9">
        <f>IF('Upto Month Current'!$H$44="",0,'Upto Month Current'!$H$44)</f>
        <v>4543</v>
      </c>
      <c r="AB44" s="9">
        <f>IF('Upto Month Current'!$H$51="",0,'Upto Month Current'!$H$51)</f>
        <v>0</v>
      </c>
      <c r="AC44" s="123">
        <f>SUM(C44:AB44)</f>
        <v>6327276</v>
      </c>
      <c r="AD44" s="9">
        <f>IF('Upto Month Current'!$H$19="",0,'Upto Month Current'!$H$19)</f>
        <v>0</v>
      </c>
      <c r="AE44" s="9">
        <f>IF('Upto Month Current'!$H$20="",0,'Upto Month Current'!$H$20)</f>
        <v>934</v>
      </c>
      <c r="AF44" s="9">
        <f>IF('Upto Month Current'!$H$22="",0,'Upto Month Current'!$H$22)</f>
        <v>17657</v>
      </c>
      <c r="AG44" s="9">
        <f>IF('Upto Month Current'!$H$23="",0,'Upto Month Current'!$H$23)</f>
        <v>0</v>
      </c>
      <c r="AH44" s="9">
        <f>IF('Upto Month Current'!$H$24="",0,'Upto Month Current'!$H$24)</f>
        <v>0</v>
      </c>
      <c r="AI44" s="9">
        <f>IF('Upto Month Current'!$H$25="",0,'Upto Month Current'!$H$25)</f>
        <v>17295</v>
      </c>
      <c r="AJ44" s="9">
        <f>IF('Upto Month Current'!$H$28="",0,'Upto Month Current'!$H$28)</f>
        <v>19469</v>
      </c>
      <c r="AK44" s="9">
        <f>IF('Upto Month Current'!$H$29="",0,'Upto Month Current'!$H$29)</f>
        <v>40016</v>
      </c>
      <c r="AL44" s="9">
        <f>IF('Upto Month Current'!$H$31="",0,'Upto Month Current'!$H$31)</f>
        <v>0</v>
      </c>
      <c r="AM44" s="9">
        <f>IF('Upto Month Current'!$H$32="",0,'Upto Month Current'!$H$32)</f>
        <v>0</v>
      </c>
      <c r="AN44" s="9">
        <f>IF('Upto Month Current'!$H$33="",0,'Upto Month Current'!$H$33)</f>
        <v>316552</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0</v>
      </c>
      <c r="AW44" s="9">
        <f>IF('Upto Month Current'!$H$46="",0,'Upto Month Current'!$H$46)</f>
        <v>0</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11907</v>
      </c>
      <c r="BC44" s="9">
        <f>IF('Upto Month Current'!$H$54="",0,'Upto Month Current'!$H$54)</f>
        <v>11907</v>
      </c>
      <c r="BD44" s="9">
        <f>IF('Upto Month Current'!$H$55="",0,'Upto Month Current'!$H$55)</f>
        <v>0</v>
      </c>
      <c r="BE44" s="9">
        <f>IF('Upto Month Current'!$H$56="",0,'Upto Month Current'!$H$56)</f>
        <v>7066</v>
      </c>
      <c r="BF44" s="9">
        <f>IF('Upto Month Current'!$H$58="",0,'Upto Month Current'!$H$58)</f>
        <v>16679</v>
      </c>
      <c r="BG44" s="124">
        <f>SUM(AD44:BF44)</f>
        <v>459482</v>
      </c>
      <c r="BH44" s="125">
        <f>AC44+BG44</f>
        <v>6786758</v>
      </c>
      <c r="BI44" s="9">
        <f>IF('Upto Month Current'!$H$60="",0,'Upto Month Current'!$H$60)</f>
        <v>456</v>
      </c>
      <c r="BJ44" s="126">
        <f>BH44-BI44</f>
        <v>6786302</v>
      </c>
      <c r="BK44">
        <f>'Upto Month Current'!$H$61</f>
        <v>6786299</v>
      </c>
    </row>
    <row r="45" spans="1:63" ht="15.75">
      <c r="A45" s="130"/>
      <c r="B45" s="5" t="s">
        <v>201</v>
      </c>
      <c r="C45" s="128">
        <f t="shared" ref="C45:AH45" si="26">C44/C41</f>
        <v>0.52492181798959359</v>
      </c>
      <c r="D45" s="128">
        <f t="shared" si="26"/>
        <v>1.5260963831870957</v>
      </c>
      <c r="E45" s="128">
        <f t="shared" si="26"/>
        <v>0.49649185122312378</v>
      </c>
      <c r="F45" s="128">
        <f t="shared" si="26"/>
        <v>0.55724932629462842</v>
      </c>
      <c r="G45" s="128">
        <f t="shared" si="26"/>
        <v>0.69586908227363264</v>
      </c>
      <c r="H45" s="128" t="e">
        <f t="shared" si="26"/>
        <v>#DIV/0!</v>
      </c>
      <c r="I45" s="128" t="e">
        <f t="shared" si="26"/>
        <v>#DIV/0!</v>
      </c>
      <c r="J45" s="128">
        <f t="shared" si="26"/>
        <v>1.5218774223628246</v>
      </c>
      <c r="K45" s="128">
        <f t="shared" si="26"/>
        <v>0.85995832303182285</v>
      </c>
      <c r="L45" s="128">
        <f t="shared" si="26"/>
        <v>0.88103164121762478</v>
      </c>
      <c r="M45" s="128">
        <f t="shared" si="26"/>
        <v>0.70688477755571288</v>
      </c>
      <c r="N45" s="128">
        <f t="shared" si="26"/>
        <v>0.75609756097560976</v>
      </c>
      <c r="O45" s="128">
        <f t="shared" si="26"/>
        <v>0.78746623446785524</v>
      </c>
      <c r="P45" s="128">
        <f t="shared" si="26"/>
        <v>1.1050949138440653</v>
      </c>
      <c r="Q45" s="128" t="e">
        <f t="shared" si="26"/>
        <v>#DIV/0!</v>
      </c>
      <c r="R45" s="128">
        <f t="shared" si="26"/>
        <v>1.2550693703308431</v>
      </c>
      <c r="S45" s="128" t="e">
        <f t="shared" si="26"/>
        <v>#DIV/0!</v>
      </c>
      <c r="T45" s="128" t="e">
        <f t="shared" si="26"/>
        <v>#DIV/0!</v>
      </c>
      <c r="U45" s="128" t="e">
        <f t="shared" si="26"/>
        <v>#DIV/0!</v>
      </c>
      <c r="V45" s="128" t="e">
        <f t="shared" si="26"/>
        <v>#DIV/0!</v>
      </c>
      <c r="W45" s="128" t="e">
        <f t="shared" si="26"/>
        <v>#DIV/0!</v>
      </c>
      <c r="X45" s="128" t="e">
        <f t="shared" si="26"/>
        <v>#DIV/0!</v>
      </c>
      <c r="Y45" s="128">
        <f t="shared" si="26"/>
        <v>2.9805847953216373</v>
      </c>
      <c r="Z45" s="128">
        <f t="shared" si="26"/>
        <v>5.6885758998435056</v>
      </c>
      <c r="AA45" s="128">
        <f t="shared" si="26"/>
        <v>7.2571884984025559</v>
      </c>
      <c r="AB45" s="128" t="e">
        <f t="shared" si="26"/>
        <v>#DIV/0!</v>
      </c>
      <c r="AC45" s="128">
        <f t="shared" si="26"/>
        <v>0.71011708284012443</v>
      </c>
      <c r="AD45" s="128">
        <f t="shared" si="26"/>
        <v>0</v>
      </c>
      <c r="AE45" s="128">
        <f t="shared" si="26"/>
        <v>2.4259740259740261</v>
      </c>
      <c r="AF45" s="128">
        <f t="shared" si="26"/>
        <v>2.4788712621086622</v>
      </c>
      <c r="AG45" s="128" t="e">
        <f t="shared" si="26"/>
        <v>#DIV/0!</v>
      </c>
      <c r="AH45" s="128" t="e">
        <f t="shared" si="26"/>
        <v>#DIV/0!</v>
      </c>
      <c r="AI45" s="128">
        <f t="shared" ref="AI45:BJ45" si="27">AI44/AI41</f>
        <v>1.6837032710280373</v>
      </c>
      <c r="AJ45" s="128">
        <f t="shared" si="27"/>
        <v>1.7998520846815198</v>
      </c>
      <c r="AK45" s="128">
        <f t="shared" si="27"/>
        <v>1.3931692371966717</v>
      </c>
      <c r="AL45" s="128" t="e">
        <f t="shared" si="27"/>
        <v>#DIV/0!</v>
      </c>
      <c r="AM45" s="128">
        <f t="shared" si="27"/>
        <v>0</v>
      </c>
      <c r="AN45" s="128">
        <f t="shared" si="27"/>
        <v>1.1121330827199747</v>
      </c>
      <c r="AO45" s="128">
        <f t="shared" si="27"/>
        <v>0</v>
      </c>
      <c r="AP45" s="128" t="e">
        <f t="shared" si="27"/>
        <v>#DIV/0!</v>
      </c>
      <c r="AQ45" s="128" t="e">
        <f t="shared" si="27"/>
        <v>#DIV/0!</v>
      </c>
      <c r="AR45" s="128" t="e">
        <f t="shared" si="27"/>
        <v>#DIV/0!</v>
      </c>
      <c r="AS45" s="128" t="e">
        <f t="shared" si="27"/>
        <v>#DIV/0!</v>
      </c>
      <c r="AT45" s="128" t="e">
        <f t="shared" si="27"/>
        <v>#DIV/0!</v>
      </c>
      <c r="AU45" s="128" t="e">
        <f t="shared" si="27"/>
        <v>#DIV/0!</v>
      </c>
      <c r="AV45" s="128">
        <f t="shared" si="27"/>
        <v>0</v>
      </c>
      <c r="AW45" s="128">
        <f t="shared" si="27"/>
        <v>0</v>
      </c>
      <c r="AX45" s="128">
        <f t="shared" si="27"/>
        <v>0</v>
      </c>
      <c r="AY45" s="128" t="e">
        <f t="shared" si="27"/>
        <v>#DIV/0!</v>
      </c>
      <c r="AZ45" s="128" t="e">
        <f t="shared" si="27"/>
        <v>#DIV/0!</v>
      </c>
      <c r="BA45" s="128" t="e">
        <f t="shared" si="27"/>
        <v>#DIV/0!</v>
      </c>
      <c r="BB45" s="128">
        <f t="shared" si="27"/>
        <v>3.1007812499999998</v>
      </c>
      <c r="BC45" s="128">
        <f t="shared" si="27"/>
        <v>3.1007812499999998</v>
      </c>
      <c r="BD45" s="128" t="e">
        <f t="shared" si="27"/>
        <v>#DIV/0!</v>
      </c>
      <c r="BE45" s="128">
        <f t="shared" si="27"/>
        <v>0.71539941277715902</v>
      </c>
      <c r="BF45" s="128">
        <f t="shared" si="27"/>
        <v>5.9953271028037385</v>
      </c>
      <c r="BG45" s="128">
        <f t="shared" si="27"/>
        <v>2.6745618712677995E-2</v>
      </c>
      <c r="BH45" s="128">
        <f t="shared" si="27"/>
        <v>0.26012972530594025</v>
      </c>
      <c r="BI45" s="128" t="e">
        <f t="shared" si="27"/>
        <v>#DIV/0!</v>
      </c>
      <c r="BJ45" s="128">
        <f t="shared" si="27"/>
        <v>0.26011224727670457</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205</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BH47-BI47</f>
        <v>8634180</v>
      </c>
    </row>
    <row r="48" spans="1:63" ht="15.75">
      <c r="A48" s="130" t="s">
        <v>32</v>
      </c>
      <c r="B48" s="5" t="s">
        <v>202</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SUM(C48:AB48)</f>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SUM(AD48:BF48)</f>
        <v>6902476.3599999994</v>
      </c>
      <c r="BH48" s="125">
        <f>AC48+BG48</f>
        <v>6913894.5199999996</v>
      </c>
      <c r="BI48" s="37">
        <v>302625.5</v>
      </c>
      <c r="BJ48" s="126">
        <f>BH48-BI48</f>
        <v>6611269.0199999996</v>
      </c>
    </row>
    <row r="49" spans="1:64" ht="15.75">
      <c r="A49" s="130"/>
      <c r="B49" s="5"/>
      <c r="C49" s="37">
        <f>C47-C48</f>
        <v>7094.880000000001</v>
      </c>
      <c r="D49" s="37">
        <f t="shared" ref="D49:AB49" si="28">D47-D48</f>
        <v>653.31999999999971</v>
      </c>
      <c r="E49" s="37">
        <f t="shared" si="28"/>
        <v>576</v>
      </c>
      <c r="F49" s="37">
        <f t="shared" si="28"/>
        <v>850.56</v>
      </c>
      <c r="G49" s="37">
        <f t="shared" si="28"/>
        <v>303.84000000000003</v>
      </c>
      <c r="H49" s="37">
        <f t="shared" si="28"/>
        <v>0</v>
      </c>
      <c r="I49" s="37">
        <f t="shared" si="28"/>
        <v>0</v>
      </c>
      <c r="J49" s="37">
        <f t="shared" si="28"/>
        <v>214.07999999999998</v>
      </c>
      <c r="K49" s="37">
        <f t="shared" si="28"/>
        <v>0</v>
      </c>
      <c r="L49" s="37">
        <f t="shared" si="28"/>
        <v>190.56</v>
      </c>
      <c r="M49" s="37">
        <f t="shared" si="28"/>
        <v>57.120000000000005</v>
      </c>
      <c r="N49" s="37">
        <f t="shared" si="28"/>
        <v>0</v>
      </c>
      <c r="O49" s="37">
        <f t="shared" si="28"/>
        <v>0</v>
      </c>
      <c r="P49" s="37">
        <f t="shared" si="28"/>
        <v>52.32</v>
      </c>
      <c r="Q49" s="37">
        <f t="shared" si="28"/>
        <v>0</v>
      </c>
      <c r="R49" s="37">
        <f t="shared" si="28"/>
        <v>20.16</v>
      </c>
      <c r="S49" s="37">
        <f t="shared" si="28"/>
        <v>0</v>
      </c>
      <c r="T49" s="37">
        <f t="shared" si="28"/>
        <v>0</v>
      </c>
      <c r="U49" s="37">
        <f t="shared" si="28"/>
        <v>0</v>
      </c>
      <c r="V49" s="37">
        <f t="shared" si="28"/>
        <v>0</v>
      </c>
      <c r="W49" s="37">
        <f t="shared" si="28"/>
        <v>0</v>
      </c>
      <c r="X49" s="37">
        <f t="shared" si="28"/>
        <v>0</v>
      </c>
      <c r="Y49" s="37">
        <f t="shared" si="28"/>
        <v>0</v>
      </c>
      <c r="Z49" s="37">
        <f t="shared" si="28"/>
        <v>0</v>
      </c>
      <c r="AA49" s="37">
        <f t="shared" si="28"/>
        <v>0</v>
      </c>
      <c r="AB49" s="37">
        <f t="shared" si="28"/>
        <v>0</v>
      </c>
      <c r="AC49" s="123">
        <f>SUM(C49:AB49)</f>
        <v>10012.84</v>
      </c>
      <c r="AD49" s="37">
        <f>AD47-AD48</f>
        <v>0</v>
      </c>
      <c r="AE49" s="37">
        <f t="shared" ref="AE49:BF49" si="29">AE47-AE48</f>
        <v>0</v>
      </c>
      <c r="AF49" s="37">
        <f t="shared" si="29"/>
        <v>0</v>
      </c>
      <c r="AG49" s="37">
        <f t="shared" si="29"/>
        <v>0</v>
      </c>
      <c r="AH49" s="37">
        <f t="shared" si="29"/>
        <v>0</v>
      </c>
      <c r="AI49" s="37">
        <f t="shared" si="29"/>
        <v>0</v>
      </c>
      <c r="AJ49" s="37">
        <f t="shared" si="29"/>
        <v>-102123.91999999998</v>
      </c>
      <c r="AK49" s="37">
        <f t="shared" si="29"/>
        <v>4849.92</v>
      </c>
      <c r="AL49" s="37">
        <f t="shared" si="29"/>
        <v>1584413.6399999997</v>
      </c>
      <c r="AM49" s="37">
        <f t="shared" si="29"/>
        <v>0</v>
      </c>
      <c r="AN49" s="37">
        <f t="shared" si="29"/>
        <v>0</v>
      </c>
      <c r="AO49" s="37">
        <f t="shared" si="29"/>
        <v>0</v>
      </c>
      <c r="AP49" s="37">
        <f t="shared" si="29"/>
        <v>0</v>
      </c>
      <c r="AQ49" s="37">
        <f t="shared" si="29"/>
        <v>436121.27999999997</v>
      </c>
      <c r="AR49" s="37">
        <f t="shared" si="29"/>
        <v>0</v>
      </c>
      <c r="AS49" s="37">
        <f t="shared" si="29"/>
        <v>0</v>
      </c>
      <c r="AT49" s="37">
        <f t="shared" si="29"/>
        <v>212908.47999999998</v>
      </c>
      <c r="AU49" s="37">
        <f t="shared" si="29"/>
        <v>0</v>
      </c>
      <c r="AV49" s="37">
        <f t="shared" si="29"/>
        <v>0</v>
      </c>
      <c r="AW49" s="37">
        <f t="shared" si="29"/>
        <v>0</v>
      </c>
      <c r="AX49" s="37">
        <f t="shared" si="29"/>
        <v>0</v>
      </c>
      <c r="AY49" s="37">
        <f t="shared" si="29"/>
        <v>69977.279999999999</v>
      </c>
      <c r="AZ49" s="37">
        <f t="shared" si="29"/>
        <v>68021.119999999879</v>
      </c>
      <c r="BA49" s="37">
        <f t="shared" si="29"/>
        <v>0</v>
      </c>
      <c r="BB49" s="37">
        <f t="shared" si="29"/>
        <v>0</v>
      </c>
      <c r="BC49" s="37">
        <f t="shared" si="29"/>
        <v>0</v>
      </c>
      <c r="BD49" s="37">
        <f t="shared" si="29"/>
        <v>0</v>
      </c>
      <c r="BE49" s="37">
        <f t="shared" si="29"/>
        <v>0</v>
      </c>
      <c r="BF49" s="37">
        <f t="shared" si="29"/>
        <v>41355.839999999997</v>
      </c>
      <c r="BG49" s="124">
        <f>SUM(AD49:BF49)</f>
        <v>2315523.6399999987</v>
      </c>
      <c r="BH49" s="125">
        <f>AC49+BG49</f>
        <v>2325536.4799999986</v>
      </c>
      <c r="BI49" s="38">
        <f>BI47-BI48</f>
        <v>302625.5</v>
      </c>
      <c r="BJ49" s="126">
        <f>BH49-BI49</f>
        <v>2022910.9799999986</v>
      </c>
    </row>
    <row r="50" spans="1:64" ht="15.75">
      <c r="A50" s="130"/>
      <c r="B50" s="12" t="s">
        <v>203</v>
      </c>
      <c r="C50" s="9">
        <f>IF('Upto Month Current'!$I$4="",0,'Upto Month Current'!$I$4)</f>
        <v>5837</v>
      </c>
      <c r="D50" s="9">
        <f>IF('Upto Month Current'!$I$5="",0,'Upto Month Current'!$I$5)</f>
        <v>2687</v>
      </c>
      <c r="E50" s="9">
        <f>IF('Upto Month Current'!$I$6="",0,'Upto Month Current'!$I$6)</f>
        <v>303</v>
      </c>
      <c r="F50" s="9">
        <f>IF('Upto Month Current'!$I$7="",0,'Upto Month Current'!$I$7)</f>
        <v>332</v>
      </c>
      <c r="G50" s="9">
        <f>IF('Upto Month Current'!$I$8="",0,'Upto Month Current'!$I$8)</f>
        <v>439</v>
      </c>
      <c r="H50" s="9">
        <f>IF('Upto Month Current'!$I$9="",0,'Upto Month Current'!$I$9)</f>
        <v>0</v>
      </c>
      <c r="I50" s="9">
        <f>IF('Upto Month Current'!$I$10="",0,'Upto Month Current'!$I$10)</f>
        <v>0</v>
      </c>
      <c r="J50" s="9">
        <f>IF('Upto Month Current'!$I$11="",0,'Upto Month Current'!$I$11)</f>
        <v>0</v>
      </c>
      <c r="K50" s="9">
        <f>IF('Upto Month Current'!$I$12="",0,'Upto Month Current'!$I$12)</f>
        <v>9</v>
      </c>
      <c r="L50" s="9">
        <f>IF('Upto Month Current'!$I$13="",0,'Upto Month Current'!$I$13)</f>
        <v>212</v>
      </c>
      <c r="M50" s="9">
        <f>IF('Upto Month Current'!$I$14="",0,'Upto Month Current'!$I$14)</f>
        <v>205</v>
      </c>
      <c r="N50" s="9">
        <f>IF('Upto Month Current'!$I$15="",0,'Upto Month Current'!$I$15)</f>
        <v>0</v>
      </c>
      <c r="O50" s="9">
        <f>IF('Upto Month Current'!$I$16="",0,'Upto Month Current'!$I$16)</f>
        <v>0</v>
      </c>
      <c r="P50" s="9">
        <f>IF('Upto Month Current'!$I$17="",0,'Upto Month Current'!$I$17)</f>
        <v>168</v>
      </c>
      <c r="Q50" s="9">
        <f>IF('Upto Month Current'!$I$18="",0,'Upto Month Current'!$I$18)</f>
        <v>0</v>
      </c>
      <c r="R50" s="9">
        <f>IF('Upto Month Current'!$I$21="",0,'Upto Month Current'!$I$21)</f>
        <v>65</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89</v>
      </c>
      <c r="Z50" s="9">
        <f>IF('Upto Month Current'!$I$43="",0,'Upto Month Current'!$I$43)</f>
        <v>25</v>
      </c>
      <c r="AA50" s="9">
        <f>IF('Upto Month Current'!$I$44="",0,'Upto Month Current'!$I$44)</f>
        <v>6</v>
      </c>
      <c r="AB50" s="9">
        <f>IF('Upto Month Current'!$I$51="",0,'Upto Month Current'!$I$51)</f>
        <v>0</v>
      </c>
      <c r="AC50" s="123">
        <f>SUM(C50:AB50)</f>
        <v>10377</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1541</v>
      </c>
      <c r="AK50" s="9">
        <f>IF('Upto Month Current'!$I$29="",0,'Upto Month Current'!$I$29)</f>
        <v>0</v>
      </c>
      <c r="AL50" s="9">
        <f>IF('Upto Month Current'!$I$31="",0,'Upto Month Current'!$I$31)</f>
        <v>9799116</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13453</v>
      </c>
      <c r="AR50" s="9">
        <v>0</v>
      </c>
      <c r="AS50" s="9">
        <f>IF('Upto Month Current'!$I$38="",0,'Upto Month Current'!$I$38)</f>
        <v>0</v>
      </c>
      <c r="AT50" s="9">
        <f>IF('Upto Month Current'!$I$41="",0,'Upto Month Current'!$I$41)</f>
        <v>8656</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404640</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7679</v>
      </c>
      <c r="BF50" s="9">
        <f>IF('Upto Month Current'!$I$58="",0,'Upto Month Current'!$I$58)</f>
        <v>807</v>
      </c>
      <c r="BG50" s="124">
        <f>SUM(AD50:BF50)</f>
        <v>10235892</v>
      </c>
      <c r="BH50" s="125">
        <f>AC50+BG50</f>
        <v>10246269</v>
      </c>
      <c r="BI50" s="9">
        <f>IF('Upto Month Current'!$I$60="",0,'Upto Month Current'!$I$60)-'Upto Month Current'!I57</f>
        <v>250125</v>
      </c>
      <c r="BJ50" s="126">
        <f>BH50-BI50</f>
        <v>9996144</v>
      </c>
      <c r="BK50" s="101">
        <f>'Upto Month Current'!$I$61</f>
        <v>9996144</v>
      </c>
    </row>
    <row r="51" spans="1:64" ht="15.75">
      <c r="A51" s="130"/>
      <c r="B51" s="5" t="s">
        <v>201</v>
      </c>
      <c r="C51" s="128">
        <f t="shared" ref="C51:AH51" si="30">C50/C47</f>
        <v>0.39489885664028146</v>
      </c>
      <c r="D51" s="128">
        <f t="shared" si="30"/>
        <v>1.0512519561815337</v>
      </c>
      <c r="E51" s="128">
        <f t="shared" si="30"/>
        <v>0.52604166666666663</v>
      </c>
      <c r="F51" s="128">
        <f t="shared" si="30"/>
        <v>0.18735891647855529</v>
      </c>
      <c r="G51" s="128">
        <f t="shared" si="30"/>
        <v>0.69352290679304895</v>
      </c>
      <c r="H51" s="128" t="e">
        <f t="shared" si="30"/>
        <v>#DIV/0!</v>
      </c>
      <c r="I51" s="128" t="e">
        <f t="shared" si="30"/>
        <v>#DIV/0!</v>
      </c>
      <c r="J51" s="128">
        <f t="shared" si="30"/>
        <v>0</v>
      </c>
      <c r="K51" s="128" t="e">
        <f t="shared" si="30"/>
        <v>#DIV/0!</v>
      </c>
      <c r="L51" s="128">
        <f t="shared" si="30"/>
        <v>0.53400503778337527</v>
      </c>
      <c r="M51" s="128">
        <f t="shared" si="30"/>
        <v>1.7226890756302522</v>
      </c>
      <c r="N51" s="128" t="e">
        <f t="shared" si="30"/>
        <v>#DIV/0!</v>
      </c>
      <c r="O51" s="128" t="e">
        <f t="shared" si="30"/>
        <v>#DIV/0!</v>
      </c>
      <c r="P51" s="128">
        <f t="shared" si="30"/>
        <v>1.5412844036697249</v>
      </c>
      <c r="Q51" s="128" t="e">
        <f t="shared" si="30"/>
        <v>#DIV/0!</v>
      </c>
      <c r="R51" s="128">
        <f t="shared" si="30"/>
        <v>1.5476190476190477</v>
      </c>
      <c r="S51" s="128" t="e">
        <f t="shared" si="30"/>
        <v>#DIV/0!</v>
      </c>
      <c r="T51" s="128" t="e">
        <f t="shared" si="30"/>
        <v>#DIV/0!</v>
      </c>
      <c r="U51" s="128" t="e">
        <f t="shared" si="30"/>
        <v>#DIV/0!</v>
      </c>
      <c r="V51" s="128" t="e">
        <f t="shared" si="30"/>
        <v>#DIV/0!</v>
      </c>
      <c r="W51" s="128" t="e">
        <f t="shared" si="30"/>
        <v>#DIV/0!</v>
      </c>
      <c r="X51" s="128" t="e">
        <f t="shared" si="30"/>
        <v>#DIV/0!</v>
      </c>
      <c r="Y51" s="128" t="e">
        <f t="shared" si="30"/>
        <v>#DIV/0!</v>
      </c>
      <c r="Z51" s="128" t="e">
        <f t="shared" si="30"/>
        <v>#DIV/0!</v>
      </c>
      <c r="AA51" s="128" t="e">
        <f t="shared" si="30"/>
        <v>#DIV/0!</v>
      </c>
      <c r="AB51" s="128" t="e">
        <f t="shared" si="30"/>
        <v>#DIV/0!</v>
      </c>
      <c r="AC51" s="128">
        <f t="shared" si="30"/>
        <v>0.4842051234193458</v>
      </c>
      <c r="AD51" s="128" t="e">
        <f t="shared" si="30"/>
        <v>#DIV/0!</v>
      </c>
      <c r="AE51" s="128" t="e">
        <f t="shared" si="30"/>
        <v>#DIV/0!</v>
      </c>
      <c r="AF51" s="128" t="e">
        <f t="shared" si="30"/>
        <v>#DIV/0!</v>
      </c>
      <c r="AG51" s="128" t="e">
        <f t="shared" si="30"/>
        <v>#DIV/0!</v>
      </c>
      <c r="AH51" s="128" t="e">
        <f t="shared" si="30"/>
        <v>#DIV/0!</v>
      </c>
      <c r="AI51" s="128" t="e">
        <f t="shared" ref="AI51:BJ51" si="31">AI50/AI47</f>
        <v>#DIV/0!</v>
      </c>
      <c r="AJ51" s="128">
        <f t="shared" si="31"/>
        <v>7.9565872901133858E-3</v>
      </c>
      <c r="AK51" s="128">
        <f t="shared" si="31"/>
        <v>0</v>
      </c>
      <c r="AL51" s="128">
        <f t="shared" si="31"/>
        <v>1.5519172658452378</v>
      </c>
      <c r="AM51" s="128" t="e">
        <f t="shared" si="31"/>
        <v>#DIV/0!</v>
      </c>
      <c r="AN51" s="128" t="e">
        <f t="shared" si="31"/>
        <v>#DIV/0!</v>
      </c>
      <c r="AO51" s="128" t="e">
        <f t="shared" si="31"/>
        <v>#DIV/0!</v>
      </c>
      <c r="AP51" s="128" t="e">
        <f t="shared" si="31"/>
        <v>#DIV/0!</v>
      </c>
      <c r="AQ51" s="128">
        <f t="shared" si="31"/>
        <v>1.480652354317588E-2</v>
      </c>
      <c r="AR51" s="128" t="e">
        <f t="shared" si="31"/>
        <v>#DIV/0!</v>
      </c>
      <c r="AS51" s="128" t="e">
        <f t="shared" si="31"/>
        <v>#DIV/0!</v>
      </c>
      <c r="AT51" s="128">
        <f t="shared" si="31"/>
        <v>1.5140914052223559E-2</v>
      </c>
      <c r="AU51" s="128" t="e">
        <f t="shared" si="31"/>
        <v>#DIV/0!</v>
      </c>
      <c r="AV51" s="128" t="e">
        <f t="shared" si="31"/>
        <v>#DIV/0!</v>
      </c>
      <c r="AW51" s="128" t="e">
        <f t="shared" si="31"/>
        <v>#DIV/0!</v>
      </c>
      <c r="AX51" s="128" t="e">
        <f t="shared" si="31"/>
        <v>#DIV/0!</v>
      </c>
      <c r="AY51" s="128">
        <f t="shared" si="31"/>
        <v>0</v>
      </c>
      <c r="AZ51" s="128">
        <f t="shared" si="31"/>
        <v>0.4096400666535735</v>
      </c>
      <c r="BA51" s="128" t="e">
        <f t="shared" si="31"/>
        <v>#DIV/0!</v>
      </c>
      <c r="BB51" s="128" t="e">
        <f t="shared" si="31"/>
        <v>#DIV/0!</v>
      </c>
      <c r="BC51" s="128" t="e">
        <f t="shared" si="31"/>
        <v>#DIV/0!</v>
      </c>
      <c r="BD51" s="128" t="e">
        <f t="shared" si="31"/>
        <v>#DIV/0!</v>
      </c>
      <c r="BE51" s="128" t="e">
        <f t="shared" si="31"/>
        <v>#DIV/0!</v>
      </c>
      <c r="BF51" s="128">
        <f t="shared" si="31"/>
        <v>9.366512685995497E-3</v>
      </c>
      <c r="BG51" s="128">
        <f t="shared" si="31"/>
        <v>1.1104243870687784</v>
      </c>
      <c r="BH51" s="128">
        <f t="shared" si="31"/>
        <v>1.1089718620118489</v>
      </c>
      <c r="BI51" s="128">
        <f t="shared" si="31"/>
        <v>0.41325830110152645</v>
      </c>
      <c r="BJ51" s="128">
        <f t="shared" si="31"/>
        <v>1.1577409782978811</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134</v>
      </c>
      <c r="B53" s="11" t="s">
        <v>205</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BH53-BI53</f>
        <v>3729163</v>
      </c>
    </row>
    <row r="54" spans="1:64" ht="15.75">
      <c r="A54" s="130" t="s">
        <v>134</v>
      </c>
      <c r="B54" s="5" t="s">
        <v>202</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SUM(C54:AB54)</f>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SUM(AD54:BF54)</f>
        <v>358776.60000000003</v>
      </c>
      <c r="BH54" s="125">
        <f>AC54+BG54</f>
        <v>1964548.04</v>
      </c>
      <c r="BI54" s="11">
        <v>50.000000000000007</v>
      </c>
      <c r="BJ54" s="126">
        <f>BH54-BI54</f>
        <v>1964498.04</v>
      </c>
    </row>
    <row r="55" spans="1:64" ht="15.75">
      <c r="A55" s="130"/>
      <c r="B55" s="5"/>
      <c r="C55" s="37">
        <f>C53-C54</f>
        <v>424031.52</v>
      </c>
      <c r="D55" s="37">
        <f t="shared" ref="D55:AB55" si="32">D53-D54</f>
        <v>29224.040000000008</v>
      </c>
      <c r="E55" s="37">
        <f t="shared" si="32"/>
        <v>38046</v>
      </c>
      <c r="F55" s="37">
        <f t="shared" si="32"/>
        <v>33180</v>
      </c>
      <c r="G55" s="37">
        <f t="shared" si="32"/>
        <v>30466.559999999998</v>
      </c>
      <c r="H55" s="37">
        <f t="shared" si="32"/>
        <v>0</v>
      </c>
      <c r="I55" s="37">
        <f t="shared" si="32"/>
        <v>0</v>
      </c>
      <c r="J55" s="37">
        <f t="shared" si="32"/>
        <v>0</v>
      </c>
      <c r="K55" s="37">
        <f t="shared" si="32"/>
        <v>67.199999999999989</v>
      </c>
      <c r="L55" s="37">
        <f t="shared" si="32"/>
        <v>708</v>
      </c>
      <c r="M55" s="37">
        <f t="shared" si="32"/>
        <v>30152.159999999996</v>
      </c>
      <c r="N55" s="37">
        <f t="shared" si="32"/>
        <v>2766.7200000000003</v>
      </c>
      <c r="O55" s="37">
        <f t="shared" si="32"/>
        <v>985.44</v>
      </c>
      <c r="P55" s="37">
        <f t="shared" si="32"/>
        <v>2364.5599999999995</v>
      </c>
      <c r="Q55" s="37">
        <f t="shared" si="32"/>
        <v>0</v>
      </c>
      <c r="R55" s="37">
        <f t="shared" si="32"/>
        <v>-700</v>
      </c>
      <c r="S55" s="37">
        <f t="shared" si="32"/>
        <v>366088.80000000005</v>
      </c>
      <c r="T55" s="37">
        <f t="shared" si="32"/>
        <v>481702.55999999994</v>
      </c>
      <c r="U55" s="37">
        <f t="shared" si="32"/>
        <v>0</v>
      </c>
      <c r="V55" s="37">
        <f t="shared" si="32"/>
        <v>0</v>
      </c>
      <c r="W55" s="37">
        <f t="shared" si="32"/>
        <v>0</v>
      </c>
      <c r="X55" s="37">
        <f t="shared" si="32"/>
        <v>0</v>
      </c>
      <c r="Y55" s="37">
        <f t="shared" si="32"/>
        <v>99.84</v>
      </c>
      <c r="Z55" s="37">
        <f t="shared" si="32"/>
        <v>6.7199999999999989</v>
      </c>
      <c r="AA55" s="37">
        <f t="shared" si="32"/>
        <v>109.43999999999997</v>
      </c>
      <c r="AB55" s="37">
        <f t="shared" si="32"/>
        <v>0</v>
      </c>
      <c r="AC55" s="123">
        <f>SUM(C55:AB55)</f>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SUM(AD55:BF55)</f>
        <v>-2201.88</v>
      </c>
      <c r="BH55" s="125">
        <f>AC55+BG55</f>
        <v>1437097.6800000002</v>
      </c>
      <c r="BI55" s="38">
        <f>BI53-BI54</f>
        <v>49.999999999999993</v>
      </c>
      <c r="BJ55" s="126">
        <f>BH55-BI55</f>
        <v>1437047.6800000002</v>
      </c>
    </row>
    <row r="56" spans="1:64" ht="15.75">
      <c r="A56" s="130"/>
      <c r="B56" s="12" t="s">
        <v>203</v>
      </c>
      <c r="C56" s="9">
        <f>IF('Upto Month Current'!$J$4="",0,'Upto Month Current'!$J$4)</f>
        <v>380355</v>
      </c>
      <c r="D56" s="9">
        <f>IF('Upto Month Current'!$J$5="",0,'Upto Month Current'!$J$5)</f>
        <v>173031</v>
      </c>
      <c r="E56" s="9">
        <f>IF('Upto Month Current'!$J$6="",0,'Upto Month Current'!$J$6)</f>
        <v>12195</v>
      </c>
      <c r="F56" s="9">
        <f>IF('Upto Month Current'!$J$7="",0,'Upto Month Current'!$J$7)</f>
        <v>32510</v>
      </c>
      <c r="G56" s="9">
        <f>IF('Upto Month Current'!$J$8="",0,'Upto Month Current'!$J$8)</f>
        <v>31179</v>
      </c>
      <c r="H56" s="9">
        <f>IF('Upto Month Current'!$J$9="",0,'Upto Month Current'!$J$9)</f>
        <v>0</v>
      </c>
      <c r="I56" s="9">
        <f>IF('Upto Month Current'!$J$10="",0,'Upto Month Current'!$J$10)</f>
        <v>0</v>
      </c>
      <c r="J56" s="9">
        <f>IF('Upto Month Current'!$J$11="",0,'Upto Month Current'!$J$11)</f>
        <v>0</v>
      </c>
      <c r="K56" s="9">
        <f>IF('Upto Month Current'!$J$12="",0,'Upto Month Current'!$J$12)</f>
        <v>642</v>
      </c>
      <c r="L56" s="9">
        <f>IF('Upto Month Current'!$J$13="",0,'Upto Month Current'!$J$13)</f>
        <v>160</v>
      </c>
      <c r="M56" s="9">
        <f>IF('Upto Month Current'!$J$14="",0,'Upto Month Current'!$J$14)</f>
        <v>39532</v>
      </c>
      <c r="N56" s="9">
        <f>IF('Upto Month Current'!$J$15="",0,'Upto Month Current'!$J$15)</f>
        <v>51</v>
      </c>
      <c r="O56" s="9">
        <f>IF('Upto Month Current'!$J$16="",0,'Upto Month Current'!$J$16)</f>
        <v>1142</v>
      </c>
      <c r="P56" s="9">
        <f>IF('Upto Month Current'!$J$17="",0,'Upto Month Current'!$J$17)</f>
        <v>4367</v>
      </c>
      <c r="Q56" s="9">
        <f>IF('Upto Month Current'!$J$18="",0,'Upto Month Current'!$J$18)</f>
        <v>0</v>
      </c>
      <c r="R56" s="9">
        <f>IF('Upto Month Current'!$J$21="",0,'Upto Month Current'!$J$21)</f>
        <v>670</v>
      </c>
      <c r="S56" s="9">
        <f>IF('Upto Month Current'!$J$26="",0,'Upto Month Current'!$J$26)</f>
        <v>471322</v>
      </c>
      <c r="T56" s="9">
        <f>IF('Upto Month Current'!$J$27="",0,'Upto Month Current'!$J$27)</f>
        <v>530375</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1142</v>
      </c>
      <c r="Z56" s="9">
        <f>IF('Upto Month Current'!$J$43="",0,'Upto Month Current'!$J$43)</f>
        <v>325</v>
      </c>
      <c r="AA56" s="9">
        <f>IF('Upto Month Current'!$J$44="",0,'Upto Month Current'!$J$44)</f>
        <v>258</v>
      </c>
      <c r="AB56" s="9">
        <f>IF('Upto Month Current'!$J$51="",0,'Upto Month Current'!$J$51)</f>
        <v>0</v>
      </c>
      <c r="AC56" s="123">
        <f>SUM(C56:AB56)</f>
        <v>1679256</v>
      </c>
      <c r="AD56" s="9">
        <f>IF('Upto Month Current'!$J$19="",0,'Upto Month Current'!$J$19)</f>
        <v>0</v>
      </c>
      <c r="AE56" s="9">
        <f>IF('Upto Month Current'!$J$20="",0,'Upto Month Current'!$J$20)</f>
        <v>55</v>
      </c>
      <c r="AF56" s="9">
        <f>IF('Upto Month Current'!$J$22="",0,'Upto Month Current'!$J$22)</f>
        <v>697</v>
      </c>
      <c r="AG56" s="9">
        <f>IF('Upto Month Current'!$J$23="",0,'Upto Month Current'!$J$23)</f>
        <v>0</v>
      </c>
      <c r="AH56" s="9">
        <f>IF('Upto Month Current'!$J$24="",0,'Upto Month Current'!$J$24)</f>
        <v>0</v>
      </c>
      <c r="AI56" s="9">
        <f>IF('Upto Month Current'!$J$25="",0,'Upto Month Current'!$J$25)</f>
        <v>0</v>
      </c>
      <c r="AJ56" s="9">
        <f>IF('Upto Month Current'!$J$28="",0,'Upto Month Current'!$J$28)</f>
        <v>463</v>
      </c>
      <c r="AK56" s="9">
        <f>IF('Upto Month Current'!$J$29="",0,'Upto Month Current'!$J$29)</f>
        <v>98867</v>
      </c>
      <c r="AL56" s="9">
        <f>IF('Upto Month Current'!$J$31="",0,'Upto Month Current'!$J$31)</f>
        <v>114408</v>
      </c>
      <c r="AM56" s="9">
        <f>IF('Upto Month Current'!$J$32="",0,'Upto Month Current'!$J$32)</f>
        <v>0</v>
      </c>
      <c r="AN56" s="9">
        <f>IF('Upto Month Current'!$J$33="",0,'Upto Month Current'!$J$33)</f>
        <v>283633</v>
      </c>
      <c r="AO56" s="9">
        <f>IF('Upto Month Current'!$J$34="",0,'Upto Month Current'!$J$34)</f>
        <v>278</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24159</v>
      </c>
      <c r="BC56" s="9">
        <f>IF('Upto Month Current'!$J$54="",0,'Upto Month Current'!$J$54)</f>
        <v>24159</v>
      </c>
      <c r="BD56" s="9">
        <f>IF('Upto Month Current'!$J$55="",0,'Upto Month Current'!$J$55)</f>
        <v>0</v>
      </c>
      <c r="BE56" s="9">
        <f>IF('Upto Month Current'!$J$56="",0,'Upto Month Current'!$J$56)</f>
        <v>4058</v>
      </c>
      <c r="BF56" s="9">
        <f>IF('Upto Month Current'!$J$58="",0,'Upto Month Current'!$J$58)</f>
        <v>-26504</v>
      </c>
      <c r="BG56" s="124">
        <f>SUM(AD56:BF56)</f>
        <v>524273</v>
      </c>
      <c r="BH56" s="125">
        <f>AC56+BG56</f>
        <v>2203529</v>
      </c>
      <c r="BI56" s="9">
        <f>IF('Upto Month Current'!$J$60="",0,'Upto Month Current'!$J$60)</f>
        <v>0</v>
      </c>
      <c r="BJ56" s="126">
        <f>BH56-BI56</f>
        <v>2203529</v>
      </c>
      <c r="BK56">
        <f>'Upto Month Current'!$J$61</f>
        <v>2203528</v>
      </c>
      <c r="BL56" s="30"/>
    </row>
    <row r="57" spans="1:64" ht="15.75">
      <c r="A57" s="130"/>
      <c r="B57" s="5" t="s">
        <v>201</v>
      </c>
      <c r="C57" s="128">
        <f t="shared" ref="C57:AH57" si="33">C56/C53</f>
        <v>0.43055855847697361</v>
      </c>
      <c r="D57" s="128">
        <f t="shared" si="33"/>
        <v>1.2105657156449829</v>
      </c>
      <c r="E57" s="128">
        <f t="shared" si="33"/>
        <v>0.32053303895284657</v>
      </c>
      <c r="F57" s="128">
        <f t="shared" si="33"/>
        <v>0.47030741410488247</v>
      </c>
      <c r="G57" s="128">
        <f t="shared" si="33"/>
        <v>0.49122447693471138</v>
      </c>
      <c r="H57" s="128" t="e">
        <f t="shared" si="33"/>
        <v>#DIV/0!</v>
      </c>
      <c r="I57" s="128" t="e">
        <f t="shared" si="33"/>
        <v>#DIV/0!</v>
      </c>
      <c r="J57" s="128" t="e">
        <f t="shared" si="33"/>
        <v>#DIV/0!</v>
      </c>
      <c r="K57" s="128">
        <f t="shared" si="33"/>
        <v>4.5857142857142854</v>
      </c>
      <c r="L57" s="128">
        <f t="shared" si="33"/>
        <v>0.10847457627118644</v>
      </c>
      <c r="M57" s="128">
        <f t="shared" si="33"/>
        <v>0.6293200885110718</v>
      </c>
      <c r="N57" s="128">
        <f t="shared" si="33"/>
        <v>8.8480222068008322E-3</v>
      </c>
      <c r="O57" s="128">
        <f t="shared" si="33"/>
        <v>0.5562591329761325</v>
      </c>
      <c r="P57" s="128">
        <f t="shared" si="33"/>
        <v>0.53340662025161845</v>
      </c>
      <c r="Q57" s="128" t="e">
        <f t="shared" si="33"/>
        <v>#DIV/0!</v>
      </c>
      <c r="R57" s="128">
        <f t="shared" si="33"/>
        <v>0.68577277379733881</v>
      </c>
      <c r="S57" s="128">
        <f t="shared" si="33"/>
        <v>0.61797727764411259</v>
      </c>
      <c r="T57" s="128">
        <f t="shared" si="33"/>
        <v>0.52850040904910278</v>
      </c>
      <c r="U57" s="128" t="e">
        <f t="shared" si="33"/>
        <v>#DIV/0!</v>
      </c>
      <c r="V57" s="128" t="e">
        <f t="shared" si="33"/>
        <v>#DIV/0!</v>
      </c>
      <c r="W57" s="128" t="e">
        <f t="shared" si="33"/>
        <v>#DIV/0!</v>
      </c>
      <c r="X57" s="128" t="e">
        <f t="shared" si="33"/>
        <v>#DIV/0!</v>
      </c>
      <c r="Y57" s="128">
        <f t="shared" si="33"/>
        <v>5.490384615384615</v>
      </c>
      <c r="Z57" s="128">
        <f t="shared" si="33"/>
        <v>23.214285714285715</v>
      </c>
      <c r="AA57" s="128">
        <f t="shared" si="33"/>
        <v>1.131578947368421</v>
      </c>
      <c r="AB57" s="128" t="e">
        <f t="shared" si="33"/>
        <v>#DIV/0!</v>
      </c>
      <c r="AC57" s="128">
        <f t="shared" si="33"/>
        <v>0.55146694444891431</v>
      </c>
      <c r="AD57" s="128">
        <f t="shared" si="33"/>
        <v>0</v>
      </c>
      <c r="AE57" s="128">
        <f t="shared" si="33"/>
        <v>0.56122448979591832</v>
      </c>
      <c r="AF57" s="128">
        <f t="shared" si="33"/>
        <v>0.5675895765472313</v>
      </c>
      <c r="AG57" s="128" t="e">
        <f t="shared" si="33"/>
        <v>#DIV/0!</v>
      </c>
      <c r="AH57" s="128" t="e">
        <f t="shared" si="33"/>
        <v>#DIV/0!</v>
      </c>
      <c r="AI57" s="128">
        <f t="shared" ref="AI57:BJ57" si="34">AI56/AI53</f>
        <v>0</v>
      </c>
      <c r="AJ57" s="128">
        <f t="shared" si="34"/>
        <v>8.30195445580061E-2</v>
      </c>
      <c r="AK57" s="128">
        <f t="shared" si="34"/>
        <v>0.44468582737372375</v>
      </c>
      <c r="AL57" s="128">
        <f t="shared" si="34"/>
        <v>0.61295144413906166</v>
      </c>
      <c r="AM57" s="128" t="e">
        <f t="shared" si="34"/>
        <v>#DIV/0!</v>
      </c>
      <c r="AN57" s="128">
        <f t="shared" si="34"/>
        <v>0.87513498836785952</v>
      </c>
      <c r="AO57" s="128" t="e">
        <f t="shared" si="34"/>
        <v>#DIV/0!</v>
      </c>
      <c r="AP57" s="128" t="e">
        <f t="shared" si="34"/>
        <v>#DIV/0!</v>
      </c>
      <c r="AQ57" s="128" t="e">
        <f t="shared" si="34"/>
        <v>#DIV/0!</v>
      </c>
      <c r="AR57" s="128" t="e">
        <f t="shared" si="34"/>
        <v>#DIV/0!</v>
      </c>
      <c r="AS57" s="128" t="e">
        <f t="shared" si="34"/>
        <v>#DIV/0!</v>
      </c>
      <c r="AT57" s="128" t="e">
        <f t="shared" si="34"/>
        <v>#DIV/0!</v>
      </c>
      <c r="AU57" s="128" t="e">
        <f t="shared" si="34"/>
        <v>#DIV/0!</v>
      </c>
      <c r="AV57" s="128">
        <f t="shared" si="34"/>
        <v>0</v>
      </c>
      <c r="AW57" s="128">
        <f t="shared" si="34"/>
        <v>0</v>
      </c>
      <c r="AX57" s="128">
        <f t="shared" si="34"/>
        <v>0</v>
      </c>
      <c r="AY57" s="128" t="e">
        <f t="shared" si="34"/>
        <v>#DIV/0!</v>
      </c>
      <c r="AZ57" s="128" t="e">
        <f t="shared" si="34"/>
        <v>#DIV/0!</v>
      </c>
      <c r="BA57" s="128" t="e">
        <f t="shared" si="34"/>
        <v>#DIV/0!</v>
      </c>
      <c r="BB57" s="128">
        <f t="shared" si="34"/>
        <v>1.1368406192649758</v>
      </c>
      <c r="BC57" s="128">
        <f t="shared" si="34"/>
        <v>1.1368406192649758</v>
      </c>
      <c r="BD57" s="128">
        <f t="shared" si="34"/>
        <v>0</v>
      </c>
      <c r="BE57" s="128">
        <f t="shared" si="34"/>
        <v>2.1573631047315258</v>
      </c>
      <c r="BF57" s="128">
        <f t="shared" si="34"/>
        <v>0.25698107353397454</v>
      </c>
      <c r="BG57" s="128">
        <f t="shared" si="34"/>
        <v>0.76626590196903788</v>
      </c>
      <c r="BH57" s="128">
        <f t="shared" si="34"/>
        <v>0.59087519437486713</v>
      </c>
      <c r="BI57" s="128">
        <f t="shared" si="34"/>
        <v>0</v>
      </c>
      <c r="BJ57" s="128">
        <f t="shared" si="34"/>
        <v>0.59089103908839602</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205</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BH59-BI59</f>
        <v>3146115</v>
      </c>
    </row>
    <row r="60" spans="1:64" ht="15.75">
      <c r="A60" s="130">
        <v>12</v>
      </c>
      <c r="B60" s="5" t="s">
        <v>202</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SUM(C60:AB60)</f>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SUM(AD60:BF60)</f>
        <v>722169.4</v>
      </c>
      <c r="BH60" s="125">
        <f>AC60+BG60</f>
        <v>1834547.6799999997</v>
      </c>
      <c r="BI60" s="37">
        <v>95538</v>
      </c>
      <c r="BJ60" s="126">
        <f>BH60-BI60</f>
        <v>1739009.6799999997</v>
      </c>
    </row>
    <row r="61" spans="1:64" ht="15.75">
      <c r="A61" s="130"/>
      <c r="B61" s="5"/>
      <c r="C61" s="37">
        <f>C59-C60</f>
        <v>632862.71999999997</v>
      </c>
      <c r="D61" s="37">
        <f t="shared" ref="D61:AB61" si="35">D59-D60</f>
        <v>85218</v>
      </c>
      <c r="E61" s="37">
        <f t="shared" si="35"/>
        <v>25165</v>
      </c>
      <c r="F61" s="37">
        <f t="shared" si="35"/>
        <v>62033.759999999995</v>
      </c>
      <c r="G61" s="37">
        <f t="shared" si="35"/>
        <v>41431.200000000004</v>
      </c>
      <c r="H61" s="37">
        <f t="shared" si="35"/>
        <v>0</v>
      </c>
      <c r="I61" s="37">
        <f t="shared" si="35"/>
        <v>0</v>
      </c>
      <c r="J61" s="37">
        <f t="shared" si="35"/>
        <v>12025.92</v>
      </c>
      <c r="K61" s="37">
        <f t="shared" si="35"/>
        <v>47.519999999999996</v>
      </c>
      <c r="L61" s="37">
        <f t="shared" si="35"/>
        <v>593.28</v>
      </c>
      <c r="M61" s="37">
        <f t="shared" si="35"/>
        <v>55023.360000000001</v>
      </c>
      <c r="N61" s="37">
        <f t="shared" si="35"/>
        <v>348</v>
      </c>
      <c r="O61" s="37">
        <f t="shared" si="35"/>
        <v>9699.84</v>
      </c>
      <c r="P61" s="37">
        <f t="shared" si="35"/>
        <v>50935.199999999997</v>
      </c>
      <c r="Q61" s="37">
        <f t="shared" si="35"/>
        <v>0</v>
      </c>
      <c r="R61" s="37">
        <f t="shared" si="35"/>
        <v>-1041.8400000000001</v>
      </c>
      <c r="S61" s="37">
        <f t="shared" si="35"/>
        <v>0</v>
      </c>
      <c r="T61" s="37">
        <f t="shared" si="35"/>
        <v>0</v>
      </c>
      <c r="U61" s="37">
        <f t="shared" si="35"/>
        <v>0</v>
      </c>
      <c r="V61" s="37">
        <f t="shared" si="35"/>
        <v>0</v>
      </c>
      <c r="W61" s="37">
        <f t="shared" si="35"/>
        <v>0</v>
      </c>
      <c r="X61" s="37">
        <f t="shared" si="35"/>
        <v>0</v>
      </c>
      <c r="Y61" s="37">
        <f t="shared" si="35"/>
        <v>885.12</v>
      </c>
      <c r="Z61" s="37">
        <f t="shared" si="35"/>
        <v>335.03999999999996</v>
      </c>
      <c r="AA61" s="37">
        <f t="shared" si="35"/>
        <v>213.60000000000002</v>
      </c>
      <c r="AB61" s="37">
        <f t="shared" si="35"/>
        <v>0</v>
      </c>
      <c r="AC61" s="123">
        <f>SUM(C61:AB61)</f>
        <v>975775.72</v>
      </c>
      <c r="AD61" s="37">
        <f>AD59-AD60</f>
        <v>5825.76</v>
      </c>
      <c r="AE61" s="37">
        <f t="shared" ref="AE61:BF61" si="36">AE59-AE60</f>
        <v>36</v>
      </c>
      <c r="AF61" s="37">
        <f t="shared" si="36"/>
        <v>187.20000000000002</v>
      </c>
      <c r="AG61" s="37">
        <f t="shared" si="36"/>
        <v>0</v>
      </c>
      <c r="AH61" s="37">
        <f t="shared" si="36"/>
        <v>0</v>
      </c>
      <c r="AI61" s="37">
        <f t="shared" si="36"/>
        <v>1.44</v>
      </c>
      <c r="AJ61" s="37">
        <f t="shared" si="36"/>
        <v>-746.27999999999975</v>
      </c>
      <c r="AK61" s="37">
        <f t="shared" si="36"/>
        <v>4897.4400000000005</v>
      </c>
      <c r="AL61" s="37">
        <f t="shared" si="36"/>
        <v>111.84</v>
      </c>
      <c r="AM61" s="37">
        <f t="shared" si="36"/>
        <v>2.4</v>
      </c>
      <c r="AN61" s="37">
        <f t="shared" si="36"/>
        <v>45422.87999999999</v>
      </c>
      <c r="AO61" s="37">
        <f t="shared" si="36"/>
        <v>93595.68</v>
      </c>
      <c r="AP61" s="37">
        <f t="shared" si="36"/>
        <v>0</v>
      </c>
      <c r="AQ61" s="37">
        <f t="shared" si="36"/>
        <v>0</v>
      </c>
      <c r="AR61" s="37">
        <f t="shared" si="36"/>
        <v>0</v>
      </c>
      <c r="AS61" s="37">
        <f t="shared" si="36"/>
        <v>0</v>
      </c>
      <c r="AT61" s="37">
        <f t="shared" si="36"/>
        <v>0</v>
      </c>
      <c r="AU61" s="37">
        <f t="shared" si="36"/>
        <v>0</v>
      </c>
      <c r="AV61" s="37">
        <f t="shared" si="36"/>
        <v>770.87999999999988</v>
      </c>
      <c r="AW61" s="37">
        <f t="shared" si="36"/>
        <v>477.12</v>
      </c>
      <c r="AX61" s="37">
        <f t="shared" si="36"/>
        <v>15.84</v>
      </c>
      <c r="AY61" s="37">
        <f t="shared" si="36"/>
        <v>0</v>
      </c>
      <c r="AZ61" s="37">
        <f t="shared" si="36"/>
        <v>0</v>
      </c>
      <c r="BA61" s="37">
        <f t="shared" si="36"/>
        <v>0</v>
      </c>
      <c r="BB61" s="37">
        <f t="shared" si="36"/>
        <v>1643.0399999999995</v>
      </c>
      <c r="BC61" s="37">
        <f t="shared" si="36"/>
        <v>1643.0399999999995</v>
      </c>
      <c r="BD61" s="37">
        <f t="shared" si="36"/>
        <v>29.28</v>
      </c>
      <c r="BE61" s="37">
        <f t="shared" si="36"/>
        <v>26.4</v>
      </c>
      <c r="BF61" s="37">
        <f t="shared" si="36"/>
        <v>372927.64</v>
      </c>
      <c r="BG61" s="124">
        <f>SUM(AD61:BF61)</f>
        <v>526867.6</v>
      </c>
      <c r="BH61" s="125">
        <f>AC61+BG61</f>
        <v>1502643.3199999998</v>
      </c>
      <c r="BI61" s="38">
        <f>BI59-BI60</f>
        <v>95538</v>
      </c>
      <c r="BJ61" s="126">
        <f>BH61-BI61</f>
        <v>1407105.3199999998</v>
      </c>
    </row>
    <row r="62" spans="1:64" ht="15.75">
      <c r="A62" s="130"/>
      <c r="B62" s="12" t="s">
        <v>203</v>
      </c>
      <c r="C62" s="9">
        <f>IF('Upto Month Current'!$K$4="",0,'Upto Month Current'!$K$4)</f>
        <v>868322</v>
      </c>
      <c r="D62" s="9">
        <f>IF('Upto Month Current'!$K$5="",0,'Upto Month Current'!$K$5)</f>
        <v>383536</v>
      </c>
      <c r="E62" s="9">
        <f>IF('Upto Month Current'!$K$6="",0,'Upto Month Current'!$K$6)</f>
        <v>13217</v>
      </c>
      <c r="F62" s="9">
        <f>IF('Upto Month Current'!$K$7="",0,'Upto Month Current'!$K$7)</f>
        <v>89632</v>
      </c>
      <c r="G62" s="9">
        <f>IF('Upto Month Current'!$K$8="",0,'Upto Month Current'!$K$8)</f>
        <v>60340</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2270</v>
      </c>
      <c r="M62" s="9">
        <f>IF('Upto Month Current'!$K$14="",0,'Upto Month Current'!$K$14)</f>
        <v>78800</v>
      </c>
      <c r="N62" s="9">
        <f>IF('Upto Month Current'!$K$15="",0,'Upto Month Current'!$K$15)</f>
        <v>282</v>
      </c>
      <c r="O62" s="9">
        <f>IF('Upto Month Current'!$K$16="",0,'Upto Month Current'!$K$16)</f>
        <v>7292</v>
      </c>
      <c r="P62" s="9">
        <f>IF('Upto Month Current'!$K$17="",0,'Upto Month Current'!$K$17)</f>
        <v>98160</v>
      </c>
      <c r="Q62" s="9">
        <f>IF('Upto Month Current'!$K$18="",0,'Upto Month Current'!$K$18)</f>
        <v>0</v>
      </c>
      <c r="R62" s="9">
        <f>IF('Upto Month Current'!$K$21="",0,'Upto Month Current'!$K$21)</f>
        <v>3476</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8855</v>
      </c>
      <c r="Z62" s="9">
        <f>IF('Upto Month Current'!$K$43="",0,'Upto Month Current'!$K$43)</f>
        <v>2270</v>
      </c>
      <c r="AA62" s="9">
        <f>IF('Upto Month Current'!$K$44="",0,'Upto Month Current'!$K$44)</f>
        <v>1911</v>
      </c>
      <c r="AB62" s="9">
        <f>IF('Upto Month Current'!$K$51="",0,'Upto Month Current'!$K$51)</f>
        <v>0</v>
      </c>
      <c r="AC62" s="123">
        <f>SUM(C62:AB62)</f>
        <v>1618363</v>
      </c>
      <c r="AD62" s="9">
        <f>IF('Upto Month Current'!$K$19="",0,'Upto Month Current'!$K$19)</f>
        <v>432</v>
      </c>
      <c r="AE62" s="9">
        <f>IF('Upto Month Current'!$K$20="",0,'Upto Month Current'!$K$20)</f>
        <v>319</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5936</v>
      </c>
      <c r="AK62" s="9">
        <f>IF('Upto Month Current'!$K$29="",0,'Upto Month Current'!$K$29)</f>
        <v>15113</v>
      </c>
      <c r="AL62" s="9">
        <f>IF('Upto Month Current'!$K$31="",0,'Upto Month Current'!$K$31)</f>
        <v>0</v>
      </c>
      <c r="AM62" s="9">
        <f>IF('Upto Month Current'!$K$32="",0,'Upto Month Current'!$K$32)</f>
        <v>0</v>
      </c>
      <c r="AN62" s="9">
        <f>IF('Upto Month Current'!$K$33="",0,'Upto Month Current'!$K$33)</f>
        <v>44213</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0</v>
      </c>
      <c r="AW62" s="9">
        <f>IF('Upto Month Current'!$K$46="",0,'Upto Month Current'!$K$46)</f>
        <v>0</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708</v>
      </c>
      <c r="BC62" s="9">
        <f>IF('Upto Month Current'!$K$54="",0,'Upto Month Current'!$K$54)</f>
        <v>708</v>
      </c>
      <c r="BD62" s="9">
        <f>IF('Upto Month Current'!$K$55="",0,'Upto Month Current'!$K$55)</f>
        <v>0</v>
      </c>
      <c r="BE62" s="9">
        <f>IF('Upto Month Current'!$K$56="",0,'Upto Month Current'!$K$56)</f>
        <v>1116</v>
      </c>
      <c r="BF62" s="9">
        <f>IF('Upto Month Current'!$K$58="",0,'Upto Month Current'!$K$58)</f>
        <v>70374</v>
      </c>
      <c r="BG62" s="124">
        <f>SUM(AD62:BF62)</f>
        <v>138919</v>
      </c>
      <c r="BH62" s="125">
        <f>AC62+BG62</f>
        <v>1757282</v>
      </c>
      <c r="BI62" s="9">
        <f>IF('Upto Month Current'!$K$60="",0,'Upto Month Current'!$K$60)</f>
        <v>41</v>
      </c>
      <c r="BJ62" s="126">
        <f>BH62-BI62</f>
        <v>1757241</v>
      </c>
      <c r="BK62">
        <f>'Upto Month Current'!$K$61</f>
        <v>1757242</v>
      </c>
    </row>
    <row r="63" spans="1:64" ht="15.75">
      <c r="A63" s="130"/>
      <c r="B63" s="5" t="s">
        <v>201</v>
      </c>
      <c r="C63" s="128">
        <f t="shared" ref="C63:AH63" si="37">C62/C59</f>
        <v>0.65858605164797823</v>
      </c>
      <c r="D63" s="128">
        <f t="shared" si="37"/>
        <v>1.5044580340716973</v>
      </c>
      <c r="E63" s="128">
        <f t="shared" si="37"/>
        <v>0.52521359030399362</v>
      </c>
      <c r="F63" s="128">
        <f t="shared" si="37"/>
        <v>0.69354751348298083</v>
      </c>
      <c r="G63" s="128">
        <f t="shared" si="37"/>
        <v>0.69906736951862369</v>
      </c>
      <c r="H63" s="128" t="e">
        <f t="shared" si="37"/>
        <v>#DIV/0!</v>
      </c>
      <c r="I63" s="128" t="e">
        <f t="shared" si="37"/>
        <v>#DIV/0!</v>
      </c>
      <c r="J63" s="128">
        <f t="shared" si="37"/>
        <v>0</v>
      </c>
      <c r="K63" s="128">
        <f t="shared" si="37"/>
        <v>0</v>
      </c>
      <c r="L63" s="128">
        <f t="shared" si="37"/>
        <v>1.8365695792880259</v>
      </c>
      <c r="M63" s="128">
        <f t="shared" si="37"/>
        <v>0.68741712610789307</v>
      </c>
      <c r="N63" s="128">
        <f t="shared" si="37"/>
        <v>0.38896551724137929</v>
      </c>
      <c r="O63" s="128">
        <f t="shared" si="37"/>
        <v>0.36084718923198733</v>
      </c>
      <c r="P63" s="128">
        <f t="shared" si="37"/>
        <v>0.92503416105168923</v>
      </c>
      <c r="Q63" s="128" t="e">
        <f t="shared" si="37"/>
        <v>#DIV/0!</v>
      </c>
      <c r="R63" s="128">
        <f t="shared" si="37"/>
        <v>1.1648793565683646</v>
      </c>
      <c r="S63" s="128" t="e">
        <f t="shared" si="37"/>
        <v>#DIV/0!</v>
      </c>
      <c r="T63" s="128" t="e">
        <f t="shared" si="37"/>
        <v>#DIV/0!</v>
      </c>
      <c r="U63" s="128" t="e">
        <f t="shared" si="37"/>
        <v>#DIV/0!</v>
      </c>
      <c r="V63" s="128" t="e">
        <f t="shared" si="37"/>
        <v>#DIV/0!</v>
      </c>
      <c r="W63" s="128" t="e">
        <f t="shared" si="37"/>
        <v>#DIV/0!</v>
      </c>
      <c r="X63" s="128" t="e">
        <f t="shared" si="37"/>
        <v>#DIV/0!</v>
      </c>
      <c r="Y63" s="128">
        <f t="shared" si="37"/>
        <v>4.8020607375271149</v>
      </c>
      <c r="Z63" s="128">
        <f t="shared" si="37"/>
        <v>3.2521489971346704</v>
      </c>
      <c r="AA63" s="128">
        <f t="shared" si="37"/>
        <v>4.2943820224719103</v>
      </c>
      <c r="AB63" s="128" t="e">
        <f t="shared" si="37"/>
        <v>#DIV/0!</v>
      </c>
      <c r="AC63" s="128">
        <f t="shared" si="37"/>
        <v>0.77502090363067089</v>
      </c>
      <c r="AD63" s="128">
        <f t="shared" si="37"/>
        <v>3.5593639284831509E-2</v>
      </c>
      <c r="AE63" s="128">
        <f t="shared" si="37"/>
        <v>4.253333333333333</v>
      </c>
      <c r="AF63" s="128">
        <f t="shared" si="37"/>
        <v>0</v>
      </c>
      <c r="AG63" s="128" t="e">
        <f t="shared" si="37"/>
        <v>#DIV/0!</v>
      </c>
      <c r="AH63" s="128" t="e">
        <f t="shared" si="37"/>
        <v>#DIV/0!</v>
      </c>
      <c r="AI63" s="128">
        <f t="shared" ref="AI63:BJ63" si="38">AI62/AI59</f>
        <v>0</v>
      </c>
      <c r="AJ63" s="128">
        <f t="shared" si="38"/>
        <v>1.6126052703069818</v>
      </c>
      <c r="AK63" s="128">
        <f t="shared" si="38"/>
        <v>1.4812310104871116</v>
      </c>
      <c r="AL63" s="128">
        <f t="shared" si="38"/>
        <v>0</v>
      </c>
      <c r="AM63" s="128">
        <f t="shared" si="38"/>
        <v>0</v>
      </c>
      <c r="AN63" s="128">
        <f t="shared" si="38"/>
        <v>0.46721476049074828</v>
      </c>
      <c r="AO63" s="128">
        <f t="shared" si="38"/>
        <v>0</v>
      </c>
      <c r="AP63" s="128" t="e">
        <f t="shared" si="38"/>
        <v>#DIV/0!</v>
      </c>
      <c r="AQ63" s="128" t="e">
        <f t="shared" si="38"/>
        <v>#DIV/0!</v>
      </c>
      <c r="AR63" s="128" t="e">
        <f t="shared" si="38"/>
        <v>#DIV/0!</v>
      </c>
      <c r="AS63" s="128" t="e">
        <f t="shared" si="38"/>
        <v>#DIV/0!</v>
      </c>
      <c r="AT63" s="128" t="e">
        <f t="shared" si="38"/>
        <v>#DIV/0!</v>
      </c>
      <c r="AU63" s="128" t="e">
        <f t="shared" si="38"/>
        <v>#DIV/0!</v>
      </c>
      <c r="AV63" s="128">
        <f t="shared" si="38"/>
        <v>0</v>
      </c>
      <c r="AW63" s="128">
        <f t="shared" si="38"/>
        <v>0</v>
      </c>
      <c r="AX63" s="128">
        <f t="shared" si="38"/>
        <v>0</v>
      </c>
      <c r="AY63" s="128" t="e">
        <f t="shared" si="38"/>
        <v>#DIV/0!</v>
      </c>
      <c r="AZ63" s="128" t="e">
        <f t="shared" si="38"/>
        <v>#DIV/0!</v>
      </c>
      <c r="BA63" s="128" t="e">
        <f t="shared" si="38"/>
        <v>#DIV/0!</v>
      </c>
      <c r="BB63" s="128">
        <f t="shared" si="38"/>
        <v>0.20683610867659946</v>
      </c>
      <c r="BC63" s="128">
        <f t="shared" si="38"/>
        <v>0.20683610867659946</v>
      </c>
      <c r="BD63" s="128">
        <f t="shared" si="38"/>
        <v>0</v>
      </c>
      <c r="BE63" s="128">
        <f t="shared" si="38"/>
        <v>20.290909090909089</v>
      </c>
      <c r="BF63" s="128">
        <f t="shared" si="38"/>
        <v>7.6237172202584136E-2</v>
      </c>
      <c r="BG63" s="128">
        <f t="shared" si="38"/>
        <v>0.11122088456947232</v>
      </c>
      <c r="BH63" s="128">
        <f t="shared" si="38"/>
        <v>0.52657519452737345</v>
      </c>
      <c r="BI63" s="128">
        <f t="shared" si="38"/>
        <v>2.145743055119429E-4</v>
      </c>
      <c r="BJ63" s="128">
        <f t="shared" si="38"/>
        <v>0.55854315560620005</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135</v>
      </c>
      <c r="B65" s="11" t="s">
        <v>205</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BH65-BI65</f>
        <v>2707317</v>
      </c>
    </row>
    <row r="66" spans="1:63" ht="15.75">
      <c r="A66" s="130" t="s">
        <v>135</v>
      </c>
      <c r="B66" s="5" t="s">
        <v>202</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SUM(C66:AB66)</f>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SUM(AD66:BF66)</f>
        <v>36285808.539999999</v>
      </c>
      <c r="BH66" s="125">
        <f>AC66+BG66</f>
        <v>37671900.259999998</v>
      </c>
      <c r="BI66" s="37">
        <v>35928300</v>
      </c>
      <c r="BJ66" s="126">
        <f>BH66-BI66</f>
        <v>1743600.2599999979</v>
      </c>
    </row>
    <row r="67" spans="1:63" ht="15.75">
      <c r="A67" s="130"/>
      <c r="B67" s="5"/>
      <c r="C67" s="37">
        <f>C65-C66</f>
        <v>0</v>
      </c>
      <c r="D67" s="37">
        <f t="shared" ref="D67:AB67" si="39">D65-D66</f>
        <v>0</v>
      </c>
      <c r="E67" s="37">
        <f t="shared" si="39"/>
        <v>0</v>
      </c>
      <c r="F67" s="37">
        <f t="shared" si="39"/>
        <v>0</v>
      </c>
      <c r="G67" s="37">
        <f t="shared" si="39"/>
        <v>0</v>
      </c>
      <c r="H67" s="37">
        <f t="shared" si="39"/>
        <v>1279469.2799999998</v>
      </c>
      <c r="I67" s="37">
        <f t="shared" si="39"/>
        <v>0</v>
      </c>
      <c r="J67" s="37">
        <f t="shared" si="39"/>
        <v>0</v>
      </c>
      <c r="K67" s="37">
        <f t="shared" si="39"/>
        <v>0</v>
      </c>
      <c r="L67" s="37">
        <f t="shared" si="39"/>
        <v>0</v>
      </c>
      <c r="M67" s="37">
        <f t="shared" si="39"/>
        <v>0</v>
      </c>
      <c r="N67" s="37">
        <f t="shared" si="39"/>
        <v>0</v>
      </c>
      <c r="O67" s="37">
        <f t="shared" si="39"/>
        <v>0</v>
      </c>
      <c r="P67" s="37">
        <f t="shared" si="39"/>
        <v>0</v>
      </c>
      <c r="Q67" s="37">
        <f t="shared" si="39"/>
        <v>0</v>
      </c>
      <c r="R67" s="37">
        <f t="shared" si="39"/>
        <v>0</v>
      </c>
      <c r="S67" s="37">
        <f t="shared" si="39"/>
        <v>0</v>
      </c>
      <c r="T67" s="37">
        <f t="shared" si="39"/>
        <v>0</v>
      </c>
      <c r="U67" s="37">
        <f t="shared" si="39"/>
        <v>0</v>
      </c>
      <c r="V67" s="37">
        <f t="shared" si="39"/>
        <v>0</v>
      </c>
      <c r="W67" s="37">
        <f t="shared" si="39"/>
        <v>0</v>
      </c>
      <c r="X67" s="37">
        <f t="shared" si="39"/>
        <v>0</v>
      </c>
      <c r="Y67" s="37">
        <f t="shared" si="39"/>
        <v>0</v>
      </c>
      <c r="Z67" s="37">
        <f t="shared" si="39"/>
        <v>0</v>
      </c>
      <c r="AA67" s="37">
        <f t="shared" si="39"/>
        <v>0</v>
      </c>
      <c r="AB67" s="37">
        <f t="shared" si="39"/>
        <v>0</v>
      </c>
      <c r="AC67" s="123">
        <f>SUM(C67:AB67)</f>
        <v>1279469.2799999998</v>
      </c>
      <c r="AD67" s="37">
        <f>AD65-AD66</f>
        <v>0</v>
      </c>
      <c r="AE67" s="37">
        <f t="shared" ref="AE67:BF67" si="40">AE65-AE66</f>
        <v>0</v>
      </c>
      <c r="AF67" s="37">
        <f t="shared" si="40"/>
        <v>0</v>
      </c>
      <c r="AG67" s="37">
        <f t="shared" si="40"/>
        <v>0</v>
      </c>
      <c r="AH67" s="37">
        <f t="shared" si="40"/>
        <v>0</v>
      </c>
      <c r="AI67" s="37">
        <f t="shared" si="40"/>
        <v>0</v>
      </c>
      <c r="AJ67" s="37">
        <f t="shared" si="40"/>
        <v>0</v>
      </c>
      <c r="AK67" s="37">
        <f t="shared" si="40"/>
        <v>0</v>
      </c>
      <c r="AL67" s="37">
        <f t="shared" si="40"/>
        <v>0</v>
      </c>
      <c r="AM67" s="37">
        <f t="shared" si="40"/>
        <v>0</v>
      </c>
      <c r="AN67" s="37">
        <f t="shared" si="40"/>
        <v>0</v>
      </c>
      <c r="AO67" s="37">
        <f t="shared" si="40"/>
        <v>0</v>
      </c>
      <c r="AP67" s="37">
        <f t="shared" si="40"/>
        <v>0</v>
      </c>
      <c r="AQ67" s="37">
        <f t="shared" si="40"/>
        <v>0</v>
      </c>
      <c r="AR67" s="37">
        <f t="shared" si="40"/>
        <v>0</v>
      </c>
      <c r="AS67" s="37">
        <f t="shared" si="40"/>
        <v>0</v>
      </c>
      <c r="AT67" s="37">
        <f t="shared" si="40"/>
        <v>0</v>
      </c>
      <c r="AU67" s="37">
        <f t="shared" si="40"/>
        <v>0</v>
      </c>
      <c r="AV67" s="37">
        <f t="shared" si="40"/>
        <v>0</v>
      </c>
      <c r="AW67" s="37">
        <f t="shared" si="40"/>
        <v>0</v>
      </c>
      <c r="AX67" s="37">
        <f t="shared" si="40"/>
        <v>0</v>
      </c>
      <c r="AY67" s="37">
        <f t="shared" si="40"/>
        <v>0</v>
      </c>
      <c r="AZ67" s="37">
        <f t="shared" si="40"/>
        <v>0</v>
      </c>
      <c r="BA67" s="37">
        <f t="shared" si="40"/>
        <v>0</v>
      </c>
      <c r="BB67" s="37">
        <f t="shared" si="40"/>
        <v>0</v>
      </c>
      <c r="BC67" s="37">
        <f t="shared" si="40"/>
        <v>0</v>
      </c>
      <c r="BD67" s="37">
        <f t="shared" si="40"/>
        <v>0</v>
      </c>
      <c r="BE67" s="37">
        <f t="shared" si="40"/>
        <v>0</v>
      </c>
      <c r="BF67" s="37">
        <f t="shared" si="40"/>
        <v>35612547.460000001</v>
      </c>
      <c r="BG67" s="124">
        <f>SUM(AD67:BF67)</f>
        <v>35612547.460000001</v>
      </c>
      <c r="BH67" s="125">
        <f>AC67+BG67</f>
        <v>36892016.740000002</v>
      </c>
      <c r="BI67" s="38">
        <f>BI65-BI66</f>
        <v>35928300</v>
      </c>
      <c r="BJ67" s="126">
        <f>BH67-BI67</f>
        <v>963716.74000000209</v>
      </c>
    </row>
    <row r="68" spans="1:63" ht="15.75">
      <c r="A68" s="130"/>
      <c r="B68" s="12" t="s">
        <v>203</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1820109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SUM(C68:AB68)</f>
        <v>1820109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2515904</v>
      </c>
      <c r="BG68" s="124">
        <f>SUM(AD68:BF68)</f>
        <v>2515904</v>
      </c>
      <c r="BH68" s="125">
        <f>AC68+BG68</f>
        <v>4336013</v>
      </c>
      <c r="BI68" s="9">
        <f>IF('Upto Month Current'!$L$60="",0,'Upto Month Current'!$L$60)</f>
        <v>2512161</v>
      </c>
      <c r="BJ68" s="126">
        <f>BH68-BI68</f>
        <v>1823852</v>
      </c>
      <c r="BK68">
        <f>'Upto Month Current'!$L$61</f>
        <v>1823851</v>
      </c>
    </row>
    <row r="69" spans="1:63" ht="15.75">
      <c r="A69" s="130"/>
      <c r="B69" s="5" t="s">
        <v>201</v>
      </c>
      <c r="C69" s="128" t="e">
        <f t="shared" ref="C69:AH69" si="41">C68/C65</f>
        <v>#DIV/0!</v>
      </c>
      <c r="D69" s="128" t="e">
        <f t="shared" si="41"/>
        <v>#DIV/0!</v>
      </c>
      <c r="E69" s="128" t="e">
        <f t="shared" si="41"/>
        <v>#DIV/0!</v>
      </c>
      <c r="F69" s="128" t="e">
        <f t="shared" si="41"/>
        <v>#DIV/0!</v>
      </c>
      <c r="G69" s="128" t="e">
        <f t="shared" si="41"/>
        <v>#DIV/0!</v>
      </c>
      <c r="H69" s="128">
        <f t="shared" si="41"/>
        <v>0.68282399089722579</v>
      </c>
      <c r="I69" s="128" t="e">
        <f t="shared" si="41"/>
        <v>#DIV/0!</v>
      </c>
      <c r="J69" s="128" t="e">
        <f t="shared" si="41"/>
        <v>#DIV/0!</v>
      </c>
      <c r="K69" s="128" t="e">
        <f t="shared" si="41"/>
        <v>#DIV/0!</v>
      </c>
      <c r="L69" s="128" t="e">
        <f t="shared" si="41"/>
        <v>#DIV/0!</v>
      </c>
      <c r="M69" s="128" t="e">
        <f t="shared" si="41"/>
        <v>#DIV/0!</v>
      </c>
      <c r="N69" s="128" t="e">
        <f t="shared" si="41"/>
        <v>#DIV/0!</v>
      </c>
      <c r="O69" s="128" t="e">
        <f t="shared" si="41"/>
        <v>#DIV/0!</v>
      </c>
      <c r="P69" s="128" t="e">
        <f t="shared" si="41"/>
        <v>#DIV/0!</v>
      </c>
      <c r="Q69" s="128" t="e">
        <f t="shared" si="41"/>
        <v>#DIV/0!</v>
      </c>
      <c r="R69" s="128" t="e">
        <f t="shared" si="41"/>
        <v>#DIV/0!</v>
      </c>
      <c r="S69" s="128" t="e">
        <f t="shared" si="41"/>
        <v>#DIV/0!</v>
      </c>
      <c r="T69" s="128" t="e">
        <f t="shared" si="41"/>
        <v>#DIV/0!</v>
      </c>
      <c r="U69" s="128" t="e">
        <f t="shared" si="41"/>
        <v>#DIV/0!</v>
      </c>
      <c r="V69" s="128" t="e">
        <f t="shared" si="41"/>
        <v>#DIV/0!</v>
      </c>
      <c r="W69" s="128" t="e">
        <f t="shared" si="41"/>
        <v>#DIV/0!</v>
      </c>
      <c r="X69" s="128" t="e">
        <f t="shared" si="41"/>
        <v>#DIV/0!</v>
      </c>
      <c r="Y69" s="128" t="e">
        <f t="shared" si="41"/>
        <v>#DIV/0!</v>
      </c>
      <c r="Z69" s="128" t="e">
        <f t="shared" si="41"/>
        <v>#DIV/0!</v>
      </c>
      <c r="AA69" s="128" t="e">
        <f t="shared" si="41"/>
        <v>#DIV/0!</v>
      </c>
      <c r="AB69" s="128" t="e">
        <f t="shared" si="41"/>
        <v>#DIV/0!</v>
      </c>
      <c r="AC69" s="128">
        <f t="shared" si="41"/>
        <v>0.68282399089722579</v>
      </c>
      <c r="AD69" s="128" t="e">
        <f t="shared" si="41"/>
        <v>#DIV/0!</v>
      </c>
      <c r="AE69" s="128" t="e">
        <f t="shared" si="41"/>
        <v>#DIV/0!</v>
      </c>
      <c r="AF69" s="128" t="e">
        <f t="shared" si="41"/>
        <v>#DIV/0!</v>
      </c>
      <c r="AG69" s="128" t="e">
        <f t="shared" si="41"/>
        <v>#DIV/0!</v>
      </c>
      <c r="AH69" s="128" t="e">
        <f t="shared" si="41"/>
        <v>#DIV/0!</v>
      </c>
      <c r="AI69" s="128" t="e">
        <f t="shared" ref="AI69:BJ69" si="42">AI68/AI65</f>
        <v>#DIV/0!</v>
      </c>
      <c r="AJ69" s="128" t="e">
        <f t="shared" si="42"/>
        <v>#DIV/0!</v>
      </c>
      <c r="AK69" s="128" t="e">
        <f t="shared" si="42"/>
        <v>#DIV/0!</v>
      </c>
      <c r="AL69" s="128" t="e">
        <f t="shared" si="42"/>
        <v>#DIV/0!</v>
      </c>
      <c r="AM69" s="128" t="e">
        <f t="shared" si="42"/>
        <v>#DIV/0!</v>
      </c>
      <c r="AN69" s="128" t="e">
        <f t="shared" si="42"/>
        <v>#DIV/0!</v>
      </c>
      <c r="AO69" s="128" t="e">
        <f t="shared" si="42"/>
        <v>#DIV/0!</v>
      </c>
      <c r="AP69" s="128" t="e">
        <f t="shared" si="42"/>
        <v>#DIV/0!</v>
      </c>
      <c r="AQ69" s="128" t="e">
        <f t="shared" si="42"/>
        <v>#DIV/0!</v>
      </c>
      <c r="AR69" s="128" t="e">
        <f t="shared" si="42"/>
        <v>#DIV/0!</v>
      </c>
      <c r="AS69" s="128" t="e">
        <f t="shared" si="42"/>
        <v>#DIV/0!</v>
      </c>
      <c r="AT69" s="128" t="e">
        <f t="shared" si="42"/>
        <v>#DIV/0!</v>
      </c>
      <c r="AU69" s="128" t="e">
        <f t="shared" si="42"/>
        <v>#DIV/0!</v>
      </c>
      <c r="AV69" s="128" t="e">
        <f t="shared" si="42"/>
        <v>#DIV/0!</v>
      </c>
      <c r="AW69" s="128" t="e">
        <f t="shared" si="42"/>
        <v>#DIV/0!</v>
      </c>
      <c r="AX69" s="128" t="e">
        <f t="shared" si="42"/>
        <v>#DIV/0!</v>
      </c>
      <c r="AY69" s="128" t="e">
        <f t="shared" si="42"/>
        <v>#DIV/0!</v>
      </c>
      <c r="AZ69" s="128" t="e">
        <f t="shared" si="42"/>
        <v>#DIV/0!</v>
      </c>
      <c r="BA69" s="128" t="e">
        <f t="shared" si="42"/>
        <v>#DIV/0!</v>
      </c>
      <c r="BB69" s="128" t="e">
        <f t="shared" si="42"/>
        <v>#DIV/0!</v>
      </c>
      <c r="BC69" s="128" t="e">
        <f t="shared" si="42"/>
        <v>#DIV/0!</v>
      </c>
      <c r="BD69" s="128" t="e">
        <f t="shared" si="42"/>
        <v>#DIV/0!</v>
      </c>
      <c r="BE69" s="128" t="e">
        <f t="shared" si="42"/>
        <v>#DIV/0!</v>
      </c>
      <c r="BF69" s="128">
        <f t="shared" si="42"/>
        <v>3.4992510816241752E-2</v>
      </c>
      <c r="BG69" s="128">
        <f t="shared" si="42"/>
        <v>3.4992510816241752E-2</v>
      </c>
      <c r="BH69" s="128">
        <f t="shared" si="42"/>
        <v>5.8151625805817043E-2</v>
      </c>
      <c r="BI69" s="128">
        <f t="shared" si="42"/>
        <v>3.4960755170715008E-2</v>
      </c>
      <c r="BJ69" s="128">
        <f t="shared" si="42"/>
        <v>0.67367508127049769</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122</v>
      </c>
      <c r="B71" s="11" t="s">
        <v>205</v>
      </c>
      <c r="C71" s="5">
        <f t="shared" ref="C71:AB71" si="43">C5+C11+C17+C23+C29+C35+C41+C47+C53+C59+C65</f>
        <v>24138688</v>
      </c>
      <c r="D71" s="5">
        <f t="shared" si="43"/>
        <v>4295500</v>
      </c>
      <c r="E71" s="5">
        <f t="shared" si="43"/>
        <v>1031647</v>
      </c>
      <c r="F71" s="5">
        <f t="shared" si="43"/>
        <v>2562181</v>
      </c>
      <c r="G71" s="5">
        <f t="shared" si="43"/>
        <v>1334558</v>
      </c>
      <c r="H71" s="5">
        <f t="shared" si="43"/>
        <v>2665561</v>
      </c>
      <c r="I71" s="5">
        <f t="shared" si="43"/>
        <v>0</v>
      </c>
      <c r="J71" s="5">
        <f t="shared" si="43"/>
        <v>1268085</v>
      </c>
      <c r="K71" s="5">
        <f t="shared" si="43"/>
        <v>190400</v>
      </c>
      <c r="L71" s="5">
        <f t="shared" si="43"/>
        <v>441643</v>
      </c>
      <c r="M71" s="5">
        <f t="shared" si="43"/>
        <v>934343</v>
      </c>
      <c r="N71" s="5">
        <f t="shared" si="43"/>
        <v>14406</v>
      </c>
      <c r="O71" s="5">
        <f t="shared" si="43"/>
        <v>79259</v>
      </c>
      <c r="P71" s="5">
        <f t="shared" si="43"/>
        <v>756000</v>
      </c>
      <c r="Q71" s="5">
        <f t="shared" si="43"/>
        <v>0</v>
      </c>
      <c r="R71" s="5">
        <f t="shared" si="43"/>
        <v>45000</v>
      </c>
      <c r="S71" s="5">
        <f t="shared" si="43"/>
        <v>762685</v>
      </c>
      <c r="T71" s="5">
        <f t="shared" si="43"/>
        <v>1003547</v>
      </c>
      <c r="U71" s="5">
        <f t="shared" si="43"/>
        <v>0</v>
      </c>
      <c r="V71" s="5">
        <f t="shared" si="43"/>
        <v>318607</v>
      </c>
      <c r="W71" s="5">
        <f t="shared" si="43"/>
        <v>555</v>
      </c>
      <c r="X71" s="5">
        <f t="shared" si="43"/>
        <v>369</v>
      </c>
      <c r="Y71" s="5">
        <f t="shared" si="43"/>
        <v>8159</v>
      </c>
      <c r="Z71" s="5">
        <f t="shared" si="43"/>
        <v>1420</v>
      </c>
      <c r="AA71" s="5">
        <f t="shared" si="43"/>
        <v>44929</v>
      </c>
      <c r="AB71" s="5">
        <f t="shared" si="43"/>
        <v>1692510</v>
      </c>
      <c r="AC71" s="123">
        <f>SUM(C71:AB71)</f>
        <v>43590052</v>
      </c>
      <c r="AD71" s="5">
        <f t="shared" ref="AD71:BG71" si="44">AD5+AD11+AD17+AD23+AD29+AD35+AD41+AD47+AD53+AD59+AD65</f>
        <v>123491</v>
      </c>
      <c r="AE71" s="5">
        <f t="shared" si="44"/>
        <v>48382</v>
      </c>
      <c r="AF71" s="5">
        <f t="shared" si="44"/>
        <v>61987</v>
      </c>
      <c r="AG71" s="5">
        <f t="shared" si="44"/>
        <v>0</v>
      </c>
      <c r="AH71" s="5">
        <f t="shared" si="44"/>
        <v>125</v>
      </c>
      <c r="AI71" s="5">
        <f t="shared" si="44"/>
        <v>11015</v>
      </c>
      <c r="AJ71" s="5">
        <f t="shared" si="44"/>
        <v>1256176</v>
      </c>
      <c r="AK71" s="5">
        <f t="shared" si="44"/>
        <v>1270104</v>
      </c>
      <c r="AL71" s="5">
        <f t="shared" si="44"/>
        <v>7058240</v>
      </c>
      <c r="AM71" s="5">
        <f t="shared" si="44"/>
        <v>110800</v>
      </c>
      <c r="AN71" s="5">
        <f t="shared" si="44"/>
        <v>2806196</v>
      </c>
      <c r="AO71" s="5">
        <f t="shared" si="44"/>
        <v>17228022</v>
      </c>
      <c r="AP71" s="5">
        <f t="shared" si="44"/>
        <v>83649</v>
      </c>
      <c r="AQ71" s="5">
        <f t="shared" si="44"/>
        <v>908586</v>
      </c>
      <c r="AR71" s="5">
        <f t="shared" si="44"/>
        <v>0</v>
      </c>
      <c r="AS71" s="5">
        <f t="shared" si="44"/>
        <v>0</v>
      </c>
      <c r="AT71" s="5">
        <f t="shared" si="44"/>
        <v>571696</v>
      </c>
      <c r="AU71" s="5">
        <f t="shared" si="44"/>
        <v>1</v>
      </c>
      <c r="AV71" s="5">
        <f t="shared" si="44"/>
        <v>14471</v>
      </c>
      <c r="AW71" s="5">
        <f t="shared" si="44"/>
        <v>13505</v>
      </c>
      <c r="AX71" s="5">
        <f t="shared" si="44"/>
        <v>3047</v>
      </c>
      <c r="AY71" s="5">
        <f t="shared" si="44"/>
        <v>145786</v>
      </c>
      <c r="AZ71" s="5">
        <f t="shared" si="44"/>
        <v>987794</v>
      </c>
      <c r="BA71" s="5">
        <f t="shared" si="44"/>
        <v>756000</v>
      </c>
      <c r="BB71" s="5">
        <f t="shared" si="44"/>
        <v>72091</v>
      </c>
      <c r="BC71" s="5">
        <f t="shared" si="44"/>
        <v>72172</v>
      </c>
      <c r="BD71" s="5">
        <f t="shared" si="44"/>
        <v>431</v>
      </c>
      <c r="BE71" s="5">
        <f t="shared" si="44"/>
        <v>33840</v>
      </c>
      <c r="BF71" s="5">
        <f t="shared" si="44"/>
        <v>73190909</v>
      </c>
      <c r="BG71" s="6">
        <f t="shared" si="44"/>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45">C6+C12+C18+C24+C30+C36+C42+C48+C54+C60+C66</f>
        <v>12552117.76</v>
      </c>
      <c r="D72" s="11">
        <f t="shared" si="45"/>
        <v>3279708.1200000006</v>
      </c>
      <c r="E72" s="11">
        <f t="shared" si="45"/>
        <v>0</v>
      </c>
      <c r="F72" s="11">
        <f t="shared" si="45"/>
        <v>1332334.1200000001</v>
      </c>
      <c r="G72" s="11">
        <f t="shared" si="45"/>
        <v>693970.16000000015</v>
      </c>
      <c r="H72" s="11">
        <f t="shared" si="45"/>
        <v>1386091.7200000002</v>
      </c>
      <c r="I72" s="11">
        <f t="shared" si="45"/>
        <v>0</v>
      </c>
      <c r="J72" s="11">
        <f t="shared" si="45"/>
        <v>659404.20000000007</v>
      </c>
      <c r="K72" s="11">
        <f t="shared" si="45"/>
        <v>113735.44</v>
      </c>
      <c r="L72" s="11">
        <f t="shared" si="45"/>
        <v>229654.36000000002</v>
      </c>
      <c r="M72" s="11">
        <f t="shared" si="45"/>
        <v>485858.36000000004</v>
      </c>
      <c r="N72" s="11">
        <f t="shared" si="45"/>
        <v>7491.12</v>
      </c>
      <c r="O72" s="11">
        <f t="shared" si="45"/>
        <v>41214.680000000008</v>
      </c>
      <c r="P72" s="11">
        <f t="shared" si="45"/>
        <v>441996.36000000004</v>
      </c>
      <c r="Q72" s="11">
        <f t="shared" si="45"/>
        <v>0</v>
      </c>
      <c r="R72" s="11">
        <f t="shared" si="45"/>
        <v>48183.199999999997</v>
      </c>
      <c r="S72" s="11">
        <f t="shared" si="45"/>
        <v>396596.19999999995</v>
      </c>
      <c r="T72" s="11">
        <f t="shared" si="45"/>
        <v>521844.44000000006</v>
      </c>
      <c r="U72" s="11">
        <f t="shared" si="45"/>
        <v>0</v>
      </c>
      <c r="V72" s="11">
        <f t="shared" si="45"/>
        <v>165675.64000000004</v>
      </c>
      <c r="W72" s="11">
        <f t="shared" si="45"/>
        <v>288.60000000000002</v>
      </c>
      <c r="X72" s="11">
        <f t="shared" si="45"/>
        <v>191.88000000000002</v>
      </c>
      <c r="Y72" s="11">
        <f t="shared" si="45"/>
        <v>4242.6799999999994</v>
      </c>
      <c r="Z72" s="11">
        <f t="shared" si="45"/>
        <v>738.40000000000009</v>
      </c>
      <c r="AA72" s="11">
        <f t="shared" si="45"/>
        <v>23363.08</v>
      </c>
      <c r="AB72" s="11">
        <f t="shared" si="45"/>
        <v>880105.2</v>
      </c>
      <c r="AC72" s="123">
        <f>SUM(C72:AB72)</f>
        <v>23264805.719999995</v>
      </c>
      <c r="AD72" s="11">
        <f t="shared" ref="AD72:BG72" si="46">AD6+AD12+AD18+AD24+AD30+AD36+AD42+AD48+AD54+AD60+AD66</f>
        <v>83000.320000000022</v>
      </c>
      <c r="AE72" s="11">
        <f t="shared" si="46"/>
        <v>25158.639999999999</v>
      </c>
      <c r="AF72" s="11">
        <f t="shared" si="46"/>
        <v>32233.239999999998</v>
      </c>
      <c r="AG72" s="11">
        <f t="shared" si="46"/>
        <v>0</v>
      </c>
      <c r="AH72" s="11">
        <f t="shared" si="46"/>
        <v>65</v>
      </c>
      <c r="AI72" s="11">
        <f t="shared" si="46"/>
        <v>5727.8</v>
      </c>
      <c r="AJ72" s="11">
        <f t="shared" si="46"/>
        <v>1030621.8</v>
      </c>
      <c r="AK72" s="11">
        <f t="shared" si="46"/>
        <v>663865.28</v>
      </c>
      <c r="AL72" s="11">
        <f t="shared" si="46"/>
        <v>5116687.16</v>
      </c>
      <c r="AM72" s="11">
        <f t="shared" si="46"/>
        <v>107235.96000000002</v>
      </c>
      <c r="AN72" s="11">
        <f t="shared" si="46"/>
        <v>1459221.9200000002</v>
      </c>
      <c r="AO72" s="11">
        <f t="shared" si="46"/>
        <v>12059371.440000001</v>
      </c>
      <c r="AP72" s="11">
        <f t="shared" si="46"/>
        <v>43497.48</v>
      </c>
      <c r="AQ72" s="11">
        <f t="shared" si="46"/>
        <v>472464.72000000003</v>
      </c>
      <c r="AR72" s="11">
        <f t="shared" si="46"/>
        <v>0</v>
      </c>
      <c r="AS72" s="11">
        <f t="shared" si="46"/>
        <v>0</v>
      </c>
      <c r="AT72" s="11">
        <f t="shared" si="46"/>
        <v>358787.52</v>
      </c>
      <c r="AU72" s="11">
        <f t="shared" si="46"/>
        <v>0</v>
      </c>
      <c r="AV72" s="11">
        <f t="shared" si="46"/>
        <v>7524.92</v>
      </c>
      <c r="AW72" s="11">
        <f t="shared" si="46"/>
        <v>7022.5999999999995</v>
      </c>
      <c r="AX72" s="11">
        <f t="shared" si="46"/>
        <v>1584.44</v>
      </c>
      <c r="AY72" s="11">
        <f t="shared" si="46"/>
        <v>75808.72</v>
      </c>
      <c r="AZ72" s="11">
        <f t="shared" si="46"/>
        <v>919772.88000000012</v>
      </c>
      <c r="BA72" s="11">
        <f t="shared" si="46"/>
        <v>542228.96</v>
      </c>
      <c r="BB72" s="11">
        <f t="shared" si="46"/>
        <v>37487.32</v>
      </c>
      <c r="BC72" s="11">
        <f t="shared" si="46"/>
        <v>37529.439999999995</v>
      </c>
      <c r="BD72" s="11">
        <f t="shared" si="46"/>
        <v>224.11999999999998</v>
      </c>
      <c r="BE72" s="11">
        <f t="shared" si="46"/>
        <v>17596.8</v>
      </c>
      <c r="BF72" s="11">
        <f t="shared" si="46"/>
        <v>37028031.979999997</v>
      </c>
      <c r="BG72" s="10">
        <f t="shared" si="46"/>
        <v>60132750.460000001</v>
      </c>
      <c r="BH72" s="125">
        <f>AC72+BG72</f>
        <v>83397556.179999992</v>
      </c>
      <c r="BI72" s="5">
        <f t="shared" ref="BI72:BJ74" si="47">BI6+BI12+BI18+BI24+BI30+BI36+BI42+BI48+BI54+BI60+BI66</f>
        <v>36516458</v>
      </c>
      <c r="BJ72" s="51">
        <f t="shared" si="47"/>
        <v>46881098.18</v>
      </c>
    </row>
    <row r="73" spans="1:63" ht="15.75">
      <c r="A73" s="130"/>
      <c r="B73" s="5"/>
      <c r="C73" s="11">
        <f>C7+C13+C19+C25+C31+C37+C43+C49+C55+C61+C67</f>
        <v>11586570.24</v>
      </c>
      <c r="D73" s="11">
        <f t="shared" ref="D73:AB73" si="48">D7+D13+D19+D25+D31+D37+D43+D49+D55+D61+D67</f>
        <v>1015791.8799999998</v>
      </c>
      <c r="E73" s="11">
        <f t="shared" si="48"/>
        <v>1031647</v>
      </c>
      <c r="F73" s="11">
        <f t="shared" si="48"/>
        <v>1229846.8799999999</v>
      </c>
      <c r="G73" s="11">
        <f t="shared" si="48"/>
        <v>640587.83999999985</v>
      </c>
      <c r="H73" s="11">
        <f t="shared" si="48"/>
        <v>1279469.2799999998</v>
      </c>
      <c r="I73" s="11">
        <f t="shared" si="48"/>
        <v>0</v>
      </c>
      <c r="J73" s="11">
        <f t="shared" si="48"/>
        <v>608680.79999999993</v>
      </c>
      <c r="K73" s="11">
        <f t="shared" si="48"/>
        <v>76664.56</v>
      </c>
      <c r="L73" s="11">
        <f t="shared" si="48"/>
        <v>211988.63999999998</v>
      </c>
      <c r="M73" s="11">
        <f t="shared" si="48"/>
        <v>448484.63999999996</v>
      </c>
      <c r="N73" s="11">
        <f t="shared" si="48"/>
        <v>6914.88</v>
      </c>
      <c r="O73" s="11">
        <f t="shared" si="48"/>
        <v>38044.319999999992</v>
      </c>
      <c r="P73" s="11">
        <f t="shared" si="48"/>
        <v>314003.63999999996</v>
      </c>
      <c r="Q73" s="11">
        <f t="shared" si="48"/>
        <v>0</v>
      </c>
      <c r="R73" s="11">
        <f t="shared" si="48"/>
        <v>-3183.2000000000007</v>
      </c>
      <c r="S73" s="11">
        <f t="shared" si="48"/>
        <v>366088.80000000005</v>
      </c>
      <c r="T73" s="11">
        <f t="shared" si="48"/>
        <v>481702.55999999994</v>
      </c>
      <c r="U73" s="11">
        <f t="shared" si="48"/>
        <v>0</v>
      </c>
      <c r="V73" s="11">
        <f t="shared" si="48"/>
        <v>152931.35999999996</v>
      </c>
      <c r="W73" s="11">
        <f t="shared" si="48"/>
        <v>266.39999999999998</v>
      </c>
      <c r="X73" s="11">
        <f t="shared" si="48"/>
        <v>177.11999999999998</v>
      </c>
      <c r="Y73" s="11">
        <f t="shared" si="48"/>
        <v>3916.32</v>
      </c>
      <c r="Z73" s="11">
        <f t="shared" si="48"/>
        <v>681.59999999999991</v>
      </c>
      <c r="AA73" s="11">
        <f t="shared" si="48"/>
        <v>21565.919999999998</v>
      </c>
      <c r="AB73" s="11">
        <f t="shared" si="48"/>
        <v>812404.8</v>
      </c>
      <c r="AC73" s="123">
        <f>SUM(C73:AB73)</f>
        <v>20325246.280000005</v>
      </c>
      <c r="AD73" s="11">
        <f>AD7+AD13+AD19+AD25+AD31+AD37+AD43+AD49+AD55+AD61+AD67</f>
        <v>40490.679999999993</v>
      </c>
      <c r="AE73" s="11">
        <f t="shared" ref="AE73:BF73" si="49">AE7+AE13+AE19+AE25+AE31+AE37+AE43+AE49+AE55+AE61+AE67</f>
        <v>23176.32</v>
      </c>
      <c r="AF73" s="11">
        <f t="shared" si="49"/>
        <v>29164.320000000003</v>
      </c>
      <c r="AG73" s="11">
        <f t="shared" si="49"/>
        <v>0</v>
      </c>
      <c r="AH73" s="11">
        <f t="shared" si="49"/>
        <v>60</v>
      </c>
      <c r="AI73" s="11">
        <f t="shared" si="49"/>
        <v>5278.5599999999995</v>
      </c>
      <c r="AJ73" s="11">
        <f t="shared" si="49"/>
        <v>222877.23999999996</v>
      </c>
      <c r="AK73" s="11">
        <f t="shared" si="49"/>
        <v>499520.31999999995</v>
      </c>
      <c r="AL73" s="11">
        <f t="shared" si="49"/>
        <v>1851960.3599999996</v>
      </c>
      <c r="AM73" s="11">
        <f t="shared" si="49"/>
        <v>3564.0399999999968</v>
      </c>
      <c r="AN73" s="11">
        <f t="shared" si="49"/>
        <v>1191405.1199999999</v>
      </c>
      <c r="AO73" s="11">
        <f t="shared" si="49"/>
        <v>5168650.5599999987</v>
      </c>
      <c r="AP73" s="11">
        <f t="shared" si="49"/>
        <v>40151.519999999997</v>
      </c>
      <c r="AQ73" s="11">
        <f t="shared" si="49"/>
        <v>436121.27999999997</v>
      </c>
      <c r="AR73" s="11">
        <f t="shared" si="49"/>
        <v>0</v>
      </c>
      <c r="AS73" s="11">
        <f t="shared" si="49"/>
        <v>0</v>
      </c>
      <c r="AT73" s="11">
        <f t="shared" si="49"/>
        <v>212908.47999999998</v>
      </c>
      <c r="AU73" s="11">
        <f t="shared" si="49"/>
        <v>1</v>
      </c>
      <c r="AV73" s="11">
        <f t="shared" si="49"/>
        <v>6816</v>
      </c>
      <c r="AW73" s="11">
        <f t="shared" si="49"/>
        <v>6364.8</v>
      </c>
      <c r="AX73" s="11">
        <f t="shared" si="49"/>
        <v>1179.3599999999999</v>
      </c>
      <c r="AY73" s="11">
        <f t="shared" si="49"/>
        <v>69977.279999999999</v>
      </c>
      <c r="AZ73" s="11">
        <f t="shared" si="49"/>
        <v>68021.119999999879</v>
      </c>
      <c r="BA73" s="11">
        <f t="shared" si="49"/>
        <v>213771.03999999998</v>
      </c>
      <c r="BB73" s="11">
        <f t="shared" si="49"/>
        <v>24403.200000000001</v>
      </c>
      <c r="BC73" s="11">
        <f t="shared" si="49"/>
        <v>24442.080000000002</v>
      </c>
      <c r="BD73" s="11">
        <f t="shared" si="49"/>
        <v>120.96</v>
      </c>
      <c r="BE73" s="11">
        <f t="shared" si="49"/>
        <v>15340.319999999998</v>
      </c>
      <c r="BF73" s="11">
        <f t="shared" si="49"/>
        <v>36212382.300000004</v>
      </c>
      <c r="BG73" s="10">
        <f>BG7+BG13+BG19+BG25+BG31+BG37+BG43+BG49+BG55+BG61+BG67</f>
        <v>46368148.259999998</v>
      </c>
      <c r="BH73" s="125">
        <f>AC73+BG73</f>
        <v>66693394.540000007</v>
      </c>
      <c r="BI73" s="5">
        <f t="shared" si="47"/>
        <v>36516458</v>
      </c>
      <c r="BJ73" s="51">
        <f t="shared" si="47"/>
        <v>30176936.539999999</v>
      </c>
    </row>
    <row r="74" spans="1:63" ht="15.75">
      <c r="A74" s="130"/>
      <c r="B74" s="12" t="str">
        <f>B68</f>
        <v>Actuals upto Sep' 20</v>
      </c>
      <c r="C74" s="5">
        <f>C8+C14+C20+C26+C32+C38+C44+C50+C56+C62+C68</f>
        <v>12959712</v>
      </c>
      <c r="D74" s="5">
        <f t="shared" ref="D74:AB74" si="50">D8+D14+D20+D26+D32+D38+D44+D50+D56+D62+D68</f>
        <v>6372468</v>
      </c>
      <c r="E74" s="5">
        <f t="shared" si="50"/>
        <v>514987</v>
      </c>
      <c r="F74" s="5">
        <f t="shared" si="50"/>
        <v>1503962</v>
      </c>
      <c r="G74" s="5">
        <f t="shared" si="50"/>
        <v>1032063</v>
      </c>
      <c r="H74" s="5">
        <f t="shared" si="50"/>
        <v>1820109</v>
      </c>
      <c r="I74" s="5">
        <f t="shared" si="50"/>
        <v>0</v>
      </c>
      <c r="J74" s="5">
        <f t="shared" si="50"/>
        <v>1794700</v>
      </c>
      <c r="K74" s="5">
        <f t="shared" si="50"/>
        <v>102067</v>
      </c>
      <c r="L74" s="5">
        <f t="shared" si="50"/>
        <v>430170</v>
      </c>
      <c r="M74" s="5">
        <f t="shared" si="50"/>
        <v>714247</v>
      </c>
      <c r="N74" s="5">
        <f t="shared" si="50"/>
        <v>1943</v>
      </c>
      <c r="O74" s="5">
        <f t="shared" si="50"/>
        <v>43960</v>
      </c>
      <c r="P74" s="5">
        <f t="shared" si="50"/>
        <v>619713</v>
      </c>
      <c r="Q74" s="5">
        <f t="shared" si="50"/>
        <v>0</v>
      </c>
      <c r="R74" s="5">
        <f t="shared" si="50"/>
        <v>36600</v>
      </c>
      <c r="S74" s="5">
        <f t="shared" si="50"/>
        <v>471322</v>
      </c>
      <c r="T74" s="5">
        <f t="shared" si="50"/>
        <v>530375</v>
      </c>
      <c r="U74" s="5">
        <f t="shared" si="50"/>
        <v>0</v>
      </c>
      <c r="V74" s="5">
        <f t="shared" si="50"/>
        <v>100878</v>
      </c>
      <c r="W74" s="5">
        <f t="shared" si="50"/>
        <v>91</v>
      </c>
      <c r="X74" s="5">
        <f t="shared" si="50"/>
        <v>0</v>
      </c>
      <c r="Y74" s="5">
        <f t="shared" si="50"/>
        <v>43039</v>
      </c>
      <c r="Z74" s="5">
        <f t="shared" si="50"/>
        <v>11789</v>
      </c>
      <c r="AA74" s="5">
        <f t="shared" si="50"/>
        <v>12407</v>
      </c>
      <c r="AB74" s="5">
        <f t="shared" si="50"/>
        <v>210649</v>
      </c>
      <c r="AC74" s="123">
        <f>SUM(C74:AB74)</f>
        <v>29327251</v>
      </c>
      <c r="AD74" s="5">
        <f>AD8+AD14+AD20+AD26+AD32+AD38+AD44+AD50+AD56+AD62+AD68</f>
        <v>1185</v>
      </c>
      <c r="AE74" s="5">
        <f t="shared" ref="AE74:BF74" si="51">AE8+AE14+AE20+AE26+AE32+AE38+AE44+AE50+AE56+AE62+AE68</f>
        <v>20175</v>
      </c>
      <c r="AF74" s="5">
        <f t="shared" si="51"/>
        <v>46674</v>
      </c>
      <c r="AG74" s="5">
        <f t="shared" si="51"/>
        <v>0</v>
      </c>
      <c r="AH74" s="5">
        <f t="shared" si="51"/>
        <v>0</v>
      </c>
      <c r="AI74" s="5">
        <f t="shared" si="51"/>
        <v>17295</v>
      </c>
      <c r="AJ74" s="5">
        <f t="shared" si="51"/>
        <v>1125639</v>
      </c>
      <c r="AK74" s="5">
        <f t="shared" si="51"/>
        <v>658124</v>
      </c>
      <c r="AL74" s="5">
        <f t="shared" si="51"/>
        <v>10351012</v>
      </c>
      <c r="AM74" s="5">
        <f t="shared" si="51"/>
        <v>315525</v>
      </c>
      <c r="AN74" s="5">
        <f t="shared" si="51"/>
        <v>2241595</v>
      </c>
      <c r="AO74" s="5">
        <f t="shared" si="51"/>
        <v>-677477</v>
      </c>
      <c r="AP74" s="5">
        <f t="shared" si="51"/>
        <v>145640</v>
      </c>
      <c r="AQ74" s="5">
        <f t="shared" si="51"/>
        <v>13453</v>
      </c>
      <c r="AR74" s="5">
        <f t="shared" si="51"/>
        <v>0</v>
      </c>
      <c r="AS74" s="5">
        <f t="shared" si="51"/>
        <v>0</v>
      </c>
      <c r="AT74" s="5">
        <f t="shared" si="51"/>
        <v>8656</v>
      </c>
      <c r="AU74" s="5">
        <f t="shared" si="51"/>
        <v>0</v>
      </c>
      <c r="AV74" s="5">
        <f t="shared" si="51"/>
        <v>0</v>
      </c>
      <c r="AW74" s="5">
        <f t="shared" si="51"/>
        <v>2290</v>
      </c>
      <c r="AX74" s="5">
        <f t="shared" si="51"/>
        <v>0</v>
      </c>
      <c r="AY74" s="5">
        <f t="shared" si="51"/>
        <v>0</v>
      </c>
      <c r="AZ74" s="5">
        <f t="shared" si="51"/>
        <v>404640</v>
      </c>
      <c r="BA74" s="5">
        <f t="shared" si="51"/>
        <v>155698</v>
      </c>
      <c r="BB74" s="5">
        <f t="shared" si="51"/>
        <v>102557</v>
      </c>
      <c r="BC74" s="5">
        <f t="shared" si="51"/>
        <v>102557</v>
      </c>
      <c r="BD74" s="5">
        <f t="shared" si="51"/>
        <v>0</v>
      </c>
      <c r="BE74" s="5">
        <f t="shared" si="51"/>
        <v>84275</v>
      </c>
      <c r="BF74" s="5">
        <f t="shared" si="51"/>
        <v>3084028</v>
      </c>
      <c r="BG74" s="6">
        <f>BG8+BG14+BG20+BG26+BG32+BG38+BG44+BG50+BG56+BG62+BG68</f>
        <v>18203541</v>
      </c>
      <c r="BH74" s="127">
        <f>AC74+BG74</f>
        <v>47530792</v>
      </c>
      <c r="BI74" s="5">
        <f t="shared" si="47"/>
        <v>2811409</v>
      </c>
      <c r="BJ74" s="51">
        <f t="shared" si="47"/>
        <v>44719383</v>
      </c>
      <c r="BK74" s="30">
        <f>'Upto Month Current'!N61-'Upto Month Current'!M61</f>
        <v>-44719376</v>
      </c>
    </row>
    <row r="75" spans="1:63" ht="15.75">
      <c r="A75" s="130"/>
      <c r="B75" s="5" t="s">
        <v>201</v>
      </c>
      <c r="C75" s="128">
        <f t="shared" ref="C75:AH75" si="52">C74/C71</f>
        <v>0.53688551755588376</v>
      </c>
      <c r="D75" s="128">
        <f t="shared" si="52"/>
        <v>1.4835218251658713</v>
      </c>
      <c r="E75" s="128">
        <f t="shared" si="52"/>
        <v>0.49918916063343372</v>
      </c>
      <c r="F75" s="128">
        <f t="shared" si="52"/>
        <v>0.58698507248316967</v>
      </c>
      <c r="G75" s="128">
        <f t="shared" si="52"/>
        <v>0.77333694002059106</v>
      </c>
      <c r="H75" s="128">
        <f t="shared" si="52"/>
        <v>0.68282399089722579</v>
      </c>
      <c r="I75" s="128" t="e">
        <f t="shared" si="52"/>
        <v>#DIV/0!</v>
      </c>
      <c r="J75" s="128">
        <f t="shared" si="52"/>
        <v>1.4152836757788319</v>
      </c>
      <c r="K75" s="128">
        <f t="shared" si="52"/>
        <v>0.53606617647058818</v>
      </c>
      <c r="L75" s="128">
        <f t="shared" si="52"/>
        <v>0.97402200419796081</v>
      </c>
      <c r="M75" s="128">
        <f t="shared" si="52"/>
        <v>0.76443768508995091</v>
      </c>
      <c r="N75" s="128">
        <f t="shared" si="52"/>
        <v>0.13487435790642788</v>
      </c>
      <c r="O75" s="128">
        <f t="shared" si="52"/>
        <v>0.55463732825294287</v>
      </c>
      <c r="P75" s="128">
        <f t="shared" si="52"/>
        <v>0.81972619047619044</v>
      </c>
      <c r="Q75" s="128" t="e">
        <f t="shared" si="52"/>
        <v>#DIV/0!</v>
      </c>
      <c r="R75" s="128">
        <f t="shared" si="52"/>
        <v>0.81333333333333335</v>
      </c>
      <c r="S75" s="128">
        <f t="shared" si="52"/>
        <v>0.61797727764411259</v>
      </c>
      <c r="T75" s="128">
        <f t="shared" si="52"/>
        <v>0.52850040904910278</v>
      </c>
      <c r="U75" s="128" t="e">
        <f t="shared" si="52"/>
        <v>#DIV/0!</v>
      </c>
      <c r="V75" s="128">
        <f t="shared" si="52"/>
        <v>0.31662204534112559</v>
      </c>
      <c r="W75" s="128">
        <f t="shared" si="52"/>
        <v>0.16396396396396395</v>
      </c>
      <c r="X75" s="128">
        <f t="shared" si="52"/>
        <v>0</v>
      </c>
      <c r="Y75" s="128">
        <f t="shared" si="52"/>
        <v>5.2750337051109204</v>
      </c>
      <c r="Z75" s="128">
        <f t="shared" si="52"/>
        <v>8.3021126760563373</v>
      </c>
      <c r="AA75" s="128">
        <f t="shared" si="52"/>
        <v>0.27614680941040309</v>
      </c>
      <c r="AB75" s="128">
        <f t="shared" si="52"/>
        <v>0.12445953051976059</v>
      </c>
      <c r="AC75" s="128">
        <f t="shared" si="52"/>
        <v>0.67279688035242535</v>
      </c>
      <c r="AD75" s="128">
        <f t="shared" si="52"/>
        <v>9.5958409924609897E-3</v>
      </c>
      <c r="AE75" s="128">
        <f t="shared" si="52"/>
        <v>0.41699392335992724</v>
      </c>
      <c r="AF75" s="128">
        <f t="shared" si="52"/>
        <v>0.75296433123074191</v>
      </c>
      <c r="AG75" s="128" t="e">
        <f t="shared" si="52"/>
        <v>#DIV/0!</v>
      </c>
      <c r="AH75" s="128">
        <f t="shared" si="52"/>
        <v>0</v>
      </c>
      <c r="AI75" s="128">
        <f t="shared" ref="AI75:BJ75" si="53">AI74/AI71</f>
        <v>1.5701316386745348</v>
      </c>
      <c r="AJ75" s="128">
        <f t="shared" si="53"/>
        <v>0.89608382901758987</v>
      </c>
      <c r="AK75" s="128">
        <f t="shared" si="53"/>
        <v>0.51816544157013911</v>
      </c>
      <c r="AL75" s="128">
        <f t="shared" si="53"/>
        <v>1.466514598540146</v>
      </c>
      <c r="AM75" s="128">
        <f t="shared" si="53"/>
        <v>2.8476985559566788</v>
      </c>
      <c r="AN75" s="128">
        <f t="shared" si="53"/>
        <v>0.79880200812772884</v>
      </c>
      <c r="AO75" s="128">
        <f t="shared" si="53"/>
        <v>-3.9324131348334707E-2</v>
      </c>
      <c r="AP75" s="128">
        <f t="shared" si="53"/>
        <v>1.7410847708878767</v>
      </c>
      <c r="AQ75" s="128">
        <f t="shared" si="53"/>
        <v>1.480652354317588E-2</v>
      </c>
      <c r="AR75" s="128" t="e">
        <f t="shared" si="53"/>
        <v>#DIV/0!</v>
      </c>
      <c r="AS75" s="128" t="e">
        <f t="shared" si="53"/>
        <v>#DIV/0!</v>
      </c>
      <c r="AT75" s="128">
        <f t="shared" si="53"/>
        <v>1.5140914052223559E-2</v>
      </c>
      <c r="AU75" s="128">
        <f t="shared" si="53"/>
        <v>0</v>
      </c>
      <c r="AV75" s="128">
        <f t="shared" si="53"/>
        <v>0</v>
      </c>
      <c r="AW75" s="128">
        <f t="shared" si="53"/>
        <v>0.16956682710107368</v>
      </c>
      <c r="AX75" s="128">
        <f t="shared" si="53"/>
        <v>0</v>
      </c>
      <c r="AY75" s="128">
        <f t="shared" si="53"/>
        <v>0</v>
      </c>
      <c r="AZ75" s="128">
        <f t="shared" si="53"/>
        <v>0.4096400666535735</v>
      </c>
      <c r="BA75" s="128">
        <f t="shared" si="53"/>
        <v>0.20594973544973544</v>
      </c>
      <c r="BB75" s="128">
        <f t="shared" si="53"/>
        <v>1.4226047634240058</v>
      </c>
      <c r="BC75" s="128">
        <f t="shared" si="53"/>
        <v>1.4210081472039018</v>
      </c>
      <c r="BD75" s="128">
        <f t="shared" si="53"/>
        <v>0</v>
      </c>
      <c r="BE75" s="128">
        <f t="shared" si="53"/>
        <v>2.4903959810874703</v>
      </c>
      <c r="BF75" s="128">
        <f t="shared" si="53"/>
        <v>4.2136763187351586E-2</v>
      </c>
      <c r="BG75" s="128">
        <f t="shared" si="53"/>
        <v>0.17039964310652786</v>
      </c>
      <c r="BH75" s="128">
        <f t="shared" si="53"/>
        <v>0.31599019078548868</v>
      </c>
      <c r="BI75" s="128">
        <f t="shared" si="53"/>
        <v>3.8495094458504166E-2</v>
      </c>
      <c r="BJ75" s="128">
        <f t="shared" si="53"/>
        <v>0.57787692995078721</v>
      </c>
    </row>
    <row r="76" spans="1:63">
      <c r="BF76" s="30">
        <f>BF74-BF68</f>
        <v>568124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2023-05-07T08:17:25Z</cp:lastPrinted>
  <dcterms:created xsi:type="dcterms:W3CDTF">2015-06-05T18:17:20Z</dcterms:created>
  <dcterms:modified xsi:type="dcterms:W3CDTF">2024-05-13T11:55:36Z</dcterms:modified>
</cp:coreProperties>
</file>