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ml.chartshapes+xml"/>
  <Override PartName="/xl/charts/chart22.xml" ContentType="application/vnd.openxmlformats-officedocument.drawingml.chart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drawings/drawing11.xml" ContentType="application/vnd.openxmlformats-officedocument.drawingml.chartshapes+xml"/>
  <Override PartName="/xl/charts/chart24.xml" ContentType="application/vnd.openxmlformats-officedocument.drawingml.chart+xml"/>
  <Override PartName="/xl/drawings/drawing12.xml" ContentType="application/vnd.openxmlformats-officedocument.drawingml.chartshapes+xml"/>
  <Override PartName="/xl/charts/chart25.xml" ContentType="application/vnd.openxmlformats-officedocument.drawingml.chart+xml"/>
  <Override PartName="/xl/drawings/drawing13.xml" ContentType="application/vnd.openxmlformats-officedocument.drawingml.chartshapes+xml"/>
  <Override PartName="/xl/charts/chart26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5390786C-7D77-40F2-9638-D284647CF84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VITAL (Ear.+Exp.) Dec-21" sheetId="6" r:id="rId1"/>
    <sheet name="MOD-I (EARNING) Dec-21" sheetId="2" r:id="rId2"/>
    <sheet name="MOD-II (EARNING) Dec-21" sheetId="1" r:id="rId3"/>
    <sheet name="Sheet1" sheetId="8" r:id="rId4"/>
    <sheet name="Position up to Dec-21" sheetId="15" r:id="rId5"/>
    <sheet name="Source wise Dec-21" sheetId="16" r:id="rId6"/>
  </sheets>
  <externalReferences>
    <externalReference r:id="rId7"/>
    <externalReference r:id="rId8"/>
  </externalReferences>
  <definedNames>
    <definedName name="_xlnm.Print_Area" localSheetId="1">'MOD-I (EARNING) Dec-21'!$A$1:$AB$54</definedName>
    <definedName name="_xlnm.Print_Area" localSheetId="2">'MOD-II (EARNING) Dec-21'!$A$1:$AC$63</definedName>
    <definedName name="_xlnm.Print_Area" localSheetId="0">'VITAL (Ear.+Exp.) Dec-21'!$A$1:$AL$51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4" i="1" l="1"/>
  <c r="X49" i="1" s="1"/>
  <c r="D68" i="8"/>
  <c r="AE43" i="6"/>
  <c r="AE39" i="6"/>
  <c r="AE40" i="6"/>
  <c r="AE23" i="6"/>
  <c r="AE22" i="6"/>
  <c r="R36" i="6"/>
  <c r="P44" i="2" l="1"/>
  <c r="D15" i="1"/>
  <c r="S38" i="6"/>
  <c r="Z50" i="6"/>
  <c r="AG39" i="6"/>
  <c r="C15" i="1"/>
  <c r="J15" i="1" s="1"/>
  <c r="X11" i="1"/>
  <c r="W11" i="1"/>
  <c r="V11" i="1"/>
  <c r="T11" i="1"/>
  <c r="S11" i="1"/>
  <c r="X9" i="1"/>
  <c r="W9" i="1"/>
  <c r="V9" i="1"/>
  <c r="T9" i="1"/>
  <c r="S9" i="1"/>
  <c r="H9" i="1"/>
  <c r="G9" i="1"/>
  <c r="F9" i="1"/>
  <c r="D9" i="1"/>
  <c r="C9" i="1"/>
  <c r="X8" i="1"/>
  <c r="W8" i="1"/>
  <c r="V8" i="1"/>
  <c r="T8" i="1"/>
  <c r="S8" i="1"/>
  <c r="H8" i="1"/>
  <c r="G8" i="1"/>
  <c r="F8" i="1"/>
  <c r="D8" i="1"/>
  <c r="C8" i="1"/>
  <c r="X7" i="1"/>
  <c r="W7" i="1"/>
  <c r="V7" i="1"/>
  <c r="T7" i="1"/>
  <c r="S7" i="1"/>
  <c r="H7" i="1"/>
  <c r="G7" i="1"/>
  <c r="F7" i="1"/>
  <c r="D7" i="1"/>
  <c r="C7" i="1"/>
  <c r="X6" i="1"/>
  <c r="W6" i="1"/>
  <c r="V6" i="1"/>
  <c r="T6" i="1"/>
  <c r="S6" i="1"/>
  <c r="H6" i="1"/>
  <c r="G6" i="1"/>
  <c r="F6" i="1"/>
  <c r="D6" i="1"/>
  <c r="C6" i="1"/>
  <c r="I16" i="1"/>
  <c r="E49" i="8"/>
  <c r="E50" i="8"/>
  <c r="V69" i="1"/>
  <c r="V31" i="1"/>
  <c r="F24" i="1"/>
  <c r="F25" i="1"/>
  <c r="H24" i="1"/>
  <c r="E41" i="6"/>
  <c r="D41" i="6"/>
  <c r="E15" i="6"/>
  <c r="AH36" i="6"/>
  <c r="AJ35" i="6"/>
  <c r="Y44" i="1"/>
  <c r="W44" i="1"/>
  <c r="O38" i="2"/>
  <c r="O39" i="2"/>
  <c r="O40" i="2"/>
  <c r="O41" i="2"/>
  <c r="O42" i="2"/>
  <c r="O43" i="2"/>
  <c r="O44" i="2"/>
  <c r="V33" i="1"/>
  <c r="Z30" i="1"/>
  <c r="Z29" i="1"/>
  <c r="Y30" i="1"/>
  <c r="Y29" i="1"/>
  <c r="F34" i="1"/>
  <c r="E7" i="15"/>
  <c r="E8" i="15"/>
  <c r="E9" i="15"/>
  <c r="I7" i="15"/>
  <c r="I8" i="15"/>
  <c r="I9" i="15"/>
  <c r="G36" i="8" l="1"/>
  <c r="C6" i="2"/>
  <c r="C7" i="2"/>
  <c r="C8" i="2"/>
  <c r="C5" i="2"/>
  <c r="P25" i="6" l="1"/>
  <c r="P27" i="6" s="1"/>
  <c r="J37" i="6" l="1"/>
  <c r="E30" i="6"/>
  <c r="B41" i="6"/>
  <c r="D30" i="6"/>
  <c r="V38" i="6"/>
  <c r="I33" i="2"/>
  <c r="W38" i="6"/>
  <c r="W40" i="6" s="1"/>
  <c r="W43" i="6" s="1"/>
  <c r="W18" i="6"/>
  <c r="W20" i="6" s="1"/>
  <c r="W44" i="6" l="1"/>
  <c r="O25" i="6" l="1"/>
  <c r="O27" i="6" s="1"/>
  <c r="P14" i="6"/>
  <c r="P16" i="6" s="1"/>
  <c r="C41" i="6"/>
  <c r="C30" i="6"/>
  <c r="C15" i="6" l="1"/>
  <c r="AG45" i="6" l="1"/>
  <c r="F8" i="2"/>
  <c r="H34" i="1"/>
  <c r="I34" i="1" s="1"/>
  <c r="G32" i="1"/>
  <c r="H28" i="2"/>
  <c r="H25" i="2"/>
  <c r="H24" i="2"/>
  <c r="F32" i="2"/>
  <c r="F33" i="2"/>
  <c r="H33" i="2" s="1"/>
  <c r="F31" i="2"/>
  <c r="G32" i="2"/>
  <c r="G31" i="2"/>
  <c r="H32" i="1" s="1"/>
  <c r="E32" i="2"/>
  <c r="F33" i="1" s="1"/>
  <c r="E31" i="2"/>
  <c r="I24" i="2"/>
  <c r="I25" i="2"/>
  <c r="I26" i="2"/>
  <c r="I27" i="2"/>
  <c r="I28" i="2"/>
  <c r="I29" i="2"/>
  <c r="I23" i="2"/>
  <c r="Z31" i="1"/>
  <c r="S19" i="2"/>
  <c r="Q44" i="2"/>
  <c r="B5" i="2"/>
  <c r="R5" i="2"/>
  <c r="G5" i="2"/>
  <c r="F5" i="2"/>
  <c r="E5" i="2"/>
  <c r="U7" i="2"/>
  <c r="S7" i="2"/>
  <c r="R7" i="2"/>
  <c r="G7" i="2"/>
  <c r="F7" i="2"/>
  <c r="E7" i="2"/>
  <c r="B7" i="2"/>
  <c r="W6" i="2"/>
  <c r="V6" i="2"/>
  <c r="U6" i="2"/>
  <c r="S6" i="2"/>
  <c r="R6" i="2"/>
  <c r="G6" i="2"/>
  <c r="F6" i="2"/>
  <c r="E6" i="2"/>
  <c r="B6" i="2"/>
  <c r="W5" i="2"/>
  <c r="V5" i="2"/>
  <c r="U5" i="2"/>
  <c r="S5" i="2"/>
  <c r="AH31" i="6"/>
  <c r="U44" i="1"/>
  <c r="U49" i="1" s="1"/>
  <c r="S28" i="1"/>
  <c r="D13" i="16"/>
  <c r="C91" i="8"/>
  <c r="C33" i="8"/>
  <c r="C34" i="8"/>
  <c r="C24" i="8"/>
  <c r="C25" i="8"/>
  <c r="C26" i="8"/>
  <c r="C27" i="8"/>
  <c r="C28" i="8"/>
  <c r="C29" i="8"/>
  <c r="C30" i="8"/>
  <c r="C31" i="8"/>
  <c r="C32" i="8"/>
  <c r="C23" i="8"/>
  <c r="C22" i="8"/>
  <c r="H27" i="2"/>
  <c r="F37" i="6"/>
  <c r="F39" i="6"/>
  <c r="Y51" i="6"/>
  <c r="R42" i="2"/>
  <c r="AA17" i="6"/>
  <c r="V18" i="6"/>
  <c r="C39" i="1"/>
  <c r="C40" i="1"/>
  <c r="C41" i="1"/>
  <c r="C42" i="1"/>
  <c r="C43" i="1"/>
  <c r="C38" i="1"/>
  <c r="C33" i="1"/>
  <c r="C34" i="1"/>
  <c r="C32" i="1"/>
  <c r="AC36" i="6"/>
  <c r="AC47" i="6"/>
  <c r="V34" i="1"/>
  <c r="D31" i="8"/>
  <c r="E31" i="8" s="1"/>
  <c r="AL30" i="6"/>
  <c r="AK30" i="6"/>
  <c r="AJ30" i="6"/>
  <c r="AK18" i="6"/>
  <c r="AJ34" i="6"/>
  <c r="AJ40" i="6"/>
  <c r="AJ41" i="6"/>
  <c r="AJ42" i="6"/>
  <c r="AJ43" i="6"/>
  <c r="AJ44" i="6"/>
  <c r="AJ45" i="6"/>
  <c r="AJ46" i="6"/>
  <c r="AG52" i="6"/>
  <c r="AG51" i="6"/>
  <c r="AG50" i="6"/>
  <c r="AG49" i="6"/>
  <c r="T19" i="2"/>
  <c r="T15" i="2"/>
  <c r="Z15" i="2" s="1"/>
  <c r="T16" i="2"/>
  <c r="Z16" i="2" s="1"/>
  <c r="T17" i="2"/>
  <c r="Z17" i="2" s="1"/>
  <c r="T14" i="2"/>
  <c r="Z14" i="2" s="1"/>
  <c r="W10" i="2"/>
  <c r="W7" i="2"/>
  <c r="W8" i="2"/>
  <c r="R14" i="6"/>
  <c r="R16" i="6" s="1"/>
  <c r="D17" i="2"/>
  <c r="J17" i="2" s="1"/>
  <c r="G8" i="2"/>
  <c r="E8" i="2"/>
  <c r="H25" i="1"/>
  <c r="H26" i="1"/>
  <c r="H27" i="1"/>
  <c r="F26" i="1"/>
  <c r="F27" i="1"/>
  <c r="Y25" i="1"/>
  <c r="Y26" i="1"/>
  <c r="AG40" i="6"/>
  <c r="AG41" i="6"/>
  <c r="AG42" i="6"/>
  <c r="AG43" i="6"/>
  <c r="AG44" i="6"/>
  <c r="AG46" i="6"/>
  <c r="AF36" i="6"/>
  <c r="AE36" i="6"/>
  <c r="Z36" i="6"/>
  <c r="I31" i="2" l="1"/>
  <c r="G17" i="2"/>
  <c r="H32" i="2"/>
  <c r="I32" i="2"/>
  <c r="H31" i="2"/>
  <c r="J27" i="1"/>
  <c r="J26" i="1"/>
  <c r="J25" i="1"/>
  <c r="J24" i="1"/>
  <c r="H33" i="1"/>
  <c r="I33" i="1" s="1"/>
  <c r="I32" i="1"/>
  <c r="F32" i="1"/>
  <c r="J32" i="1" s="1"/>
  <c r="J34" i="1"/>
  <c r="C14" i="2"/>
  <c r="D24" i="2"/>
  <c r="S14" i="2"/>
  <c r="T14" i="1"/>
  <c r="H29" i="1"/>
  <c r="H30" i="1"/>
  <c r="H28" i="1"/>
  <c r="G29" i="1"/>
  <c r="G30" i="1"/>
  <c r="G28" i="1"/>
  <c r="F29" i="1"/>
  <c r="F30" i="1"/>
  <c r="F28" i="1"/>
  <c r="D14" i="8"/>
  <c r="F14" i="8" s="1"/>
  <c r="D15" i="8"/>
  <c r="D13" i="8"/>
  <c r="F13" i="8" s="1"/>
  <c r="G10" i="15"/>
  <c r="B10" i="15"/>
  <c r="J6" i="16"/>
  <c r="J7" i="16"/>
  <c r="J9" i="16"/>
  <c r="J11" i="16"/>
  <c r="T15" i="1"/>
  <c r="AB57" i="1"/>
  <c r="Z47" i="1"/>
  <c r="X18" i="6"/>
  <c r="AK46" i="6"/>
  <c r="AI47" i="6"/>
  <c r="AH47" i="6"/>
  <c r="AF47" i="6"/>
  <c r="AE31" i="6"/>
  <c r="AG30" i="6"/>
  <c r="AC31" i="6"/>
  <c r="AC37" i="6" s="1"/>
  <c r="J33" i="1" l="1"/>
  <c r="J29" i="1"/>
  <c r="J30" i="1"/>
  <c r="J28" i="1"/>
  <c r="AJ47" i="6"/>
  <c r="D17" i="8"/>
  <c r="F17" i="8" s="1"/>
  <c r="F15" i="8"/>
  <c r="U74" i="1" l="1"/>
  <c r="G38" i="2"/>
  <c r="S13" i="2"/>
  <c r="R13" i="2"/>
  <c r="T13" i="2"/>
  <c r="AE4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7" i="6"/>
  <c r="D48" i="1"/>
  <c r="G39" i="1"/>
  <c r="G40" i="1"/>
  <c r="G41" i="1"/>
  <c r="G42" i="1"/>
  <c r="G43" i="1"/>
  <c r="G38" i="1"/>
  <c r="D14" i="2"/>
  <c r="J14" i="2" s="1"/>
  <c r="X23" i="6"/>
  <c r="D24" i="6"/>
  <c r="E24" i="6" s="1"/>
  <c r="C13" i="16"/>
  <c r="H13" i="16"/>
  <c r="I12" i="16"/>
  <c r="G13" i="16"/>
  <c r="F12" i="16"/>
  <c r="E13" i="16"/>
  <c r="I11" i="16"/>
  <c r="F11" i="16"/>
  <c r="I10" i="16"/>
  <c r="F10" i="16"/>
  <c r="I9" i="16"/>
  <c r="F9" i="16"/>
  <c r="I8" i="16"/>
  <c r="F8" i="16"/>
  <c r="I7" i="16"/>
  <c r="F7" i="16"/>
  <c r="I6" i="16"/>
  <c r="F6" i="16"/>
  <c r="I5" i="16"/>
  <c r="J7" i="15"/>
  <c r="J8" i="15"/>
  <c r="J9" i="15"/>
  <c r="J6" i="15"/>
  <c r="E6" i="15"/>
  <c r="I6" i="15"/>
  <c r="D7" i="15"/>
  <c r="D8" i="15"/>
  <c r="D9" i="15"/>
  <c r="D6" i="15"/>
  <c r="H10" i="15"/>
  <c r="I10" i="15" s="1"/>
  <c r="C10" i="15"/>
  <c r="C35" i="8"/>
  <c r="C38" i="8" s="1"/>
  <c r="F8" i="6"/>
  <c r="F9" i="6"/>
  <c r="F10" i="6"/>
  <c r="F11" i="6"/>
  <c r="F12" i="6"/>
  <c r="F13" i="6"/>
  <c r="F14" i="6"/>
  <c r="Z41" i="6"/>
  <c r="Z39" i="6"/>
  <c r="Y18" i="6"/>
  <c r="AF31" i="6"/>
  <c r="AL12" i="6"/>
  <c r="R37" i="2"/>
  <c r="Z26" i="1"/>
  <c r="Z25" i="1"/>
  <c r="F39" i="2"/>
  <c r="F40" i="2"/>
  <c r="F41" i="2"/>
  <c r="F42" i="2"/>
  <c r="F43" i="2"/>
  <c r="F38" i="2"/>
  <c r="D10" i="15" l="1"/>
  <c r="E10" i="15"/>
  <c r="H38" i="2"/>
  <c r="AL47" i="6"/>
  <c r="AG47" i="6"/>
  <c r="J13" i="16"/>
  <c r="U15" i="1"/>
  <c r="AA15" i="1" s="1"/>
  <c r="E15" i="1"/>
  <c r="K15" i="1" s="1"/>
  <c r="J10" i="15"/>
  <c r="I13" i="16"/>
  <c r="AE37" i="6"/>
  <c r="F13" i="16"/>
  <c r="F5" i="16"/>
  <c r="J5" i="16"/>
  <c r="AD52" i="6"/>
  <c r="T74" i="1" l="1"/>
  <c r="V73" i="1"/>
  <c r="V72" i="1"/>
  <c r="V71" i="1"/>
  <c r="V70" i="1"/>
  <c r="V68" i="1"/>
  <c r="V67" i="1"/>
  <c r="V74" i="1" l="1"/>
  <c r="C4" i="8" l="1"/>
  <c r="D4" i="8"/>
  <c r="G4" i="8"/>
  <c r="O4" i="8" s="1"/>
  <c r="H4" i="8"/>
  <c r="I4" i="8"/>
  <c r="P4" i="8" s="1"/>
  <c r="C5" i="8"/>
  <c r="D5" i="8"/>
  <c r="F5" i="8" s="1"/>
  <c r="G5" i="8"/>
  <c r="O5" i="8" s="1"/>
  <c r="H5" i="8"/>
  <c r="I5" i="8"/>
  <c r="P5" i="8" s="1"/>
  <c r="C6" i="8"/>
  <c r="D6" i="8"/>
  <c r="G6" i="8"/>
  <c r="O6" i="8" s="1"/>
  <c r="H6" i="8"/>
  <c r="I6" i="8"/>
  <c r="P6" i="8" s="1"/>
  <c r="C7" i="8"/>
  <c r="D7" i="8"/>
  <c r="G7" i="8"/>
  <c r="O7" i="8" s="1"/>
  <c r="H7" i="8"/>
  <c r="I7" i="8"/>
  <c r="P7" i="8" s="1"/>
  <c r="D37" i="8"/>
  <c r="E37" i="8" s="1"/>
  <c r="D36" i="8"/>
  <c r="E36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2" i="8"/>
  <c r="E32" i="8" s="1"/>
  <c r="D34" i="8"/>
  <c r="E34" i="8" s="1"/>
  <c r="D22" i="8"/>
  <c r="E22" i="8" s="1"/>
  <c r="U7" i="8" l="1"/>
  <c r="U4" i="8"/>
  <c r="R4" i="8"/>
  <c r="S4" i="8" s="1"/>
  <c r="T4" i="8" s="1"/>
  <c r="E4" i="8"/>
  <c r="F4" i="8"/>
  <c r="U6" i="8"/>
  <c r="W6" i="8"/>
  <c r="X6" i="8" s="1"/>
  <c r="Y6" i="8" s="1"/>
  <c r="R5" i="8"/>
  <c r="S5" i="8" s="1"/>
  <c r="T5" i="8" s="1"/>
  <c r="U5" i="8"/>
  <c r="W4" i="8"/>
  <c r="X4" i="8" s="1"/>
  <c r="Y4" i="8" s="1"/>
  <c r="W5" i="8"/>
  <c r="X5" i="8" s="1"/>
  <c r="Y5" i="8" s="1"/>
  <c r="W7" i="8"/>
  <c r="X7" i="8" s="1"/>
  <c r="Y7" i="8" s="1"/>
  <c r="C8" i="8"/>
  <c r="E6" i="8"/>
  <c r="F6" i="8"/>
  <c r="E7" i="8"/>
  <c r="J5" i="8"/>
  <c r="K5" i="8" s="1"/>
  <c r="L5" i="8"/>
  <c r="M5" i="8" s="1"/>
  <c r="J6" i="8"/>
  <c r="K6" i="8" s="1"/>
  <c r="E5" i="8"/>
  <c r="L7" i="8"/>
  <c r="M7" i="8" s="1"/>
  <c r="G8" i="8"/>
  <c r="O8" i="8" s="1"/>
  <c r="J7" i="8"/>
  <c r="K7" i="8" s="1"/>
  <c r="H8" i="8"/>
  <c r="J4" i="8"/>
  <c r="K4" i="8" s="1"/>
  <c r="I8" i="8"/>
  <c r="P8" i="8" s="1"/>
  <c r="F7" i="8"/>
  <c r="D8" i="8"/>
  <c r="L6" i="8"/>
  <c r="M6" i="8" s="1"/>
  <c r="L4" i="8"/>
  <c r="M4" i="8" s="1"/>
  <c r="AG29" i="6"/>
  <c r="AG23" i="6"/>
  <c r="W8" i="8" l="1"/>
  <c r="X8" i="8" s="1"/>
  <c r="Y8" i="8" s="1"/>
  <c r="U8" i="8"/>
  <c r="J8" i="8"/>
  <c r="K8" i="8" s="1"/>
  <c r="L8" i="8"/>
  <c r="M8" i="8" s="1"/>
  <c r="F8" i="8"/>
  <c r="E8" i="8"/>
  <c r="D15" i="2"/>
  <c r="J15" i="2" s="1"/>
  <c r="D16" i="2"/>
  <c r="J16" i="2" s="1"/>
  <c r="G15" i="2" l="1"/>
  <c r="G16" i="2"/>
  <c r="D18" i="2"/>
  <c r="J18" i="2" s="1"/>
  <c r="T18" i="2"/>
  <c r="Z18" i="2" s="1"/>
  <c r="X38" i="6"/>
  <c r="U16" i="1"/>
  <c r="AA16" i="1" s="1"/>
  <c r="U17" i="1"/>
  <c r="AA17" i="1" s="1"/>
  <c r="U18" i="1"/>
  <c r="AA18" i="1" s="1"/>
  <c r="E16" i="1"/>
  <c r="K16" i="1" s="1"/>
  <c r="E17" i="1"/>
  <c r="K17" i="1" s="1"/>
  <c r="E18" i="1"/>
  <c r="K18" i="1" s="1"/>
  <c r="AE50" i="6" l="1"/>
  <c r="X40" i="6"/>
  <c r="H53" i="8" l="1"/>
  <c r="H54" i="8"/>
  <c r="G54" i="8"/>
  <c r="G53" i="8"/>
  <c r="E54" i="8"/>
  <c r="E53" i="8"/>
  <c r="D53" i="8"/>
  <c r="D54" i="8"/>
  <c r="H85" i="8" l="1"/>
  <c r="H86" i="8"/>
  <c r="H87" i="8"/>
  <c r="H88" i="8"/>
  <c r="H89" i="8"/>
  <c r="H90" i="8"/>
  <c r="H91" i="8"/>
  <c r="G86" i="8"/>
  <c r="G87" i="8"/>
  <c r="G88" i="8"/>
  <c r="G89" i="8"/>
  <c r="G90" i="8"/>
  <c r="G91" i="8"/>
  <c r="G85" i="8"/>
  <c r="E85" i="8"/>
  <c r="E86" i="8"/>
  <c r="E87" i="8"/>
  <c r="E88" i="8"/>
  <c r="E89" i="8"/>
  <c r="E90" i="8"/>
  <c r="E91" i="8"/>
  <c r="D86" i="8"/>
  <c r="D87" i="8"/>
  <c r="D88" i="8"/>
  <c r="D89" i="8"/>
  <c r="D90" i="8"/>
  <c r="D91" i="8"/>
  <c r="C86" i="8"/>
  <c r="C87" i="8"/>
  <c r="C88" i="8"/>
  <c r="C89" i="8"/>
  <c r="C90" i="8"/>
  <c r="C85" i="8"/>
  <c r="D16" i="1"/>
  <c r="D17" i="1"/>
  <c r="D18" i="1"/>
  <c r="C16" i="1"/>
  <c r="J16" i="1" s="1"/>
  <c r="C17" i="1"/>
  <c r="J17" i="1" s="1"/>
  <c r="C18" i="1"/>
  <c r="J18" i="1" s="1"/>
  <c r="J48" i="1"/>
  <c r="J49" i="1"/>
  <c r="J50" i="1"/>
  <c r="J51" i="1"/>
  <c r="J52" i="1"/>
  <c r="J53" i="1"/>
  <c r="J54" i="1"/>
  <c r="I49" i="1"/>
  <c r="I50" i="1"/>
  <c r="I51" i="1"/>
  <c r="I52" i="1"/>
  <c r="I53" i="1"/>
  <c r="I54" i="1"/>
  <c r="I48" i="1"/>
  <c r="G54" i="1"/>
  <c r="G49" i="1"/>
  <c r="G50" i="1"/>
  <c r="G51" i="1"/>
  <c r="G52" i="1"/>
  <c r="G53" i="1"/>
  <c r="G48" i="1"/>
  <c r="F49" i="1"/>
  <c r="F50" i="1"/>
  <c r="F51" i="1"/>
  <c r="F52" i="1"/>
  <c r="F53" i="1"/>
  <c r="F54" i="1"/>
  <c r="F48" i="1"/>
  <c r="D49" i="1"/>
  <c r="D50" i="1"/>
  <c r="D51" i="1"/>
  <c r="D52" i="1"/>
  <c r="D53" i="1"/>
  <c r="D54" i="1"/>
  <c r="C49" i="1"/>
  <c r="C50" i="1"/>
  <c r="C51" i="1"/>
  <c r="C52" i="1"/>
  <c r="C53" i="1"/>
  <c r="C54" i="1"/>
  <c r="C48" i="1"/>
  <c r="F16" i="8"/>
  <c r="E48" i="8"/>
  <c r="E51" i="8"/>
  <c r="E52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H48" i="8"/>
  <c r="H49" i="8"/>
  <c r="H50" i="8"/>
  <c r="H51" i="8"/>
  <c r="H52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G66" i="8"/>
  <c r="G67" i="8"/>
  <c r="G68" i="8"/>
  <c r="G65" i="8"/>
  <c r="G64" i="8"/>
  <c r="G63" i="8"/>
  <c r="G62" i="8"/>
  <c r="D66" i="8"/>
  <c r="D67" i="8"/>
  <c r="D65" i="8"/>
  <c r="D64" i="8"/>
  <c r="D63" i="8"/>
  <c r="D62" i="8"/>
  <c r="C66" i="8"/>
  <c r="C67" i="8"/>
  <c r="C68" i="8"/>
  <c r="C65" i="8"/>
  <c r="C64" i="8"/>
  <c r="C63" i="8"/>
  <c r="C62" i="8"/>
  <c r="C61" i="8"/>
  <c r="H76" i="8"/>
  <c r="H77" i="8"/>
  <c r="H78" i="8"/>
  <c r="G77" i="8"/>
  <c r="G78" i="8"/>
  <c r="G76" i="8"/>
  <c r="E77" i="8"/>
  <c r="E78" i="8"/>
  <c r="D77" i="8"/>
  <c r="D78" i="8"/>
  <c r="D76" i="8"/>
  <c r="C76" i="8"/>
  <c r="C79" i="8" s="1"/>
  <c r="X92" i="6"/>
  <c r="Z92" i="6" s="1"/>
  <c r="AA92" i="6" s="1"/>
  <c r="X91" i="6"/>
  <c r="Z91" i="6" s="1"/>
  <c r="AA91" i="6" s="1"/>
  <c r="X90" i="6"/>
  <c r="Z90" i="6" s="1"/>
  <c r="AA90" i="6" s="1"/>
  <c r="X89" i="6"/>
  <c r="Z89" i="6" s="1"/>
  <c r="AA89" i="6" s="1"/>
  <c r="X88" i="6"/>
  <c r="Z88" i="6" s="1"/>
  <c r="AA88" i="6" s="1"/>
  <c r="X87" i="6"/>
  <c r="Z87" i="6" s="1"/>
  <c r="AA87" i="6" s="1"/>
  <c r="X86" i="6"/>
  <c r="Z86" i="6" s="1"/>
  <c r="AA86" i="6" s="1"/>
  <c r="X85" i="6"/>
  <c r="Z85" i="6" s="1"/>
  <c r="AA85" i="6" s="1"/>
  <c r="X84" i="6"/>
  <c r="Z84" i="6" s="1"/>
  <c r="AA84" i="6" s="1"/>
  <c r="X83" i="6"/>
  <c r="Z83" i="6" s="1"/>
  <c r="AA83" i="6" s="1"/>
  <c r="X82" i="6"/>
  <c r="Z82" i="6" s="1"/>
  <c r="AA82" i="6" s="1"/>
  <c r="X81" i="6"/>
  <c r="Z81" i="6" s="1"/>
  <c r="AA81" i="6" s="1"/>
  <c r="X80" i="6"/>
  <c r="Z80" i="6" s="1"/>
  <c r="AA80" i="6" s="1"/>
  <c r="X79" i="6"/>
  <c r="Z79" i="6" s="1"/>
  <c r="AA79" i="6" s="1"/>
  <c r="X77" i="6"/>
  <c r="Z77" i="6" s="1"/>
  <c r="U77" i="6"/>
  <c r="X76" i="6"/>
  <c r="Z76" i="6" s="1"/>
  <c r="U76" i="6"/>
  <c r="X75" i="6"/>
  <c r="Z75" i="6" s="1"/>
  <c r="U75" i="6"/>
  <c r="X74" i="6"/>
  <c r="Z74" i="6" s="1"/>
  <c r="U74" i="6"/>
  <c r="X73" i="6"/>
  <c r="Z73" i="6" s="1"/>
  <c r="U73" i="6"/>
  <c r="X72" i="6"/>
  <c r="Z72" i="6" s="1"/>
  <c r="U72" i="6"/>
  <c r="X71" i="6"/>
  <c r="Z71" i="6" s="1"/>
  <c r="U71" i="6"/>
  <c r="F71" i="6"/>
  <c r="E71" i="6"/>
  <c r="D71" i="6"/>
  <c r="X70" i="6"/>
  <c r="Z70" i="6" s="1"/>
  <c r="U70" i="6"/>
  <c r="X69" i="6"/>
  <c r="Z69" i="6" s="1"/>
  <c r="U69" i="6"/>
  <c r="F69" i="6"/>
  <c r="E69" i="6"/>
  <c r="D69" i="6"/>
  <c r="X68" i="6"/>
  <c r="Z68" i="6" s="1"/>
  <c r="U68" i="6"/>
  <c r="F68" i="6"/>
  <c r="E68" i="6"/>
  <c r="D68" i="6"/>
  <c r="X67" i="6"/>
  <c r="Z67" i="6" s="1"/>
  <c r="U67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P62" i="6"/>
  <c r="O62" i="6"/>
  <c r="F62" i="6"/>
  <c r="E62" i="6"/>
  <c r="D62" i="6"/>
  <c r="AF61" i="6"/>
  <c r="Q61" i="6"/>
  <c r="P61" i="6"/>
  <c r="O61" i="6"/>
  <c r="F61" i="6"/>
  <c r="E61" i="6"/>
  <c r="D61" i="6"/>
  <c r="AH60" i="6"/>
  <c r="Q60" i="6"/>
  <c r="P60" i="6"/>
  <c r="O60" i="6"/>
  <c r="F60" i="6"/>
  <c r="E60" i="6"/>
  <c r="D60" i="6"/>
  <c r="AJ59" i="6"/>
  <c r="Q59" i="6"/>
  <c r="P59" i="6"/>
  <c r="O59" i="6"/>
  <c r="F59" i="6"/>
  <c r="E59" i="6"/>
  <c r="D59" i="6"/>
  <c r="Q58" i="6"/>
  <c r="P58" i="6"/>
  <c r="O58" i="6"/>
  <c r="Q55" i="6"/>
  <c r="P55" i="6"/>
  <c r="O55" i="6"/>
  <c r="AI54" i="6"/>
  <c r="AF52" i="6"/>
  <c r="AF51" i="6"/>
  <c r="AF50" i="6"/>
  <c r="X51" i="6"/>
  <c r="AF49" i="6"/>
  <c r="AL45" i="6"/>
  <c r="AK45" i="6"/>
  <c r="AK44" i="6"/>
  <c r="AL43" i="6"/>
  <c r="AK43" i="6"/>
  <c r="AK42" i="6"/>
  <c r="AB42" i="6"/>
  <c r="AA42" i="6"/>
  <c r="Z42" i="6"/>
  <c r="AT23" i="6" s="1"/>
  <c r="AL41" i="6"/>
  <c r="AK41" i="6"/>
  <c r="AB41" i="6"/>
  <c r="AA41" i="6"/>
  <c r="AL40" i="6"/>
  <c r="AK40" i="6"/>
  <c r="H40" i="6"/>
  <c r="G40" i="6"/>
  <c r="F40" i="6"/>
  <c r="AJ39" i="6"/>
  <c r="AK39" i="6"/>
  <c r="AB39" i="6"/>
  <c r="AA39" i="6"/>
  <c r="L39" i="6"/>
  <c r="G39" i="6"/>
  <c r="AC38" i="6"/>
  <c r="Y38" i="6"/>
  <c r="AQ19" i="6"/>
  <c r="G38" i="6"/>
  <c r="F38" i="6"/>
  <c r="AB37" i="6"/>
  <c r="AA37" i="6"/>
  <c r="Z37" i="6"/>
  <c r="AT17" i="6" s="1"/>
  <c r="G37" i="6"/>
  <c r="AI36" i="6"/>
  <c r="AB36" i="6"/>
  <c r="AA36" i="6"/>
  <c r="AT16" i="6"/>
  <c r="E36" i="6"/>
  <c r="D36" i="6"/>
  <c r="L40" i="6" s="1"/>
  <c r="I40" i="6" s="1"/>
  <c r="C36" i="6"/>
  <c r="K40" i="6" s="1"/>
  <c r="B36" i="6"/>
  <c r="AL35" i="6"/>
  <c r="AK35" i="6"/>
  <c r="AG35" i="6"/>
  <c r="AB35" i="6"/>
  <c r="AA35" i="6"/>
  <c r="Z35" i="6"/>
  <c r="AT15" i="6" s="1"/>
  <c r="E35" i="6"/>
  <c r="AL34" i="6"/>
  <c r="AK34" i="6"/>
  <c r="AG34" i="6"/>
  <c r="AB34" i="6"/>
  <c r="AA34" i="6"/>
  <c r="Z34" i="6"/>
  <c r="AT14" i="6" s="1"/>
  <c r="AL33" i="6"/>
  <c r="AK33" i="6"/>
  <c r="AJ33" i="6"/>
  <c r="AG36" i="6"/>
  <c r="AB32" i="6"/>
  <c r="AA32" i="6"/>
  <c r="Z32" i="6"/>
  <c r="AT13" i="6" s="1"/>
  <c r="AI31" i="6"/>
  <c r="AJ54" i="6"/>
  <c r="AB30" i="6"/>
  <c r="AA30" i="6"/>
  <c r="Z30" i="6"/>
  <c r="AT12" i="6" s="1"/>
  <c r="B30" i="6"/>
  <c r="AJ29" i="6"/>
  <c r="AB29" i="6"/>
  <c r="AA29" i="6"/>
  <c r="Z29" i="6"/>
  <c r="AT11" i="6" s="1"/>
  <c r="G29" i="6"/>
  <c r="F29" i="6"/>
  <c r="AL28" i="6"/>
  <c r="AK28" i="6"/>
  <c r="AJ28" i="6"/>
  <c r="AG28" i="6"/>
  <c r="AB28" i="6"/>
  <c r="AA28" i="6"/>
  <c r="Z28" i="6"/>
  <c r="AT10" i="6" s="1"/>
  <c r="G28" i="6"/>
  <c r="F28" i="6"/>
  <c r="AL27" i="6"/>
  <c r="AK27" i="6"/>
  <c r="AJ27" i="6"/>
  <c r="AG27" i="6"/>
  <c r="AB27" i="6"/>
  <c r="AA27" i="6"/>
  <c r="Z27" i="6"/>
  <c r="AT9" i="6" s="1"/>
  <c r="G27" i="6"/>
  <c r="F27" i="6"/>
  <c r="AL26" i="6"/>
  <c r="AK26" i="6"/>
  <c r="AJ26" i="6"/>
  <c r="AG26" i="6"/>
  <c r="AB26" i="6"/>
  <c r="AA26" i="6"/>
  <c r="Z26" i="6"/>
  <c r="AT8" i="6" s="1"/>
  <c r="G26" i="6"/>
  <c r="F26" i="6"/>
  <c r="AN25" i="6"/>
  <c r="AB25" i="6"/>
  <c r="AA25" i="6"/>
  <c r="Z25" i="6"/>
  <c r="AT7" i="6" s="1"/>
  <c r="R25" i="6"/>
  <c r="Q25" i="6"/>
  <c r="G40" i="8" s="1"/>
  <c r="D40" i="8"/>
  <c r="AL24" i="6"/>
  <c r="AK24" i="6"/>
  <c r="AJ24" i="6"/>
  <c r="AG24" i="6"/>
  <c r="V24" i="6"/>
  <c r="AQ5" i="6" s="1"/>
  <c r="T24" i="6"/>
  <c r="S24" i="6"/>
  <c r="C24" i="6"/>
  <c r="AS23" i="6"/>
  <c r="AR23" i="6"/>
  <c r="AQ23" i="6"/>
  <c r="AL23" i="6"/>
  <c r="AK23" i="6"/>
  <c r="AJ23" i="6"/>
  <c r="W23" i="6"/>
  <c r="T23" i="6"/>
  <c r="S23" i="6"/>
  <c r="AT22" i="6"/>
  <c r="AS22" i="6"/>
  <c r="AR22" i="6"/>
  <c r="AQ22" i="6"/>
  <c r="AL22" i="6"/>
  <c r="AK22" i="6"/>
  <c r="AJ22" i="6"/>
  <c r="AG22" i="6"/>
  <c r="AB22" i="6"/>
  <c r="T22" i="6"/>
  <c r="S22" i="6"/>
  <c r="E22" i="6"/>
  <c r="T21" i="6"/>
  <c r="S21" i="6"/>
  <c r="AT20" i="6"/>
  <c r="AS20" i="6"/>
  <c r="AR20" i="6"/>
  <c r="AQ20" i="6"/>
  <c r="AP20" i="6"/>
  <c r="AO20" i="6"/>
  <c r="AN20" i="6"/>
  <c r="AL20" i="6"/>
  <c r="AK20" i="6"/>
  <c r="AJ20" i="6"/>
  <c r="AG20" i="6"/>
  <c r="F20" i="6"/>
  <c r="AR19" i="6"/>
  <c r="AO19" i="6"/>
  <c r="AL19" i="6"/>
  <c r="AK19" i="6"/>
  <c r="AJ19" i="6"/>
  <c r="AB19" i="6"/>
  <c r="AA19" i="6"/>
  <c r="Z19" i="6"/>
  <c r="Q19" i="6"/>
  <c r="R19" i="6" s="1"/>
  <c r="Q56" i="6" s="1"/>
  <c r="O19" i="6"/>
  <c r="O56" i="6" s="1"/>
  <c r="F19" i="6"/>
  <c r="AL18" i="6"/>
  <c r="AJ18" i="6"/>
  <c r="X20" i="6"/>
  <c r="AA18" i="6"/>
  <c r="F18" i="6"/>
  <c r="AS17" i="6"/>
  <c r="AR17" i="6"/>
  <c r="AQ17" i="6"/>
  <c r="AO17" i="6"/>
  <c r="AN17" i="6"/>
  <c r="AL17" i="6"/>
  <c r="AK17" i="6"/>
  <c r="AJ17" i="6"/>
  <c r="AB17" i="6"/>
  <c r="Z17" i="6"/>
  <c r="AS16" i="6"/>
  <c r="AR16" i="6"/>
  <c r="AQ16" i="6"/>
  <c r="AO16" i="6"/>
  <c r="AL16" i="6"/>
  <c r="AK16" i="6"/>
  <c r="AJ16" i="6"/>
  <c r="AB16" i="6"/>
  <c r="AA16" i="6"/>
  <c r="Z16" i="6"/>
  <c r="AS15" i="6"/>
  <c r="AR15" i="6"/>
  <c r="AQ15" i="6"/>
  <c r="AO15" i="6"/>
  <c r="AN15" i="6"/>
  <c r="AL15" i="6"/>
  <c r="AK15" i="6"/>
  <c r="AJ15" i="6"/>
  <c r="AB15" i="6"/>
  <c r="AA15" i="6"/>
  <c r="Z15" i="6"/>
  <c r="T15" i="6"/>
  <c r="S15" i="6"/>
  <c r="D15" i="6"/>
  <c r="G44" i="1" s="1"/>
  <c r="B15" i="6"/>
  <c r="AS14" i="6"/>
  <c r="AR14" i="6"/>
  <c r="AQ14" i="6"/>
  <c r="AO14" i="6"/>
  <c r="AN14" i="6"/>
  <c r="AL14" i="6"/>
  <c r="AK14" i="6"/>
  <c r="AJ14" i="6"/>
  <c r="AB14" i="6"/>
  <c r="AA14" i="6"/>
  <c r="Z14" i="6"/>
  <c r="Q14" i="6"/>
  <c r="O14" i="6"/>
  <c r="C40" i="8" s="1"/>
  <c r="G14" i="6"/>
  <c r="AS13" i="6"/>
  <c r="AR13" i="6"/>
  <c r="AQ13" i="6"/>
  <c r="AO13" i="6"/>
  <c r="AN13" i="6"/>
  <c r="AK13" i="6"/>
  <c r="AJ13" i="6"/>
  <c r="AB13" i="6"/>
  <c r="AA13" i="6"/>
  <c r="Z13" i="6"/>
  <c r="T13" i="6"/>
  <c r="S13" i="6"/>
  <c r="G13" i="6"/>
  <c r="AS12" i="6"/>
  <c r="AR12" i="6"/>
  <c r="AQ12" i="6"/>
  <c r="AO12" i="6"/>
  <c r="AN12" i="6"/>
  <c r="AK12" i="6"/>
  <c r="AJ12" i="6"/>
  <c r="AB12" i="6"/>
  <c r="AA12" i="6"/>
  <c r="Z12" i="6"/>
  <c r="T12" i="6"/>
  <c r="S12" i="6"/>
  <c r="G12" i="6"/>
  <c r="AS11" i="6"/>
  <c r="AR11" i="6"/>
  <c r="AQ11" i="6"/>
  <c r="AO11" i="6"/>
  <c r="AN11" i="6"/>
  <c r="AL11" i="6"/>
  <c r="AK11" i="6"/>
  <c r="AJ11" i="6"/>
  <c r="AB11" i="6"/>
  <c r="AA11" i="6"/>
  <c r="Z11" i="6"/>
  <c r="T11" i="6"/>
  <c r="S11" i="6"/>
  <c r="G11" i="6"/>
  <c r="AS10" i="6"/>
  <c r="AR10" i="6"/>
  <c r="AQ10" i="6"/>
  <c r="AO10" i="6"/>
  <c r="AN10" i="6"/>
  <c r="AL10" i="6"/>
  <c r="AK10" i="6"/>
  <c r="AJ10" i="6"/>
  <c r="AB10" i="6"/>
  <c r="AA10" i="6"/>
  <c r="Z10" i="6"/>
  <c r="T10" i="6"/>
  <c r="S10" i="6"/>
  <c r="G10" i="6"/>
  <c r="AS9" i="6"/>
  <c r="AR9" i="6"/>
  <c r="AQ9" i="6"/>
  <c r="AO9" i="6"/>
  <c r="AN9" i="6"/>
  <c r="AL9" i="6"/>
  <c r="AK9" i="6"/>
  <c r="AJ9" i="6"/>
  <c r="AB9" i="6"/>
  <c r="AA9" i="6"/>
  <c r="Z9" i="6"/>
  <c r="AS8" i="6"/>
  <c r="AR8" i="6"/>
  <c r="AQ8" i="6"/>
  <c r="AO8" i="6"/>
  <c r="AN8" i="6"/>
  <c r="AL8" i="6"/>
  <c r="AK8" i="6"/>
  <c r="AJ8" i="6"/>
  <c r="AB8" i="6"/>
  <c r="AA8" i="6"/>
  <c r="Z8" i="6"/>
  <c r="R8" i="6"/>
  <c r="X24" i="6" s="1"/>
  <c r="Q8" i="6"/>
  <c r="P8" i="6"/>
  <c r="W5" i="6" s="1"/>
  <c r="AO5" i="6" s="1"/>
  <c r="O8" i="6"/>
  <c r="V5" i="6" s="1"/>
  <c r="AN5" i="6" s="1"/>
  <c r="AS7" i="6"/>
  <c r="AR7" i="6"/>
  <c r="AQ7" i="6"/>
  <c r="AO7" i="6"/>
  <c r="AN7" i="6"/>
  <c r="AL7" i="6"/>
  <c r="AK7" i="6"/>
  <c r="AJ7" i="6"/>
  <c r="AB7" i="6"/>
  <c r="AA7" i="6"/>
  <c r="Z7" i="6"/>
  <c r="F7" i="6"/>
  <c r="R6" i="6"/>
  <c r="Y23" i="6" s="1"/>
  <c r="Y4" i="6" s="1"/>
  <c r="AS4" i="6" s="1"/>
  <c r="AT4" i="6"/>
  <c r="AQ4" i="6"/>
  <c r="AN4" i="6"/>
  <c r="AQ2" i="6"/>
  <c r="X2" i="6"/>
  <c r="Y22" i="6" s="1"/>
  <c r="U1" i="6"/>
  <c r="E40" i="8" l="1"/>
  <c r="F16" i="1"/>
  <c r="D19" i="1"/>
  <c r="AJ36" i="6"/>
  <c r="AD51" i="6"/>
  <c r="O16" i="6"/>
  <c r="AD49" i="6"/>
  <c r="AH55" i="6"/>
  <c r="AD50" i="6"/>
  <c r="AK47" i="6"/>
  <c r="Q16" i="6"/>
  <c r="AS19" i="6"/>
  <c r="Y40" i="6"/>
  <c r="F72" i="6" s="1"/>
  <c r="F15" i="6"/>
  <c r="R59" i="6"/>
  <c r="T59" i="6" s="1"/>
  <c r="F41" i="6"/>
  <c r="F77" i="8"/>
  <c r="F78" i="8"/>
  <c r="AE49" i="6"/>
  <c r="D33" i="8"/>
  <c r="AI37" i="6"/>
  <c r="I69" i="6"/>
  <c r="J69" i="6" s="1"/>
  <c r="I67" i="6"/>
  <c r="J67" i="6" s="1"/>
  <c r="P63" i="6"/>
  <c r="C19" i="1"/>
  <c r="J19" i="1" s="1"/>
  <c r="AF37" i="6"/>
  <c r="AG31" i="6"/>
  <c r="AG37" i="6" s="1"/>
  <c r="D79" i="8"/>
  <c r="J78" i="8"/>
  <c r="J76" i="8"/>
  <c r="F30" i="6"/>
  <c r="H79" i="8"/>
  <c r="AK36" i="6"/>
  <c r="I63" i="6"/>
  <c r="J63" i="6" s="1"/>
  <c r="G15" i="6"/>
  <c r="G64" i="6"/>
  <c r="H64" i="6" s="1"/>
  <c r="G63" i="6"/>
  <c r="H63" i="6" s="1"/>
  <c r="Z18" i="6"/>
  <c r="Z20" i="6" s="1"/>
  <c r="G60" i="6"/>
  <c r="H60" i="6" s="1"/>
  <c r="G62" i="6"/>
  <c r="H62" i="6" s="1"/>
  <c r="I64" i="6"/>
  <c r="J64" i="6" s="1"/>
  <c r="G66" i="6"/>
  <c r="H66" i="6" s="1"/>
  <c r="S25" i="6"/>
  <c r="R61" i="6"/>
  <c r="T61" i="6" s="1"/>
  <c r="X43" i="6"/>
  <c r="AB18" i="6"/>
  <c r="AK29" i="6"/>
  <c r="AL36" i="6"/>
  <c r="G41" i="6"/>
  <c r="G59" i="6"/>
  <c r="H59" i="6" s="1"/>
  <c r="R60" i="6"/>
  <c r="T60" i="6" s="1"/>
  <c r="E76" i="8"/>
  <c r="E79" i="8" s="1"/>
  <c r="G79" i="8"/>
  <c r="I76" i="8"/>
  <c r="I77" i="8"/>
  <c r="J77" i="8"/>
  <c r="F68" i="8"/>
  <c r="AE52" i="6"/>
  <c r="AH52" i="6" s="1"/>
  <c r="AI52" i="6" s="1"/>
  <c r="O63" i="6"/>
  <c r="R58" i="6"/>
  <c r="T58" i="6" s="1"/>
  <c r="S59" i="6"/>
  <c r="U59" i="6" s="1"/>
  <c r="I60" i="6"/>
  <c r="J60" i="6" s="1"/>
  <c r="S60" i="6"/>
  <c r="U60" i="6" s="1"/>
  <c r="I61" i="6"/>
  <c r="J61" i="6" s="1"/>
  <c r="S61" i="6"/>
  <c r="U61" i="6" s="1"/>
  <c r="I62" i="6"/>
  <c r="J62" i="6" s="1"/>
  <c r="G65" i="6"/>
  <c r="H65" i="6" s="1"/>
  <c r="I66" i="6"/>
  <c r="J66" i="6" s="1"/>
  <c r="G68" i="6"/>
  <c r="H68" i="6" s="1"/>
  <c r="I71" i="6"/>
  <c r="J71" i="6" s="1"/>
  <c r="I78" i="8"/>
  <c r="D85" i="8"/>
  <c r="G30" i="6"/>
  <c r="AJ31" i="6"/>
  <c r="AK31" i="6"/>
  <c r="Y24" i="6"/>
  <c r="X5" i="6"/>
  <c r="V20" i="6"/>
  <c r="AN21" i="6" s="1"/>
  <c r="AN19" i="6"/>
  <c r="AN16" i="6"/>
  <c r="Y20" i="6"/>
  <c r="AL29" i="6"/>
  <c r="AG33" i="6"/>
  <c r="AN36" i="6"/>
  <c r="AH37" i="6"/>
  <c r="AB38" i="6"/>
  <c r="AL39" i="6"/>
  <c r="AH50" i="6"/>
  <c r="P56" i="6"/>
  <c r="F70" i="6"/>
  <c r="T14" i="6"/>
  <c r="T16" i="6" s="1"/>
  <c r="W24" i="6"/>
  <c r="T25" i="6"/>
  <c r="Q27" i="6"/>
  <c r="AM31" i="6"/>
  <c r="AA38" i="6"/>
  <c r="V40" i="6"/>
  <c r="AE51" i="6"/>
  <c r="AH54" i="6"/>
  <c r="I59" i="6"/>
  <c r="J59" i="6" s="1"/>
  <c r="G61" i="6"/>
  <c r="H61" i="6" s="1"/>
  <c r="I65" i="6"/>
  <c r="J65" i="6" s="1"/>
  <c r="G67" i="6"/>
  <c r="H67" i="6" s="1"/>
  <c r="I68" i="6"/>
  <c r="J68" i="6" s="1"/>
  <c r="G69" i="6"/>
  <c r="H69" i="6" s="1"/>
  <c r="E70" i="6"/>
  <c r="G71" i="6"/>
  <c r="H71" i="6" s="1"/>
  <c r="S14" i="6"/>
  <c r="S16" i="6" s="1"/>
  <c r="AL31" i="6"/>
  <c r="Z38" i="6"/>
  <c r="AT19" i="6" s="1"/>
  <c r="S58" i="6"/>
  <c r="D70" i="6"/>
  <c r="C42" i="8"/>
  <c r="H40" i="8"/>
  <c r="F40" i="8"/>
  <c r="H36" i="8"/>
  <c r="G37" i="8"/>
  <c r="H37" i="8"/>
  <c r="F37" i="8"/>
  <c r="F36" i="8"/>
  <c r="G34" i="8"/>
  <c r="H34" i="8"/>
  <c r="L34" i="8" s="1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F23" i="8"/>
  <c r="F24" i="8"/>
  <c r="F25" i="8"/>
  <c r="F26" i="8"/>
  <c r="F27" i="8"/>
  <c r="F28" i="8"/>
  <c r="F29" i="8"/>
  <c r="F30" i="8"/>
  <c r="F31" i="8"/>
  <c r="F32" i="8"/>
  <c r="F34" i="8"/>
  <c r="F22" i="8"/>
  <c r="G48" i="8"/>
  <c r="G49" i="8"/>
  <c r="I49" i="8" s="1"/>
  <c r="G50" i="8"/>
  <c r="G51" i="8"/>
  <c r="G52" i="8"/>
  <c r="I53" i="8"/>
  <c r="J54" i="8"/>
  <c r="G55" i="8"/>
  <c r="G56" i="8"/>
  <c r="G57" i="8"/>
  <c r="I57" i="8" s="1"/>
  <c r="G58" i="8"/>
  <c r="G59" i="8"/>
  <c r="G60" i="8"/>
  <c r="G61" i="8"/>
  <c r="I61" i="8" s="1"/>
  <c r="J62" i="8"/>
  <c r="J64" i="8"/>
  <c r="I65" i="8"/>
  <c r="J66" i="8"/>
  <c r="D49" i="8"/>
  <c r="F49" i="8" s="1"/>
  <c r="D50" i="8"/>
  <c r="F50" i="8" s="1"/>
  <c r="D51" i="8"/>
  <c r="F51" i="8" s="1"/>
  <c r="D52" i="8"/>
  <c r="F52" i="8" s="1"/>
  <c r="F53" i="8"/>
  <c r="F54" i="8"/>
  <c r="D55" i="8"/>
  <c r="F55" i="8" s="1"/>
  <c r="D56" i="8"/>
  <c r="F56" i="8" s="1"/>
  <c r="D57" i="8"/>
  <c r="F57" i="8" s="1"/>
  <c r="D58" i="8"/>
  <c r="F58" i="8" s="1"/>
  <c r="D59" i="8"/>
  <c r="F59" i="8" s="1"/>
  <c r="D60" i="8"/>
  <c r="F60" i="8" s="1"/>
  <c r="D61" i="8"/>
  <c r="F61" i="8" s="1"/>
  <c r="F62" i="8"/>
  <c r="F63" i="8"/>
  <c r="F64" i="8"/>
  <c r="F65" i="8"/>
  <c r="F66" i="8"/>
  <c r="F67" i="8"/>
  <c r="D48" i="8"/>
  <c r="C49" i="8"/>
  <c r="C50" i="8"/>
  <c r="C51" i="8"/>
  <c r="C52" i="8"/>
  <c r="C53" i="8"/>
  <c r="C54" i="8"/>
  <c r="C55" i="8"/>
  <c r="C56" i="8"/>
  <c r="C57" i="8"/>
  <c r="C58" i="8"/>
  <c r="C59" i="8"/>
  <c r="C60" i="8"/>
  <c r="C48" i="8"/>
  <c r="F87" i="8"/>
  <c r="F89" i="8"/>
  <c r="F91" i="8"/>
  <c r="J58" i="8" l="1"/>
  <c r="D35" i="8"/>
  <c r="E33" i="8"/>
  <c r="AN42" i="6"/>
  <c r="AJ37" i="6"/>
  <c r="AR5" i="6"/>
  <c r="Y5" i="6"/>
  <c r="AS5" i="6" s="1"/>
  <c r="AH51" i="6"/>
  <c r="AI51" i="6" s="1"/>
  <c r="AH49" i="6"/>
  <c r="AJ52" i="6"/>
  <c r="AS21" i="6"/>
  <c r="Z40" i="6"/>
  <c r="Z43" i="6" s="1"/>
  <c r="AT24" i="6" s="1"/>
  <c r="AJ50" i="6"/>
  <c r="AR25" i="6" s="1"/>
  <c r="AB40" i="6"/>
  <c r="Y43" i="6"/>
  <c r="Y44" i="6" s="1"/>
  <c r="D72" i="6"/>
  <c r="G72" i="6" s="1"/>
  <c r="H72" i="6" s="1"/>
  <c r="F76" i="8"/>
  <c r="F79" i="8" s="1"/>
  <c r="J79" i="8"/>
  <c r="J68" i="8"/>
  <c r="AR21" i="6"/>
  <c r="D69" i="8"/>
  <c r="D80" i="8" s="1"/>
  <c r="I37" i="8"/>
  <c r="I36" i="8"/>
  <c r="I34" i="8"/>
  <c r="I32" i="8"/>
  <c r="I31" i="8"/>
  <c r="I30" i="8"/>
  <c r="I29" i="8"/>
  <c r="I28" i="8"/>
  <c r="I27" i="8"/>
  <c r="I26" i="8"/>
  <c r="I25" i="8"/>
  <c r="I24" i="8"/>
  <c r="I23" i="8"/>
  <c r="I22" i="8"/>
  <c r="I40" i="8"/>
  <c r="J56" i="8"/>
  <c r="J52" i="8"/>
  <c r="J50" i="8"/>
  <c r="AH58" i="6"/>
  <c r="I79" i="8"/>
  <c r="J60" i="8"/>
  <c r="C69" i="8"/>
  <c r="C80" i="8" s="1"/>
  <c r="E69" i="8"/>
  <c r="E80" i="8" s="1"/>
  <c r="H33" i="8"/>
  <c r="H35" i="8" s="1"/>
  <c r="G33" i="8"/>
  <c r="J67" i="8"/>
  <c r="J63" i="8"/>
  <c r="J59" i="8"/>
  <c r="J55" i="8"/>
  <c r="J51" i="8"/>
  <c r="H69" i="8"/>
  <c r="H80" i="8" s="1"/>
  <c r="F33" i="8"/>
  <c r="F38" i="8" s="1"/>
  <c r="F42" i="8" s="1"/>
  <c r="U58" i="6"/>
  <c r="G70" i="6"/>
  <c r="H70" i="6" s="1"/>
  <c r="I70" i="6"/>
  <c r="J70" i="6" s="1"/>
  <c r="AO21" i="6"/>
  <c r="E72" i="6"/>
  <c r="I72" i="6" s="1"/>
  <c r="J72" i="6" s="1"/>
  <c r="K41" i="6"/>
  <c r="AA20" i="6"/>
  <c r="AB20" i="6"/>
  <c r="AE55" i="6"/>
  <c r="AK37" i="6"/>
  <c r="F88" i="8"/>
  <c r="J91" i="8"/>
  <c r="I88" i="8"/>
  <c r="I67" i="8"/>
  <c r="I63" i="8"/>
  <c r="I59" i="8"/>
  <c r="I55" i="8"/>
  <c r="I51" i="8"/>
  <c r="AM37" i="6"/>
  <c r="AN41" i="6"/>
  <c r="AN47" i="6"/>
  <c r="AL37" i="6"/>
  <c r="J90" i="8"/>
  <c r="I86" i="8"/>
  <c r="I68" i="8"/>
  <c r="I64" i="8"/>
  <c r="I60" i="8"/>
  <c r="I56" i="8"/>
  <c r="I52" i="8"/>
  <c r="AI50" i="6"/>
  <c r="AR24" i="6"/>
  <c r="X44" i="6"/>
  <c r="I48" i="8"/>
  <c r="G69" i="8"/>
  <c r="J48" i="8"/>
  <c r="J65" i="8"/>
  <c r="J61" i="8"/>
  <c r="J57" i="8"/>
  <c r="J49" i="8"/>
  <c r="V43" i="6"/>
  <c r="AQ21" i="6"/>
  <c r="F48" i="8"/>
  <c r="F69" i="8" s="1"/>
  <c r="I66" i="8"/>
  <c r="I62" i="8"/>
  <c r="I58" i="8"/>
  <c r="I54" i="8"/>
  <c r="I50" i="8"/>
  <c r="AA40" i="6"/>
  <c r="F85" i="8"/>
  <c r="I87" i="8"/>
  <c r="J87" i="8"/>
  <c r="F90" i="8"/>
  <c r="F86" i="8"/>
  <c r="J89" i="8"/>
  <c r="I85" i="8"/>
  <c r="I89" i="8"/>
  <c r="J85" i="8"/>
  <c r="I91" i="8"/>
  <c r="J86" i="8"/>
  <c r="I90" i="8"/>
  <c r="G38" i="8" l="1"/>
  <c r="G42" i="8" s="1"/>
  <c r="D38" i="8"/>
  <c r="E35" i="8"/>
  <c r="AJ51" i="6"/>
  <c r="AS25" i="6" s="1"/>
  <c r="AI49" i="6"/>
  <c r="AJ49" i="6"/>
  <c r="H41" i="6" s="1"/>
  <c r="I41" i="6"/>
  <c r="AA43" i="6"/>
  <c r="AT21" i="6"/>
  <c r="AS24" i="6"/>
  <c r="AB43" i="6"/>
  <c r="G35" i="8"/>
  <c r="F80" i="8"/>
  <c r="F35" i="8"/>
  <c r="AO25" i="6"/>
  <c r="H38" i="8"/>
  <c r="H42" i="8" s="1"/>
  <c r="K42" i="8" s="1"/>
  <c r="I33" i="8"/>
  <c r="J69" i="8"/>
  <c r="G80" i="8"/>
  <c r="J80" i="8" s="1"/>
  <c r="V44" i="6"/>
  <c r="AA44" i="6" s="1"/>
  <c r="AQ24" i="6"/>
  <c r="Z44" i="6"/>
  <c r="AB44" i="6"/>
  <c r="I69" i="8"/>
  <c r="I80" i="8" s="1"/>
  <c r="D92" i="8"/>
  <c r="H14" i="8"/>
  <c r="H15" i="8"/>
  <c r="H16" i="8"/>
  <c r="H13" i="8"/>
  <c r="I14" i="8"/>
  <c r="P14" i="8" s="1"/>
  <c r="I15" i="8"/>
  <c r="P15" i="8" s="1"/>
  <c r="I16" i="8"/>
  <c r="P16" i="8" s="1"/>
  <c r="I13" i="8"/>
  <c r="P13" i="8" s="1"/>
  <c r="G14" i="8"/>
  <c r="O14" i="8" s="1"/>
  <c r="G15" i="8"/>
  <c r="O15" i="8" s="1"/>
  <c r="G16" i="8"/>
  <c r="O16" i="8" s="1"/>
  <c r="G13" i="8"/>
  <c r="O13" i="8" s="1"/>
  <c r="C14" i="8"/>
  <c r="C15" i="8"/>
  <c r="E15" i="8" s="1"/>
  <c r="C16" i="8"/>
  <c r="E16" i="8" s="1"/>
  <c r="C13" i="8"/>
  <c r="E13" i="8" s="1"/>
  <c r="J14" i="8" l="1"/>
  <c r="K14" i="8" s="1"/>
  <c r="D42" i="8"/>
  <c r="E42" i="8" s="1"/>
  <c r="E38" i="8"/>
  <c r="J13" i="8"/>
  <c r="K13" i="8" s="1"/>
  <c r="J15" i="8"/>
  <c r="K15" i="8" s="1"/>
  <c r="J16" i="8"/>
  <c r="K16" i="8" s="1"/>
  <c r="L41" i="6"/>
  <c r="W14" i="8"/>
  <c r="X14" i="8" s="1"/>
  <c r="Y14" i="8" s="1"/>
  <c r="E14" i="8"/>
  <c r="AQ25" i="6"/>
  <c r="W13" i="8"/>
  <c r="X13" i="8" s="1"/>
  <c r="Y13" i="8" s="1"/>
  <c r="W15" i="8"/>
  <c r="X15" i="8" s="1"/>
  <c r="Y15" i="8" s="1"/>
  <c r="W16" i="8"/>
  <c r="X16" i="8" s="1"/>
  <c r="Y16" i="8" s="1"/>
  <c r="I35" i="8"/>
  <c r="J35" i="8" s="1"/>
  <c r="I38" i="8"/>
  <c r="J38" i="8" s="1"/>
  <c r="C17" i="8"/>
  <c r="E17" i="8" s="1"/>
  <c r="G17" i="8"/>
  <c r="O17" i="8" s="1"/>
  <c r="I17" i="8"/>
  <c r="P17" i="8" s="1"/>
  <c r="H17" i="8"/>
  <c r="C92" i="8"/>
  <c r="H92" i="8"/>
  <c r="F92" i="8"/>
  <c r="I92" i="8"/>
  <c r="E92" i="8"/>
  <c r="G92" i="8"/>
  <c r="J92" i="8" s="1"/>
  <c r="L40" i="8"/>
  <c r="K40" i="8"/>
  <c r="J40" i="8"/>
  <c r="L38" i="8"/>
  <c r="K38" i="8"/>
  <c r="L37" i="8"/>
  <c r="K37" i="8"/>
  <c r="J37" i="8"/>
  <c r="L36" i="8"/>
  <c r="K36" i="8"/>
  <c r="J36" i="8"/>
  <c r="L35" i="8"/>
  <c r="K35" i="8"/>
  <c r="K34" i="8"/>
  <c r="J34" i="8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16" i="8"/>
  <c r="M16" i="8" s="1"/>
  <c r="L15" i="8"/>
  <c r="M15" i="8" s="1"/>
  <c r="L14" i="8"/>
  <c r="M14" i="8" s="1"/>
  <c r="L13" i="8"/>
  <c r="M13" i="8" s="1"/>
  <c r="J17" i="8" l="1"/>
  <c r="K17" i="8" s="1"/>
  <c r="W17" i="8"/>
  <c r="X17" i="8" s="1"/>
  <c r="Y17" i="8" s="1"/>
  <c r="L17" i="8"/>
  <c r="M17" i="8" s="1"/>
  <c r="S56" i="1" l="1"/>
  <c r="T56" i="1"/>
  <c r="U56" i="1"/>
  <c r="V56" i="1"/>
  <c r="W56" i="1"/>
  <c r="X56" i="1"/>
  <c r="Z56" i="1"/>
  <c r="AA56" i="1"/>
  <c r="AB56" i="1"/>
  <c r="AC56" i="1"/>
  <c r="S57" i="1"/>
  <c r="T57" i="1"/>
  <c r="U57" i="1"/>
  <c r="V57" i="1"/>
  <c r="W57" i="1"/>
  <c r="X57" i="1"/>
  <c r="Y57" i="1"/>
  <c r="Z57" i="1"/>
  <c r="AA57" i="1"/>
  <c r="AC57" i="1"/>
  <c r="S58" i="1"/>
  <c r="T58" i="1"/>
  <c r="U58" i="1"/>
  <c r="V58" i="1"/>
  <c r="W58" i="1"/>
  <c r="X58" i="1"/>
  <c r="Z58" i="1"/>
  <c r="AA58" i="1"/>
  <c r="AB58" i="1"/>
  <c r="AC58" i="1"/>
  <c r="S59" i="1"/>
  <c r="T59" i="1"/>
  <c r="U59" i="1"/>
  <c r="V59" i="1"/>
  <c r="W59" i="1"/>
  <c r="X59" i="1"/>
  <c r="Y59" i="1"/>
  <c r="Z59" i="1"/>
  <c r="AA59" i="1"/>
  <c r="AB59" i="1"/>
  <c r="AC59" i="1"/>
  <c r="R57" i="1"/>
  <c r="R58" i="1"/>
  <c r="R59" i="1"/>
  <c r="R56" i="1"/>
  <c r="E56" i="1"/>
  <c r="F56" i="1"/>
  <c r="G56" i="1"/>
  <c r="H56" i="1"/>
  <c r="I56" i="1"/>
  <c r="J56" i="1"/>
  <c r="K56" i="1"/>
  <c r="L56" i="1"/>
  <c r="M56" i="1"/>
  <c r="N56" i="1"/>
  <c r="O56" i="1"/>
  <c r="E57" i="1"/>
  <c r="F57" i="1"/>
  <c r="G57" i="1"/>
  <c r="H57" i="1"/>
  <c r="I57" i="1"/>
  <c r="J57" i="1"/>
  <c r="K57" i="1"/>
  <c r="L57" i="1"/>
  <c r="M57" i="1"/>
  <c r="N57" i="1"/>
  <c r="O57" i="1"/>
  <c r="E58" i="1"/>
  <c r="F58" i="1"/>
  <c r="G58" i="1"/>
  <c r="H58" i="1"/>
  <c r="I58" i="1"/>
  <c r="J58" i="1"/>
  <c r="K58" i="1"/>
  <c r="L58" i="1"/>
  <c r="M58" i="1"/>
  <c r="N58" i="1"/>
  <c r="O58" i="1"/>
  <c r="E59" i="1"/>
  <c r="F59" i="1"/>
  <c r="G59" i="1"/>
  <c r="H59" i="1"/>
  <c r="I59" i="1"/>
  <c r="J59" i="1"/>
  <c r="K59" i="1"/>
  <c r="L59" i="1"/>
  <c r="M59" i="1"/>
  <c r="N59" i="1"/>
  <c r="O59" i="1"/>
  <c r="D57" i="1"/>
  <c r="D58" i="1"/>
  <c r="D59" i="1"/>
  <c r="D56" i="1"/>
  <c r="Y30" i="2"/>
  <c r="X30" i="2"/>
  <c r="Y31" i="1" s="1"/>
  <c r="AA31" i="1" s="1"/>
  <c r="Y26" i="2"/>
  <c r="Z27" i="1" s="1"/>
  <c r="X26" i="2"/>
  <c r="Y27" i="1" s="1"/>
  <c r="G24" i="1"/>
  <c r="G25" i="1"/>
  <c r="D24" i="1"/>
  <c r="D25" i="1"/>
  <c r="D26" i="1"/>
  <c r="D27" i="1"/>
  <c r="D28" i="1"/>
  <c r="D29" i="1"/>
  <c r="D30" i="1"/>
  <c r="C25" i="1"/>
  <c r="C27" i="1"/>
  <c r="C28" i="1"/>
  <c r="C29" i="1"/>
  <c r="C30" i="1"/>
  <c r="C24" i="1"/>
  <c r="S15" i="2"/>
  <c r="S16" i="2"/>
  <c r="S17" i="2"/>
  <c r="R19" i="2"/>
  <c r="R15" i="2"/>
  <c r="Y15" i="2" s="1"/>
  <c r="R16" i="2"/>
  <c r="Y16" i="2" s="1"/>
  <c r="R17" i="2"/>
  <c r="Y17" i="2" s="1"/>
  <c r="R14" i="2"/>
  <c r="Y14" i="2" s="1"/>
  <c r="V10" i="2"/>
  <c r="V7" i="2"/>
  <c r="V8" i="2"/>
  <c r="U10" i="2"/>
  <c r="U8" i="2"/>
  <c r="S10" i="2"/>
  <c r="S8" i="2"/>
  <c r="X14" i="2"/>
  <c r="R10" i="2"/>
  <c r="R8" i="2"/>
  <c r="T20" i="1"/>
  <c r="T16" i="1"/>
  <c r="T17" i="1"/>
  <c r="T18" i="1"/>
  <c r="S20" i="1"/>
  <c r="S16" i="1"/>
  <c r="Z16" i="1" s="1"/>
  <c r="S17" i="1"/>
  <c r="Z17" i="1" s="1"/>
  <c r="S18" i="1"/>
  <c r="Z18" i="1" s="1"/>
  <c r="S15" i="1"/>
  <c r="Z15" i="1" s="1"/>
  <c r="Y15" i="1"/>
  <c r="C15" i="2"/>
  <c r="C16" i="2"/>
  <c r="C17" i="2"/>
  <c r="B15" i="2"/>
  <c r="I15" i="2" s="1"/>
  <c r="B16" i="2"/>
  <c r="I16" i="2" s="1"/>
  <c r="B17" i="2"/>
  <c r="I17" i="2" s="1"/>
  <c r="B14" i="2"/>
  <c r="I14" i="2" s="1"/>
  <c r="B8" i="2"/>
  <c r="I18" i="1"/>
  <c r="G43" i="2"/>
  <c r="G42" i="2"/>
  <c r="G41" i="2"/>
  <c r="G40" i="2"/>
  <c r="G39" i="2"/>
  <c r="H38" i="1"/>
  <c r="E39" i="2"/>
  <c r="E40" i="2"/>
  <c r="E41" i="2"/>
  <c r="E42" i="2"/>
  <c r="E43" i="2"/>
  <c r="E38" i="2"/>
  <c r="F39" i="1"/>
  <c r="F40" i="1"/>
  <c r="F41" i="1"/>
  <c r="F42" i="1"/>
  <c r="F43" i="1"/>
  <c r="F38" i="1"/>
  <c r="C39" i="2"/>
  <c r="C40" i="2"/>
  <c r="C41" i="2"/>
  <c r="C42" i="2"/>
  <c r="C43" i="2"/>
  <c r="C38" i="2"/>
  <c r="D39" i="1"/>
  <c r="D40" i="1"/>
  <c r="D41" i="1"/>
  <c r="D42" i="1"/>
  <c r="D43" i="1"/>
  <c r="D38" i="1"/>
  <c r="I17" i="1" l="1"/>
  <c r="D10" i="1"/>
  <c r="I19" i="1" s="1"/>
  <c r="I42" i="2"/>
  <c r="I39" i="2"/>
  <c r="I43" i="2"/>
  <c r="I41" i="2"/>
  <c r="I40" i="2"/>
  <c r="H41" i="1"/>
  <c r="I41" i="1" s="1"/>
  <c r="H41" i="2"/>
  <c r="H40" i="1"/>
  <c r="I40" i="1" s="1"/>
  <c r="H40" i="2"/>
  <c r="H39" i="1"/>
  <c r="I39" i="1" s="1"/>
  <c r="H39" i="2"/>
  <c r="H43" i="1"/>
  <c r="I43" i="1" s="1"/>
  <c r="H43" i="2"/>
  <c r="H42" i="1"/>
  <c r="I42" i="1" s="1"/>
  <c r="H42" i="2"/>
  <c r="H10" i="1"/>
  <c r="C44" i="2"/>
  <c r="F44" i="2"/>
  <c r="V10" i="1"/>
  <c r="R44" i="2" l="1"/>
  <c r="L44" i="2"/>
  <c r="G44" i="2"/>
  <c r="E44" i="2"/>
  <c r="B44" i="2"/>
  <c r="D44" i="2" s="1"/>
  <c r="R43" i="2"/>
  <c r="L43" i="2"/>
  <c r="D43" i="2"/>
  <c r="L42" i="2"/>
  <c r="D42" i="2"/>
  <c r="R41" i="2"/>
  <c r="L41" i="2"/>
  <c r="D41" i="2"/>
  <c r="R40" i="2"/>
  <c r="L40" i="2"/>
  <c r="D40" i="2"/>
  <c r="R39" i="2"/>
  <c r="L39" i="2"/>
  <c r="D39" i="2"/>
  <c r="R38" i="2"/>
  <c r="L38" i="2"/>
  <c r="I38" i="2"/>
  <c r="Z29" i="2"/>
  <c r="H29" i="2"/>
  <c r="D29" i="2"/>
  <c r="Z28" i="2"/>
  <c r="D28" i="2"/>
  <c r="D27" i="2"/>
  <c r="H26" i="2"/>
  <c r="D26" i="2"/>
  <c r="Z25" i="2"/>
  <c r="Z24" i="2"/>
  <c r="H23" i="2"/>
  <c r="G22" i="2"/>
  <c r="Q36" i="2" s="1"/>
  <c r="F22" i="2"/>
  <c r="F36" i="2" s="1"/>
  <c r="E22" i="2"/>
  <c r="E36" i="2" s="1"/>
  <c r="S18" i="2"/>
  <c r="R18" i="2"/>
  <c r="Y18" i="2" s="1"/>
  <c r="C18" i="2"/>
  <c r="B18" i="2"/>
  <c r="I18" i="2" s="1"/>
  <c r="X17" i="2"/>
  <c r="W17" i="2"/>
  <c r="V17" i="2"/>
  <c r="U17" i="2"/>
  <c r="H17" i="2"/>
  <c r="F17" i="2"/>
  <c r="E17" i="2"/>
  <c r="X16" i="2"/>
  <c r="W16" i="2"/>
  <c r="V16" i="2"/>
  <c r="U16" i="2"/>
  <c r="H16" i="2"/>
  <c r="F16" i="2"/>
  <c r="E16" i="2"/>
  <c r="X15" i="2"/>
  <c r="W15" i="2"/>
  <c r="V15" i="2"/>
  <c r="U15" i="2"/>
  <c r="H15" i="2"/>
  <c r="F15" i="2"/>
  <c r="E15" i="2"/>
  <c r="W14" i="2"/>
  <c r="V14" i="2"/>
  <c r="U14" i="2"/>
  <c r="H14" i="2"/>
  <c r="G14" i="2"/>
  <c r="F14" i="2"/>
  <c r="E14" i="2"/>
  <c r="Z10" i="2"/>
  <c r="Y10" i="2"/>
  <c r="X10" i="2"/>
  <c r="T10" i="2"/>
  <c r="W9" i="2"/>
  <c r="W11" i="2" s="1"/>
  <c r="V9" i="2"/>
  <c r="V11" i="2" s="1"/>
  <c r="U9" i="2"/>
  <c r="U11" i="2" s="1"/>
  <c r="S9" i="2"/>
  <c r="X18" i="2" s="1"/>
  <c r="R9" i="2"/>
  <c r="R11" i="2" s="1"/>
  <c r="G9" i="2"/>
  <c r="F9" i="2"/>
  <c r="E9" i="2"/>
  <c r="C9" i="2"/>
  <c r="B9" i="2"/>
  <c r="Z8" i="2"/>
  <c r="Y8" i="2"/>
  <c r="X8" i="2"/>
  <c r="T8" i="2"/>
  <c r="J8" i="2"/>
  <c r="I8" i="2"/>
  <c r="H8" i="2"/>
  <c r="D8" i="2"/>
  <c r="Z7" i="2"/>
  <c r="Y7" i="2"/>
  <c r="X7" i="2"/>
  <c r="T7" i="2"/>
  <c r="J7" i="2"/>
  <c r="I7" i="2"/>
  <c r="H7" i="2"/>
  <c r="D7" i="2"/>
  <c r="Z6" i="2"/>
  <c r="Y6" i="2"/>
  <c r="X6" i="2"/>
  <c r="T6" i="2"/>
  <c r="J6" i="2"/>
  <c r="I6" i="2"/>
  <c r="H6" i="2"/>
  <c r="D6" i="2"/>
  <c r="Z5" i="2"/>
  <c r="Y5" i="2"/>
  <c r="X5" i="2"/>
  <c r="T5" i="2"/>
  <c r="J5" i="2"/>
  <c r="I5" i="2"/>
  <c r="H5" i="2"/>
  <c r="D5" i="2"/>
  <c r="W4" i="2"/>
  <c r="V4" i="2"/>
  <c r="U4" i="2"/>
  <c r="K54" i="1"/>
  <c r="E54" i="1"/>
  <c r="K53" i="1"/>
  <c r="H53" i="1"/>
  <c r="E53" i="1"/>
  <c r="K52" i="1"/>
  <c r="H52" i="1"/>
  <c r="E52" i="1"/>
  <c r="K51" i="1"/>
  <c r="H51" i="1"/>
  <c r="E51" i="1"/>
  <c r="K50" i="1"/>
  <c r="H50" i="1"/>
  <c r="E50" i="1"/>
  <c r="K49" i="1"/>
  <c r="H49" i="1"/>
  <c r="E49" i="1"/>
  <c r="AB48" i="1"/>
  <c r="AA48" i="1"/>
  <c r="Z48" i="1"/>
  <c r="K48" i="1"/>
  <c r="H48" i="1"/>
  <c r="E48" i="1"/>
  <c r="AB47" i="1"/>
  <c r="AA47" i="1"/>
  <c r="AB46" i="1"/>
  <c r="AA46" i="1"/>
  <c r="Z46" i="1"/>
  <c r="AB45" i="1"/>
  <c r="AA45" i="1"/>
  <c r="Z45" i="1"/>
  <c r="V44" i="1"/>
  <c r="F44" i="1"/>
  <c r="D44" i="1"/>
  <c r="C44" i="1"/>
  <c r="W49" i="1"/>
  <c r="J43" i="1"/>
  <c r="E43" i="1"/>
  <c r="AB42" i="1"/>
  <c r="AA42" i="1"/>
  <c r="Z42" i="1"/>
  <c r="J42" i="1"/>
  <c r="E42" i="1"/>
  <c r="AB41" i="1"/>
  <c r="AA41" i="1"/>
  <c r="Z41" i="1"/>
  <c r="J41" i="1"/>
  <c r="E41" i="1"/>
  <c r="AB40" i="1"/>
  <c r="AA40" i="1"/>
  <c r="Z40" i="1"/>
  <c r="J40" i="1"/>
  <c r="E40" i="1"/>
  <c r="AB39" i="1"/>
  <c r="AA39" i="1"/>
  <c r="Z39" i="1"/>
  <c r="J39" i="1"/>
  <c r="E39" i="1"/>
  <c r="AB38" i="1"/>
  <c r="AA38" i="1"/>
  <c r="Z38" i="1"/>
  <c r="J38" i="1"/>
  <c r="I38" i="1"/>
  <c r="E38" i="1"/>
  <c r="V35" i="1"/>
  <c r="V32" i="1"/>
  <c r="AA30" i="1"/>
  <c r="V30" i="1"/>
  <c r="I30" i="1"/>
  <c r="E30" i="1"/>
  <c r="AA29" i="1"/>
  <c r="V29" i="1"/>
  <c r="E29" i="1"/>
  <c r="V28" i="1"/>
  <c r="I28" i="1"/>
  <c r="E28" i="1"/>
  <c r="V27" i="1"/>
  <c r="I27" i="1"/>
  <c r="E27" i="1"/>
  <c r="AA26" i="1"/>
  <c r="V26" i="1"/>
  <c r="AA25" i="1"/>
  <c r="V25" i="1"/>
  <c r="V24" i="1"/>
  <c r="I24" i="1"/>
  <c r="H23" i="1"/>
  <c r="G23" i="1"/>
  <c r="G37" i="1" s="1"/>
  <c r="F23" i="1"/>
  <c r="T19" i="1"/>
  <c r="T21" i="1" s="1"/>
  <c r="S19" i="1"/>
  <c r="Z19" i="1" s="1"/>
  <c r="Y18" i="1"/>
  <c r="X18" i="1"/>
  <c r="W18" i="1"/>
  <c r="V18" i="1"/>
  <c r="H18" i="1"/>
  <c r="G18" i="1"/>
  <c r="F18" i="1"/>
  <c r="Y17" i="1"/>
  <c r="X17" i="1"/>
  <c r="W17" i="1"/>
  <c r="V17" i="1"/>
  <c r="H17" i="1"/>
  <c r="G17" i="1"/>
  <c r="F17" i="1"/>
  <c r="Y16" i="1"/>
  <c r="X16" i="1"/>
  <c r="W16" i="1"/>
  <c r="V16" i="1"/>
  <c r="H16" i="1"/>
  <c r="G16" i="1"/>
  <c r="X15" i="1"/>
  <c r="W15" i="1"/>
  <c r="V15" i="1"/>
  <c r="I15" i="1"/>
  <c r="H15" i="1"/>
  <c r="G15" i="1"/>
  <c r="F15" i="1"/>
  <c r="U14" i="1"/>
  <c r="S14" i="1"/>
  <c r="AA11" i="1"/>
  <c r="Z11" i="1"/>
  <c r="Y11" i="1"/>
  <c r="U11" i="1"/>
  <c r="X10" i="1"/>
  <c r="W10" i="1"/>
  <c r="V12" i="1"/>
  <c r="T10" i="1"/>
  <c r="Y19" i="1" s="1"/>
  <c r="S10" i="1"/>
  <c r="G10" i="1"/>
  <c r="I10" i="1" s="1"/>
  <c r="F10" i="1"/>
  <c r="C10" i="1"/>
  <c r="AA9" i="1"/>
  <c r="Z9" i="1"/>
  <c r="Y9" i="1"/>
  <c r="U9" i="1"/>
  <c r="K9" i="1"/>
  <c r="J9" i="1"/>
  <c r="I9" i="1"/>
  <c r="E9" i="1"/>
  <c r="AA8" i="1"/>
  <c r="Z8" i="1"/>
  <c r="Y8" i="1"/>
  <c r="U8" i="1"/>
  <c r="K8" i="1"/>
  <c r="J8" i="1"/>
  <c r="I8" i="1"/>
  <c r="E8" i="1"/>
  <c r="AA7" i="1"/>
  <c r="Z7" i="1"/>
  <c r="Y7" i="1"/>
  <c r="U7" i="1"/>
  <c r="K7" i="1"/>
  <c r="J7" i="1"/>
  <c r="I7" i="1"/>
  <c r="E7" i="1"/>
  <c r="AA6" i="1"/>
  <c r="Z6" i="1"/>
  <c r="Y6" i="1"/>
  <c r="U6" i="1"/>
  <c r="K6" i="1"/>
  <c r="J6" i="1"/>
  <c r="I6" i="1"/>
  <c r="E6" i="1"/>
  <c r="X5" i="1"/>
  <c r="W5" i="1"/>
  <c r="V5" i="1"/>
  <c r="H18" i="2" l="1"/>
  <c r="G18" i="2"/>
  <c r="I44" i="2"/>
  <c r="H44" i="1"/>
  <c r="I44" i="1" s="1"/>
  <c r="H44" i="2"/>
  <c r="Z23" i="1"/>
  <c r="H37" i="1"/>
  <c r="I47" i="1"/>
  <c r="F37" i="1"/>
  <c r="T23" i="1"/>
  <c r="Y13" i="2"/>
  <c r="AA14" i="1"/>
  <c r="U19" i="1"/>
  <c r="AA19" i="1" s="1"/>
  <c r="E19" i="1"/>
  <c r="K19" i="1" s="1"/>
  <c r="Z14" i="1"/>
  <c r="S21" i="1"/>
  <c r="R20" i="2"/>
  <c r="S20" i="2"/>
  <c r="F19" i="1"/>
  <c r="X22" i="2"/>
  <c r="E18" i="2"/>
  <c r="Z30" i="2"/>
  <c r="Y10" i="1"/>
  <c r="I9" i="2"/>
  <c r="AA10" i="1"/>
  <c r="AA27" i="1"/>
  <c r="E44" i="1"/>
  <c r="U10" i="1"/>
  <c r="Z10" i="1"/>
  <c r="X12" i="1"/>
  <c r="Z12" i="1" s="1"/>
  <c r="Z13" i="2"/>
  <c r="Z26" i="2"/>
  <c r="T12" i="1"/>
  <c r="J10" i="1"/>
  <c r="Y11" i="2"/>
  <c r="X11" i="2"/>
  <c r="D9" i="2"/>
  <c r="H9" i="2"/>
  <c r="J9" i="2"/>
  <c r="Y9" i="2"/>
  <c r="F18" i="2"/>
  <c r="U18" i="2"/>
  <c r="W18" i="2"/>
  <c r="J36" i="2"/>
  <c r="M36" i="2"/>
  <c r="P36" i="2"/>
  <c r="T9" i="2"/>
  <c r="X9" i="2"/>
  <c r="Z9" i="2"/>
  <c r="S11" i="2"/>
  <c r="T11" i="2" s="1"/>
  <c r="V18" i="2"/>
  <c r="Y22" i="2"/>
  <c r="G36" i="2"/>
  <c r="K36" i="2"/>
  <c r="N36" i="2"/>
  <c r="AA44" i="1"/>
  <c r="Y49" i="1"/>
  <c r="AB44" i="1"/>
  <c r="Z44" i="1"/>
  <c r="E10" i="1"/>
  <c r="K10" i="1"/>
  <c r="S12" i="1"/>
  <c r="W12" i="1"/>
  <c r="Y23" i="1"/>
  <c r="Z43" i="1"/>
  <c r="AB43" i="1"/>
  <c r="D47" i="1"/>
  <c r="G47" i="1"/>
  <c r="J47" i="1"/>
  <c r="U23" i="1"/>
  <c r="AA43" i="1"/>
  <c r="C47" i="1"/>
  <c r="F47" i="1"/>
  <c r="J44" i="1" l="1"/>
  <c r="H19" i="1"/>
  <c r="G19" i="1"/>
  <c r="W19" i="1"/>
  <c r="X19" i="1"/>
  <c r="V19" i="1"/>
  <c r="AA12" i="1"/>
  <c r="Y12" i="1"/>
  <c r="U12" i="1"/>
  <c r="Z11" i="2"/>
  <c r="AB49" i="1"/>
  <c r="Z49" i="1"/>
  <c r="AA49" i="1"/>
  <c r="D38" i="2"/>
  <c r="D23" i="2"/>
  <c r="E24" i="1"/>
  <c r="H54" i="1"/>
  <c r="R8" i="8"/>
  <c r="S8" i="8" s="1"/>
  <c r="T8" i="8" s="1"/>
  <c r="R6" i="8"/>
  <c r="S6" i="8" s="1"/>
  <c r="T6" i="8" s="1"/>
  <c r="R7" i="8"/>
  <c r="S7" i="8" s="1"/>
  <c r="T7" i="8" s="1"/>
  <c r="T26" i="6" l="1"/>
  <c r="S26" i="6"/>
  <c r="U20" i="1"/>
  <c r="U21" i="1" s="1"/>
  <c r="U19" i="2"/>
  <c r="R27" i="6"/>
  <c r="S27" i="6" s="1"/>
  <c r="Q62" i="6"/>
  <c r="Q63" i="6" s="1"/>
  <c r="W20" i="1" l="1"/>
  <c r="T27" i="6"/>
  <c r="T20" i="2"/>
  <c r="W20" i="2" s="1"/>
  <c r="W19" i="2"/>
  <c r="V20" i="1"/>
  <c r="R62" i="6"/>
  <c r="S62" i="6"/>
  <c r="V19" i="2"/>
  <c r="X20" i="1"/>
  <c r="U20" i="2" l="1"/>
  <c r="V20" i="2"/>
  <c r="X21" i="1"/>
  <c r="W21" i="1"/>
  <c r="V21" i="1"/>
  <c r="T62" i="6"/>
  <c r="R63" i="6"/>
  <c r="T63" i="6" s="1"/>
  <c r="U62" i="6"/>
  <c r="S63" i="6"/>
  <c r="U63" i="6" s="1"/>
</calcChain>
</file>

<file path=xl/sharedStrings.xml><?xml version="1.0" encoding="utf-8"?>
<sst xmlns="http://schemas.openxmlformats.org/spreadsheetml/2006/main" count="929" uniqueCount="441">
  <si>
    <t>NORTH CENTRAL RAILWAY</t>
  </si>
  <si>
    <t>Part-II</t>
  </si>
  <si>
    <t>Originating Earnings (Rs. In crore)</t>
  </si>
  <si>
    <t xml:space="preserve">FOR THE MONTH </t>
  </si>
  <si>
    <t>GRAPH</t>
  </si>
  <si>
    <t>Apportioned Earnings (Rs. In crore)</t>
  </si>
  <si>
    <t>Segment</t>
  </si>
  <si>
    <t>Target Growth</t>
  </si>
  <si>
    <t xml:space="preserve"> Var over BP </t>
  </si>
  <si>
    <t>Actual Growth (%)</t>
  </si>
  <si>
    <t xml:space="preserve">% of Target </t>
  </si>
  <si>
    <t>Passenger</t>
  </si>
  <si>
    <t>Other Coaching</t>
  </si>
  <si>
    <t>Goods</t>
  </si>
  <si>
    <t>Sundries</t>
  </si>
  <si>
    <t>Gr. Earnings</t>
  </si>
  <si>
    <t>Suspense</t>
  </si>
  <si>
    <t>Gross  Receipts</t>
  </si>
  <si>
    <t xml:space="preserve">UPTO THE MONTH </t>
  </si>
  <si>
    <t>Avg. Daily Earning</t>
  </si>
  <si>
    <t>Target 2019-20</t>
  </si>
  <si>
    <t xml:space="preserve">Indices for Originating Earnings </t>
  </si>
  <si>
    <t xml:space="preserve">Indices for apport.  earnings </t>
  </si>
  <si>
    <t xml:space="preserve">Apportionment shares (Rs. In crore) </t>
  </si>
  <si>
    <t xml:space="preserve"> </t>
  </si>
  <si>
    <t>No. of orig. passng (Million)</t>
  </si>
  <si>
    <t>No. of carried Paseng (million)</t>
  </si>
  <si>
    <t xml:space="preserve">Goods </t>
  </si>
  <si>
    <t>PRS pass</t>
  </si>
  <si>
    <t>-</t>
  </si>
  <si>
    <t>NA</t>
  </si>
  <si>
    <t>PKM (million)</t>
  </si>
  <si>
    <t xml:space="preserve">Inward </t>
  </si>
  <si>
    <t>Non PRS pass</t>
  </si>
  <si>
    <t>No. of Mail/Exp trains</t>
  </si>
  <si>
    <t xml:space="preserve">Outward </t>
  </si>
  <si>
    <t>Orig Loading (MT)</t>
  </si>
  <si>
    <t>No. of Pass. trains</t>
  </si>
  <si>
    <t xml:space="preserve">Net </t>
  </si>
  <si>
    <t>Wagon Turn round       (days)</t>
  </si>
  <si>
    <t>No. of trains diverted</t>
  </si>
  <si>
    <t>Wagon km / day</t>
  </si>
  <si>
    <t>Carried Tonnes (MT)</t>
  </si>
  <si>
    <t>Inward</t>
  </si>
  <si>
    <t>NTKM/wagon day</t>
  </si>
  <si>
    <t>Through Tonnage (MT)</t>
  </si>
  <si>
    <t>Outward</t>
  </si>
  <si>
    <t xml:space="preserve">Loaded receipts </t>
  </si>
  <si>
    <t>Orig. Frt.Lead (km)</t>
  </si>
  <si>
    <t>Carried Lead (km)</t>
  </si>
  <si>
    <t>Orig. NTKM</t>
  </si>
  <si>
    <t>Carried NTKM</t>
  </si>
  <si>
    <t xml:space="preserve">Avg. Frt. Rate </t>
  </si>
  <si>
    <t>Throughput ( trains/day)</t>
  </si>
  <si>
    <t>Throughput (8W /day)</t>
  </si>
  <si>
    <t xml:space="preserve">Commodity-wise </t>
  </si>
  <si>
    <t>Loading (MT)</t>
  </si>
  <si>
    <t>Details of Traffic Suspense</t>
  </si>
  <si>
    <t>Commodity</t>
  </si>
  <si>
    <t xml:space="preserve">Item </t>
  </si>
  <si>
    <t>Opening Bal. on 1.4.20</t>
  </si>
  <si>
    <t xml:space="preserve">Var over prev. month </t>
  </si>
  <si>
    <t>Var over COPPY</t>
  </si>
  <si>
    <t>Cement</t>
  </si>
  <si>
    <t>Freight O/s</t>
  </si>
  <si>
    <t>F. Grains</t>
  </si>
  <si>
    <t>Admitted Debit</t>
  </si>
  <si>
    <t>Fertilisers</t>
  </si>
  <si>
    <t>Objected Debit</t>
  </si>
  <si>
    <t>P.O.L.</t>
  </si>
  <si>
    <t>Wharf/Demmur.</t>
  </si>
  <si>
    <t>Container</t>
  </si>
  <si>
    <t xml:space="preserve">Siding/Shunting </t>
  </si>
  <si>
    <t>Others</t>
  </si>
  <si>
    <t>Other Charges</t>
  </si>
  <si>
    <t>Total Loading</t>
  </si>
  <si>
    <t>Total Station O/S</t>
  </si>
  <si>
    <t>Cash in Transit</t>
  </si>
  <si>
    <t>Avg Lead</t>
  </si>
  <si>
    <t xml:space="preserve">Avg. Rate </t>
  </si>
  <si>
    <t xml:space="preserve">Orig. Earning </t>
  </si>
  <si>
    <t xml:space="preserve">Vouch. in transit </t>
  </si>
  <si>
    <t xml:space="preserve">Growth </t>
  </si>
  <si>
    <t>AOB</t>
  </si>
  <si>
    <t>Demands Recov.</t>
  </si>
  <si>
    <t xml:space="preserve">Total </t>
  </si>
  <si>
    <t xml:space="preserve">   NCR / Allahabad</t>
  </si>
  <si>
    <t>APR</t>
  </si>
  <si>
    <t>JUN</t>
  </si>
  <si>
    <t>JUL</t>
  </si>
  <si>
    <t>Aug</t>
  </si>
  <si>
    <t>OCT</t>
  </si>
  <si>
    <t>NOV</t>
  </si>
  <si>
    <t>DEC</t>
  </si>
  <si>
    <t>JAN</t>
  </si>
  <si>
    <t>FEB</t>
  </si>
  <si>
    <t>MAR</t>
  </si>
  <si>
    <t xml:space="preserve">Passenger Earning  </t>
  </si>
  <si>
    <t>2019-20</t>
  </si>
  <si>
    <t>Other Coach.</t>
  </si>
  <si>
    <t>2020-21</t>
  </si>
  <si>
    <t>Goods Earning</t>
  </si>
  <si>
    <t>Sundry</t>
  </si>
  <si>
    <t>Copy to: Secy.to GM for information of GM,AGM, SDGM, DRM/ALD, DRM/JHS, DRM/AGC, PCE, CAO/C, PCME, PCEE, PCSTE, PCMM, PCOM, CFTM,PCCM, CSO, PCPO, PCSC,PCMD,  FA&amp;CAO/G, FA&amp;CAO/F&amp;B, FA&amp;CAO/WST,</t>
  </si>
  <si>
    <t>FA&amp;CAO/C,CWM/JHS, CWM/STLI,  CPRO, Dy.FA&amp;CAO/T,DyFA&amp;CAO/F,Dy.FA&amp;CAO/G, Dy.FA&amp;CAO/Stores, Dy.FA&amp;CAO/W and AFA/Books.</t>
  </si>
  <si>
    <t>This statement is available on the website www.ncr.railnet.gov.in (Financial Review)</t>
  </si>
  <si>
    <t>Part I</t>
  </si>
  <si>
    <t xml:space="preserve">EARNINGS  TO END OF </t>
  </si>
  <si>
    <t>No. of orig. passenger (Million)</t>
  </si>
  <si>
    <t>Wagon Turn Around       (days)</t>
  </si>
  <si>
    <t>Avg. Frt. Rate (Rs. /Tonne/KM)</t>
  </si>
  <si>
    <t>PART-II</t>
  </si>
  <si>
    <t>Part-I</t>
  </si>
  <si>
    <t xml:space="preserve">ORIGINATING EARNINGS </t>
  </si>
  <si>
    <t xml:space="preserve">APPORTIONED EARNINGS  </t>
  </si>
  <si>
    <t>LOADING IN MTs</t>
  </si>
  <si>
    <t>Target</t>
  </si>
  <si>
    <t>Actual</t>
  </si>
  <si>
    <t xml:space="preserve"> Variation</t>
  </si>
  <si>
    <t xml:space="preserve">% of 
Variation </t>
  </si>
  <si>
    <t>(Rs In Crores.)</t>
  </si>
  <si>
    <t>Over
 Target</t>
  </si>
  <si>
    <t>Over
 Pre.Yr.</t>
  </si>
  <si>
    <t>HEAD OF ACCOUNT</t>
  </si>
  <si>
    <t xml:space="preserve">Actual </t>
  </si>
  <si>
    <t xml:space="preserve">
 Target</t>
  </si>
  <si>
    <t xml:space="preserve">Variation </t>
  </si>
  <si>
    <t>Coal</t>
  </si>
  <si>
    <t>for</t>
  </si>
  <si>
    <t>Prev.Year</t>
  </si>
  <si>
    <t>Iron Ore</t>
  </si>
  <si>
    <t>Col.(5-4)</t>
  </si>
  <si>
    <t>Col 5/3</t>
  </si>
  <si>
    <t>Gross Earnings</t>
  </si>
  <si>
    <t>TOTAL</t>
  </si>
  <si>
    <t>Lead in KMs &amp; NTKM/PASS IN Million</t>
  </si>
  <si>
    <t>Total Receipt</t>
  </si>
  <si>
    <t xml:space="preserve">% Vari. over target. </t>
  </si>
  <si>
    <t>% incr. over cor. Yr.</t>
  </si>
  <si>
    <t>ORG. LEAD</t>
  </si>
  <si>
    <t>Actual to end</t>
  </si>
  <si>
    <t xml:space="preserve"> Target to end</t>
  </si>
  <si>
    <t xml:space="preserve">Actual to end </t>
  </si>
  <si>
    <t>Var Target</t>
  </si>
  <si>
    <t>%over Prev.Year</t>
  </si>
  <si>
    <t>ORG. NTKM</t>
  </si>
  <si>
    <t>Col.5/2</t>
  </si>
  <si>
    <t>ORG.PASS</t>
  </si>
  <si>
    <t>1</t>
  </si>
  <si>
    <t xml:space="preserve">            APPORTIONED EARNINGS     ( Rs. In Crore )</t>
  </si>
  <si>
    <t xml:space="preserve">Target </t>
  </si>
  <si>
    <t>% Variation</t>
  </si>
  <si>
    <t xml:space="preserve">for </t>
  </si>
  <si>
    <t xml:space="preserve">                                                 </t>
  </si>
  <si>
    <t>Details of Suspense</t>
  </si>
  <si>
    <t xml:space="preserve">TRAFFIC SUSPENSE </t>
  </si>
  <si>
    <t>Amount</t>
  </si>
  <si>
    <t>Actual to  end</t>
  </si>
  <si>
    <t>Target to end</t>
  </si>
  <si>
    <t>For</t>
  </si>
  <si>
    <t>To End</t>
  </si>
  <si>
    <t>Over Target</t>
  </si>
  <si>
    <t>Over Pre.Yr.</t>
  </si>
  <si>
    <t>Traffic Suspense</t>
  </si>
  <si>
    <t>Demands Recoverable</t>
  </si>
  <si>
    <t>Operating Ratio %</t>
  </si>
  <si>
    <t>Total</t>
  </si>
  <si>
    <t xml:space="preserve">   Dy F.A. &amp; C.A.O/Budget</t>
  </si>
  <si>
    <t>ORDINARY WORKING EXPENSES FOR</t>
  </si>
  <si>
    <t>(Net)</t>
  </si>
  <si>
    <t xml:space="preserve">         (Rs.In Crore)</t>
  </si>
  <si>
    <t>PLAN HEAD WISE EXPENDITURE (DEMAND-16)</t>
  </si>
  <si>
    <t>Demands</t>
  </si>
  <si>
    <t xml:space="preserve">BP </t>
  </si>
  <si>
    <t>Var</t>
  </si>
  <si>
    <t xml:space="preserve">%over </t>
  </si>
  <si>
    <t>PLAN HEADS</t>
  </si>
  <si>
    <t>Var.</t>
  </si>
  <si>
    <t xml:space="preserve">% </t>
  </si>
  <si>
    <t>Act.-BP</t>
  </si>
  <si>
    <t>Previous Year</t>
  </si>
  <si>
    <t>GROSS</t>
  </si>
  <si>
    <t>Credit</t>
  </si>
  <si>
    <t>NET</t>
  </si>
  <si>
    <t>Col 3-6</t>
  </si>
  <si>
    <t>Col 6/3</t>
  </si>
  <si>
    <t>3- Genl Supt. &amp; Services</t>
  </si>
  <si>
    <t>11-New Lines  (V+C)</t>
  </si>
  <si>
    <t>4- R&amp;M (P.Way &amp;Works)</t>
  </si>
  <si>
    <t>14-Gauge Conversion</t>
  </si>
  <si>
    <t>5- R&amp;M (Motive Power)</t>
  </si>
  <si>
    <t xml:space="preserve">15- Doubling </t>
  </si>
  <si>
    <t>6- R&amp;M (Carriage &amp;Wagon)</t>
  </si>
  <si>
    <t>16- Traffic Facilities</t>
  </si>
  <si>
    <t>7- R&amp;M (Plant &amp; Equipment)</t>
  </si>
  <si>
    <t>17- Computerisation</t>
  </si>
  <si>
    <t>8- Opg Exp. (Rolling Stock)</t>
  </si>
  <si>
    <t>21- Rolling Stock (BO)</t>
  </si>
  <si>
    <t>9- Opg Exp (Traffic)</t>
  </si>
  <si>
    <t>21- Rolling Stock (OBO)</t>
  </si>
  <si>
    <t>10- Opg Exp. (Fuel)</t>
  </si>
  <si>
    <t>22- Leased Assets</t>
  </si>
  <si>
    <t>11- Staff Welfare</t>
  </si>
  <si>
    <t>29- Safety Works LC</t>
  </si>
  <si>
    <t>12- Misc W.Exp.</t>
  </si>
  <si>
    <t>30- Sfty Wrks RUB/ROB</t>
  </si>
  <si>
    <t>13- PF &amp; Pension</t>
  </si>
  <si>
    <t>31- Track Renewals</t>
  </si>
  <si>
    <t>Total (excl.Susp.)</t>
  </si>
  <si>
    <t>32- Bridge Works</t>
  </si>
  <si>
    <t>33- S&amp;T Works</t>
  </si>
  <si>
    <t>Total (incl.Susp.)</t>
  </si>
  <si>
    <t>36- Other Elect. Works</t>
  </si>
  <si>
    <t xml:space="preserve">ORDINARY WORKING EXPENSES TO END OF </t>
  </si>
  <si>
    <t>41- Plant &amp; Machinery.</t>
  </si>
  <si>
    <t>%age of</t>
  </si>
  <si>
    <t>%over Prev.</t>
  </si>
  <si>
    <t>42- Workshops (V+C)</t>
  </si>
  <si>
    <t>Year</t>
  </si>
  <si>
    <t>51- Staff Quarters ( V+C)</t>
  </si>
  <si>
    <t>53- Passenger Amenities</t>
  </si>
  <si>
    <t>64- Oth. Spcfied Works</t>
  </si>
  <si>
    <t>65-Training/HRD</t>
  </si>
  <si>
    <t>EBR+PPP</t>
  </si>
  <si>
    <t>Total (excl.Sus.)</t>
  </si>
  <si>
    <t>71-Stores Sus</t>
  </si>
  <si>
    <t>72-WMS</t>
  </si>
  <si>
    <t>73-MAC</t>
  </si>
  <si>
    <t>Suspense (Total)</t>
  </si>
  <si>
    <t>Total (incl.Sus.)</t>
  </si>
  <si>
    <t>SOURCE OF FUND WISE</t>
  </si>
  <si>
    <t>CAPITAL</t>
  </si>
  <si>
    <t>DRF</t>
  </si>
  <si>
    <t>Appropriation to DRF</t>
  </si>
  <si>
    <t>DF</t>
  </si>
  <si>
    <t>Appropriation to Pen. Fund</t>
  </si>
  <si>
    <t>Capital Fund</t>
  </si>
  <si>
    <t>Gross Expenditure</t>
  </si>
  <si>
    <t>RRSK</t>
  </si>
  <si>
    <t>Gross Expenditure w/o susp.</t>
  </si>
  <si>
    <t>Safety Fund</t>
  </si>
  <si>
    <t>Particulars</t>
  </si>
  <si>
    <t>To end</t>
  </si>
  <si>
    <t>Demands Payable</t>
  </si>
  <si>
    <t>GROSS EARNINGS</t>
  </si>
  <si>
    <t>O.W.E.</t>
  </si>
  <si>
    <t>GWE</t>
  </si>
  <si>
    <t>Surplus</t>
  </si>
  <si>
    <t>Op. Ratio</t>
  </si>
  <si>
    <t>(Rs. In crore)</t>
  </si>
  <si>
    <t>% Utilisation on Gross</t>
  </si>
  <si>
    <t>01- Genl Supt. &amp; Services</t>
  </si>
  <si>
    <t>02- R&amp;M (P.Way &amp;Works)</t>
  </si>
  <si>
    <t>03- R&amp;M (Motive Power)</t>
  </si>
  <si>
    <t>04- R&amp;M (Carriage &amp;Wagon)</t>
  </si>
  <si>
    <t>05- R&amp;M (Plant &amp; Equipment)</t>
  </si>
  <si>
    <t>15- Doubling (CAPITAL)</t>
  </si>
  <si>
    <t>06- Opg Exp. (Rolling Stock)</t>
  </si>
  <si>
    <t>07- Opg Exp (Traffic)</t>
  </si>
  <si>
    <t>08- Opg Exp. (Fuel)</t>
  </si>
  <si>
    <t>09- Staff Welfare</t>
  </si>
  <si>
    <t>10- Misc W.Exp.</t>
  </si>
  <si>
    <t>11- PF &amp; Pension</t>
  </si>
  <si>
    <t>Total OWE (excl.Susp.)</t>
  </si>
  <si>
    <t>Total OWE (incl.Susp.)</t>
  </si>
  <si>
    <t>Approp to DRF</t>
  </si>
  <si>
    <t>Approp to Pension Fund</t>
  </si>
  <si>
    <t>Gross Exp (without Susp)</t>
  </si>
  <si>
    <t xml:space="preserve">GrossApport. Earnings </t>
  </si>
  <si>
    <t>Operating Ratio</t>
  </si>
  <si>
    <t>Var.wrt.COPPY</t>
  </si>
  <si>
    <t>Segments</t>
  </si>
  <si>
    <t>Daily Target</t>
  </si>
  <si>
    <t>Last Year</t>
  </si>
  <si>
    <t>BP THIS YEAR</t>
  </si>
  <si>
    <t>ACT THIS YEAR</t>
  </si>
  <si>
    <t>LAST YEAR</t>
  </si>
  <si>
    <t xml:space="preserve">% Var over BP </t>
  </si>
  <si>
    <t>CAPITAL SUSPENSE</t>
  </si>
  <si>
    <t>Total CAPEX (incl.Sus.)</t>
  </si>
  <si>
    <t>SOURCE -WISE</t>
  </si>
  <si>
    <t>CAPITAL (including suspense)</t>
  </si>
  <si>
    <t>Sr.NO.</t>
  </si>
  <si>
    <t>DAILY AVG.</t>
  </si>
  <si>
    <t>Item/Particular</t>
  </si>
  <si>
    <t>ACT. THIS YEAR</t>
  </si>
  <si>
    <t xml:space="preserve">Apportioned Earnings </t>
  </si>
  <si>
    <t>%Var. wrt. COPPY</t>
  </si>
  <si>
    <t>Originating Earnings</t>
  </si>
  <si>
    <t xml:space="preserve"> (Rs. In crore)</t>
  </si>
  <si>
    <t>Rs. In Crore</t>
  </si>
  <si>
    <t xml:space="preserve"> Var. over BP</t>
  </si>
  <si>
    <t xml:space="preserve">% Var. over BP </t>
  </si>
  <si>
    <t>Var. wrt. COPPY</t>
  </si>
  <si>
    <t>Finance Review of North Central Railway</t>
  </si>
  <si>
    <t>Ordinary Working Expenses</t>
  </si>
  <si>
    <t>(Rs. in Crore)</t>
  </si>
  <si>
    <t>Act. up to</t>
  </si>
  <si>
    <t>BP up to</t>
  </si>
  <si>
    <t>Demand for Grants</t>
  </si>
  <si>
    <t>App/act. - BP</t>
  </si>
  <si>
    <t>3 A</t>
  </si>
  <si>
    <t>4 B</t>
  </si>
  <si>
    <t>5 C</t>
  </si>
  <si>
    <t>6 D</t>
  </si>
  <si>
    <t>7 E</t>
  </si>
  <si>
    <t>8 F</t>
  </si>
  <si>
    <t>9 G</t>
  </si>
  <si>
    <t>10 H</t>
  </si>
  <si>
    <t>11 J</t>
  </si>
  <si>
    <t>12 K</t>
  </si>
  <si>
    <t>13 L</t>
  </si>
  <si>
    <t>Total   ( C )</t>
  </si>
  <si>
    <t>37-TRD Works</t>
  </si>
  <si>
    <t>OWE  ( C )</t>
  </si>
  <si>
    <t>Appropriation to DRF  (D)</t>
  </si>
  <si>
    <t>Appropriation to Pen. Fund ( E)</t>
  </si>
  <si>
    <t>Total W.Exp (F) ( C+D+E)</t>
  </si>
  <si>
    <t>52- Amenities for Staff</t>
  </si>
  <si>
    <t>OPERATING RATIO (C=D=E) / (A)</t>
  </si>
  <si>
    <t>No. 2013/NCR/ACCTS/Budget/Action Plan</t>
  </si>
  <si>
    <t>Ref: No.AC/NCR/Effy./MCDO/2013 dated 30.07.2013</t>
  </si>
  <si>
    <t>AFA/Budget/NCR</t>
  </si>
  <si>
    <t>Copy to: Secy.to GM for information of GM,AGM, SDGM, DRM/ALD, DRM/JHS, DRM/AGC, PCE, CAO/C, PCME, PCEE, PCSTE, PCMM, PCOM, CFTM,PCCM, CSO, PCPO, PCSC,PCMD,   FA&amp;CAO/G, FA&amp;CAO/C, FA&amp;CAO/WST,</t>
  </si>
  <si>
    <t>CWM/JHS, CWM/STLI,  FA&amp;CAO/PU, CPRO, Dy.FA&amp;CAO/T,DyFA&amp;CAO/F,Dy.FA&amp;CAO/G, Dy.FA&amp;CAO/Stores, Dy.FA&amp;CAO/W and AFA/Books.</t>
  </si>
  <si>
    <t>Earnings</t>
  </si>
  <si>
    <t>Variation</t>
  </si>
  <si>
    <t>%age Over</t>
  </si>
  <si>
    <t xml:space="preserve">Variation over BP </t>
  </si>
  <si>
    <t>Variation over BP  in %age</t>
  </si>
  <si>
    <t>Variation over Last Year</t>
  </si>
  <si>
    <t>Variation over Last Year in %age</t>
  </si>
  <si>
    <t>Previous 
Year</t>
  </si>
  <si>
    <t>Current
 year</t>
  </si>
  <si>
    <t>Corrent
 year</t>
  </si>
  <si>
    <t>2018-19</t>
  </si>
  <si>
    <t>01</t>
  </si>
  <si>
    <t>02</t>
  </si>
  <si>
    <t>03</t>
  </si>
  <si>
    <t>04</t>
  </si>
  <si>
    <t>05</t>
  </si>
  <si>
    <t>06</t>
  </si>
  <si>
    <t>07</t>
  </si>
  <si>
    <t>08</t>
  </si>
  <si>
    <t>5 (4-2)</t>
  </si>
  <si>
    <t>7 (4-3)</t>
  </si>
  <si>
    <t>Total (excl Sus)</t>
  </si>
  <si>
    <t>Total (incl Sus)</t>
  </si>
  <si>
    <t>Total (excl.Sus. )</t>
  </si>
  <si>
    <t>Orig. as % of Apport</t>
  </si>
  <si>
    <t>Apport to Orig. ratio</t>
  </si>
  <si>
    <t>Gross Revenue</t>
  </si>
  <si>
    <t xml:space="preserve">Carried Earning </t>
  </si>
  <si>
    <t xml:space="preserve"> KEY STATISTICS TO END OF </t>
  </si>
  <si>
    <t>AUG</t>
  </si>
  <si>
    <t>SEP</t>
  </si>
  <si>
    <t>Dec-20</t>
  </si>
  <si>
    <t>Pig Iron finished steel</t>
  </si>
  <si>
    <t>EBR(S)</t>
  </si>
  <si>
    <t>EBR(IF)</t>
  </si>
  <si>
    <t>EBR(IF)+EBR(P)</t>
  </si>
  <si>
    <t xml:space="preserve">Present monthly rate </t>
  </si>
  <si>
    <t>Revenue (apprort)</t>
  </si>
  <si>
    <t xml:space="preserve">Revenue Originating </t>
  </si>
  <si>
    <t>BalanceTarget</t>
  </si>
  <si>
    <t>Daily Taget</t>
  </si>
  <si>
    <t>Balance Target with Actual</t>
  </si>
  <si>
    <t>BalanceTarget with Actual</t>
  </si>
  <si>
    <t>Rs. in Crore</t>
  </si>
  <si>
    <t>SOURCE-WISE</t>
  </si>
  <si>
    <t xml:space="preserve">% Utilisation on Gross </t>
  </si>
  <si>
    <t>PLAN HEADS &amp; EBR(S)+EBR(IRFC)</t>
  </si>
  <si>
    <t>Monthly target for one month</t>
  </si>
  <si>
    <t>Monthly Target for one  month</t>
  </si>
  <si>
    <t>Pen.Fun.</t>
  </si>
  <si>
    <t>2021-22</t>
  </si>
  <si>
    <t>Actual 2020-21</t>
  </si>
  <si>
    <t>Target      2021-22</t>
  </si>
  <si>
    <t>Actual      2020-21</t>
  </si>
  <si>
    <t>Actual         2020-21</t>
  </si>
  <si>
    <t>Target        2021-22</t>
  </si>
  <si>
    <t>Actual        2020-21</t>
  </si>
  <si>
    <t>Target 2021-22</t>
  </si>
  <si>
    <t>Target          2021-22</t>
  </si>
  <si>
    <t>Actual               2020-21</t>
  </si>
  <si>
    <t>Target     2021-22</t>
  </si>
  <si>
    <t>Actual                 2020-21</t>
  </si>
  <si>
    <t>EBR (P)</t>
  </si>
  <si>
    <t>Actual 2021-22</t>
  </si>
  <si>
    <t>Last year 2020-21 actuals</t>
  </si>
  <si>
    <r>
      <rPr>
        <b/>
        <strike/>
        <sz val="12"/>
        <rFont val="Arial"/>
        <family val="2"/>
      </rPr>
      <t>%</t>
    </r>
    <r>
      <rPr>
        <b/>
        <sz val="12"/>
        <rFont val="Arial"/>
        <family val="2"/>
      </rPr>
      <t xml:space="preserve"> Var over BP </t>
    </r>
  </si>
  <si>
    <t>May</t>
  </si>
  <si>
    <t>MAY</t>
  </si>
  <si>
    <t xml:space="preserve">   NCR / Prayagraj</t>
  </si>
  <si>
    <t>Var over OB (Apr'20)</t>
  </si>
  <si>
    <t>14-GSepe Conversion</t>
  </si>
  <si>
    <t>BP SepIL 2019</t>
  </si>
  <si>
    <t>ACTUAL SepIL 18</t>
  </si>
  <si>
    <t>Actual SepIL 19</t>
  </si>
  <si>
    <t>Sept</t>
  </si>
  <si>
    <t>Actual upto Oct'20</t>
  </si>
  <si>
    <t>Accretion during 21-22</t>
  </si>
  <si>
    <t>Actual upto Oct'21</t>
  </si>
  <si>
    <t>Actual upto Nov'20</t>
  </si>
  <si>
    <t>BP upto Nov'21</t>
  </si>
  <si>
    <t>Actual upto Nov'21</t>
  </si>
  <si>
    <t>As on Oct '21</t>
  </si>
  <si>
    <t>Dec-21 (Actual.)</t>
  </si>
  <si>
    <t xml:space="preserve">  Upto 'Dec-21 (Actual.)</t>
  </si>
  <si>
    <t>Dec-21</t>
  </si>
  <si>
    <t>APPORTIONED EARNINGS TO END OF 'Dec-21                 Rs in Crore</t>
  </si>
  <si>
    <t>2.Target upto Dec-21</t>
  </si>
  <si>
    <t>3.Upto Dec-21</t>
  </si>
  <si>
    <t>Actual Up 12/20</t>
  </si>
  <si>
    <t>Target upto 12/21</t>
  </si>
  <si>
    <t>Actual Up to 12/21</t>
  </si>
  <si>
    <t>OB as on 01-11-21</t>
  </si>
  <si>
    <t>Target CB to end of Nov'21</t>
  </si>
  <si>
    <t>CB Act. Nov-21</t>
  </si>
  <si>
    <t>Actual Dec'20</t>
  </si>
  <si>
    <t>BP Dec'21</t>
  </si>
  <si>
    <t>Actual Dec'21</t>
  </si>
  <si>
    <t>Actual upto Dec'20</t>
  </si>
  <si>
    <t>BP upto Dec'21</t>
  </si>
  <si>
    <t>Actual upto Dec'21</t>
  </si>
  <si>
    <r>
      <t xml:space="preserve">  </t>
    </r>
    <r>
      <rPr>
        <b/>
        <sz val="11"/>
        <rFont val="Arial"/>
        <family val="2"/>
      </rPr>
      <t>Upto Dec-21 (Actual.)</t>
    </r>
  </si>
  <si>
    <t>Position upto Dec'21</t>
  </si>
  <si>
    <t>ACTUAL UP TO Dec-21</t>
  </si>
  <si>
    <t>RG  2021-22</t>
  </si>
  <si>
    <t>RG</t>
  </si>
  <si>
    <t>RG 2021-22</t>
  </si>
  <si>
    <t xml:space="preserve">KEY STATISTICS TO END OF Dec-2021 (Actual.) </t>
  </si>
  <si>
    <t>1.Target RG 2021-22</t>
  </si>
  <si>
    <t>12.01.22</t>
  </si>
  <si>
    <t>RG 20221-22</t>
  </si>
  <si>
    <t>Revenue (approtioned) 2021-22</t>
  </si>
  <si>
    <t>Revenue Originating 2021-22</t>
  </si>
  <si>
    <t>% of RG</t>
  </si>
  <si>
    <t>17.01.2022</t>
  </si>
  <si>
    <t>As on Nov-20</t>
  </si>
  <si>
    <t>As on Nov 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</si>
</sst>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00000000%"/>
    <numFmt numFmtId="166" formatCode="0.0"/>
    <numFmt numFmtId="167" formatCode="0.00;[Red]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1"/>
      <color rgb="FFFF0000"/>
      <name val="Arial"/>
      <family val="2"/>
    </font>
    <font>
      <b/>
      <i/>
      <sz val="11"/>
      <color theme="1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b/>
      <sz val="11"/>
      <color rgb="FF00B0F0"/>
      <name val="Arial"/>
      <family val="2"/>
    </font>
    <font>
      <b/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sz val="9"/>
      <color theme="1"/>
      <name val="Century"/>
      <family val="1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9"/>
      <color rgb="FF000000"/>
      <name val="Century"/>
      <family val="1"/>
    </font>
    <font>
      <sz val="9"/>
      <color theme="1"/>
      <name val="Century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trike/>
      <sz val="12"/>
      <name val="Arial"/>
      <family val="2"/>
    </font>
    <font>
      <sz val="18"/>
      <name val="Calibri"/>
      <family val="2"/>
      <scheme val="minor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4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1" xfId="0" applyFont="1" applyFill="1" applyBorder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7" fontId="4" fillId="0" borderId="0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top"/>
    </xf>
    <xf numFmtId="0" fontId="6" fillId="0" borderId="10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5" fillId="0" borderId="16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5" fillId="0" borderId="18" xfId="0" applyFont="1" applyFill="1" applyBorder="1" applyAlignment="1">
      <alignment vertical="top"/>
    </xf>
    <xf numFmtId="2" fontId="8" fillId="0" borderId="19" xfId="0" applyNumberFormat="1" applyFont="1" applyFill="1" applyBorder="1" applyAlignment="1">
      <alignment vertical="top"/>
    </xf>
    <xf numFmtId="2" fontId="8" fillId="0" borderId="3" xfId="0" applyNumberFormat="1" applyFont="1" applyFill="1" applyBorder="1" applyAlignment="1">
      <alignment vertical="top"/>
    </xf>
    <xf numFmtId="164" fontId="8" fillId="0" borderId="20" xfId="1" applyNumberFormat="1" applyFont="1" applyFill="1" applyBorder="1" applyAlignment="1">
      <alignment vertical="top"/>
    </xf>
    <xf numFmtId="2" fontId="9" fillId="0" borderId="3" xfId="0" applyNumberFormat="1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/>
    <xf numFmtId="0" fontId="5" fillId="0" borderId="21" xfId="0" applyFont="1" applyFill="1" applyBorder="1" applyAlignment="1">
      <alignment horizontal="left" vertical="top"/>
    </xf>
    <xf numFmtId="2" fontId="8" fillId="0" borderId="19" xfId="0" applyNumberFormat="1" applyFont="1" applyFill="1" applyBorder="1" applyAlignment="1">
      <alignment horizontal="right" vertical="top"/>
    </xf>
    <xf numFmtId="164" fontId="8" fillId="0" borderId="20" xfId="1" applyNumberFormat="1" applyFont="1" applyFill="1" applyBorder="1" applyAlignment="1">
      <alignment horizontal="right" vertical="top"/>
    </xf>
    <xf numFmtId="2" fontId="9" fillId="0" borderId="22" xfId="0" applyNumberFormat="1" applyFont="1" applyBorder="1"/>
    <xf numFmtId="164" fontId="8" fillId="0" borderId="21" xfId="1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/>
    </xf>
    <xf numFmtId="0" fontId="3" fillId="0" borderId="2" xfId="0" applyFont="1" applyFill="1" applyBorder="1"/>
    <xf numFmtId="164" fontId="8" fillId="0" borderId="18" xfId="1" applyNumberFormat="1" applyFont="1" applyFill="1" applyBorder="1" applyAlignment="1">
      <alignment vertical="top"/>
    </xf>
    <xf numFmtId="2" fontId="10" fillId="0" borderId="0" xfId="0" applyNumberFormat="1" applyFont="1" applyFill="1" applyBorder="1"/>
    <xf numFmtId="0" fontId="5" fillId="0" borderId="23" xfId="0" applyFont="1" applyFill="1" applyBorder="1" applyAlignment="1">
      <alignment vertical="top"/>
    </xf>
    <xf numFmtId="2" fontId="8" fillId="0" borderId="24" xfId="0" applyNumberFormat="1" applyFont="1" applyFill="1" applyBorder="1" applyAlignment="1">
      <alignment vertical="top"/>
    </xf>
    <xf numFmtId="164" fontId="8" fillId="0" borderId="26" xfId="1" applyNumberFormat="1" applyFont="1" applyFill="1" applyBorder="1" applyAlignment="1">
      <alignment vertical="top"/>
    </xf>
    <xf numFmtId="164" fontId="8" fillId="0" borderId="23" xfId="1" applyNumberFormat="1" applyFont="1" applyFill="1" applyBorder="1" applyAlignment="1">
      <alignment vertical="top"/>
    </xf>
    <xf numFmtId="0" fontId="5" fillId="0" borderId="27" xfId="0" applyFont="1" applyFill="1" applyBorder="1" applyAlignment="1">
      <alignment horizontal="left" vertical="top"/>
    </xf>
    <xf numFmtId="2" fontId="8" fillId="0" borderId="24" xfId="0" applyNumberFormat="1" applyFont="1" applyFill="1" applyBorder="1" applyAlignment="1">
      <alignment horizontal="right" vertical="top"/>
    </xf>
    <xf numFmtId="164" fontId="8" fillId="0" borderId="26" xfId="1" applyNumberFormat="1" applyFont="1" applyFill="1" applyBorder="1" applyAlignment="1">
      <alignment horizontal="right" vertical="top"/>
    </xf>
    <xf numFmtId="164" fontId="8" fillId="0" borderId="27" xfId="1" applyNumberFormat="1" applyFont="1" applyFill="1" applyBorder="1" applyAlignment="1">
      <alignment horizontal="right" vertical="top"/>
    </xf>
    <xf numFmtId="0" fontId="5" fillId="0" borderId="28" xfId="0" applyFont="1" applyFill="1" applyBorder="1" applyAlignment="1">
      <alignment vertical="top"/>
    </xf>
    <xf numFmtId="2" fontId="4" fillId="0" borderId="29" xfId="0" applyNumberFormat="1" applyFont="1" applyFill="1" applyBorder="1" applyAlignment="1">
      <alignment vertical="top"/>
    </xf>
    <xf numFmtId="164" fontId="8" fillId="0" borderId="30" xfId="1" applyNumberFormat="1" applyFont="1" applyFill="1" applyBorder="1" applyAlignment="1">
      <alignment vertical="top"/>
    </xf>
    <xf numFmtId="164" fontId="4" fillId="0" borderId="30" xfId="1" applyNumberFormat="1" applyFont="1" applyFill="1" applyBorder="1" applyAlignment="1">
      <alignment vertical="top"/>
    </xf>
    <xf numFmtId="164" fontId="4" fillId="0" borderId="28" xfId="1" applyNumberFormat="1" applyFont="1" applyFill="1" applyBorder="1" applyAlignment="1">
      <alignment vertical="top"/>
    </xf>
    <xf numFmtId="0" fontId="5" fillId="0" borderId="5" xfId="0" applyFont="1" applyFill="1" applyBorder="1" applyAlignment="1">
      <alignment horizontal="left" vertical="top"/>
    </xf>
    <xf numFmtId="2" fontId="4" fillId="0" borderId="29" xfId="0" applyNumberFormat="1" applyFont="1" applyFill="1" applyBorder="1" applyAlignment="1">
      <alignment horizontal="right" vertical="top"/>
    </xf>
    <xf numFmtId="2" fontId="4" fillId="0" borderId="31" xfId="0" applyNumberFormat="1" applyFont="1" applyFill="1" applyBorder="1" applyAlignment="1">
      <alignment horizontal="right" vertical="top"/>
    </xf>
    <xf numFmtId="164" fontId="4" fillId="0" borderId="30" xfId="1" applyNumberFormat="1" applyFont="1" applyFill="1" applyBorder="1" applyAlignment="1">
      <alignment horizontal="right" vertical="top"/>
    </xf>
    <xf numFmtId="2" fontId="4" fillId="0" borderId="3" xfId="0" applyNumberFormat="1" applyFont="1" applyFill="1" applyBorder="1"/>
    <xf numFmtId="2" fontId="11" fillId="0" borderId="3" xfId="0" applyNumberFormat="1" applyFont="1" applyBorder="1"/>
    <xf numFmtId="164" fontId="4" fillId="0" borderId="32" xfId="1" applyNumberFormat="1" applyFont="1" applyFill="1" applyBorder="1" applyAlignment="1">
      <alignment horizontal="right" vertical="top"/>
    </xf>
    <xf numFmtId="0" fontId="2" fillId="0" borderId="33" xfId="0" applyFont="1" applyFill="1" applyBorder="1" applyAlignment="1">
      <alignment horizontal="left" vertical="top"/>
    </xf>
    <xf numFmtId="2" fontId="8" fillId="0" borderId="14" xfId="0" applyNumberFormat="1" applyFont="1" applyFill="1" applyBorder="1" applyAlignment="1">
      <alignment vertical="top"/>
    </xf>
    <xf numFmtId="164" fontId="8" fillId="0" borderId="34" xfId="1" applyNumberFormat="1" applyFont="1" applyFill="1" applyBorder="1" applyAlignment="1">
      <alignment horizontal="right" vertical="top"/>
    </xf>
    <xf numFmtId="2" fontId="8" fillId="0" borderId="3" xfId="0" applyNumberFormat="1" applyFont="1" applyFill="1" applyBorder="1"/>
    <xf numFmtId="2" fontId="8" fillId="0" borderId="14" xfId="0" applyNumberFormat="1" applyFont="1" applyFill="1" applyBorder="1" applyAlignment="1">
      <alignment horizontal="right" vertical="top"/>
    </xf>
    <xf numFmtId="164" fontId="8" fillId="0" borderId="33" xfId="1" applyNumberFormat="1" applyFont="1" applyFill="1" applyBorder="1" applyAlignment="1">
      <alignment horizontal="right" vertical="top"/>
    </xf>
    <xf numFmtId="164" fontId="8" fillId="0" borderId="35" xfId="1" applyNumberFormat="1" applyFont="1" applyFill="1" applyBorder="1" applyAlignment="1">
      <alignment horizontal="right" vertical="top"/>
    </xf>
    <xf numFmtId="2" fontId="2" fillId="0" borderId="0" xfId="0" applyNumberFormat="1" applyFont="1" applyFill="1" applyBorder="1"/>
    <xf numFmtId="0" fontId="2" fillId="0" borderId="27" xfId="0" applyFont="1" applyFill="1" applyBorder="1" applyAlignment="1">
      <alignment vertical="top"/>
    </xf>
    <xf numFmtId="2" fontId="4" fillId="0" borderId="24" xfId="0" applyNumberFormat="1" applyFont="1" applyFill="1" applyBorder="1" applyAlignment="1">
      <alignment vertical="top"/>
    </xf>
    <xf numFmtId="0" fontId="4" fillId="0" borderId="21" xfId="0" applyFont="1" applyFill="1" applyBorder="1" applyAlignment="1">
      <alignment horizontal="left"/>
    </xf>
    <xf numFmtId="0" fontId="8" fillId="0" borderId="39" xfId="0" applyFont="1" applyFill="1" applyBorder="1"/>
    <xf numFmtId="0" fontId="4" fillId="0" borderId="6" xfId="0" applyFont="1" applyFill="1" applyBorder="1" applyAlignment="1">
      <alignment horizontal="left"/>
    </xf>
    <xf numFmtId="0" fontId="8" fillId="0" borderId="6" xfId="0" applyFont="1" applyFill="1" applyBorder="1"/>
    <xf numFmtId="0" fontId="4" fillId="0" borderId="40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6" fillId="0" borderId="6" xfId="0" applyFont="1" applyFill="1" applyBorder="1"/>
    <xf numFmtId="0" fontId="3" fillId="0" borderId="6" xfId="0" applyFont="1" applyFill="1" applyBorder="1" applyAlignment="1">
      <alignment horizontal="right" vertical="top"/>
    </xf>
    <xf numFmtId="0" fontId="10" fillId="0" borderId="6" xfId="0" applyFont="1" applyFill="1" applyBorder="1" applyAlignment="1">
      <alignment horizontal="right" vertical="top"/>
    </xf>
    <xf numFmtId="0" fontId="10" fillId="0" borderId="6" xfId="0" applyFont="1" applyFill="1" applyBorder="1"/>
    <xf numFmtId="0" fontId="3" fillId="0" borderId="10" xfId="0" applyFont="1" applyFill="1" applyBorder="1" applyAlignment="1">
      <alignment horizontal="left" vertical="top"/>
    </xf>
    <xf numFmtId="0" fontId="3" fillId="0" borderId="41" xfId="0" applyFont="1" applyFill="1" applyBorder="1" applyAlignment="1">
      <alignment horizontal="right" vertical="top"/>
    </xf>
    <xf numFmtId="0" fontId="3" fillId="0" borderId="42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 vertical="top"/>
    </xf>
    <xf numFmtId="0" fontId="4" fillId="0" borderId="16" xfId="0" applyFont="1" applyFill="1" applyBorder="1" applyAlignment="1">
      <alignment horizontal="center" vertical="top"/>
    </xf>
    <xf numFmtId="0" fontId="4" fillId="0" borderId="14" xfId="0" applyFont="1" applyFill="1" applyBorder="1" applyAlignment="1">
      <alignment horizontal="left" vertical="top" wrapText="1"/>
    </xf>
    <xf numFmtId="0" fontId="4" fillId="0" borderId="35" xfId="0" applyFont="1" applyFill="1" applyBorder="1" applyAlignment="1">
      <alignment horizontal="left" vertical="top" wrapText="1"/>
    </xf>
    <xf numFmtId="0" fontId="4" fillId="0" borderId="33" xfId="0" applyFont="1" applyFill="1" applyBorder="1" applyAlignment="1">
      <alignment horizontal="left" vertical="top" wrapText="1"/>
    </xf>
    <xf numFmtId="0" fontId="4" fillId="0" borderId="43" xfId="0" applyFont="1" applyFill="1" applyBorder="1" applyAlignment="1">
      <alignment horizontal="left" vertical="top" wrapText="1"/>
    </xf>
    <xf numFmtId="0" fontId="4" fillId="0" borderId="44" xfId="0" applyFont="1" applyFill="1" applyBorder="1" applyAlignment="1">
      <alignment horizontal="left" vertical="top" wrapText="1"/>
    </xf>
    <xf numFmtId="0" fontId="4" fillId="0" borderId="45" xfId="0" applyFont="1" applyFill="1" applyBorder="1" applyAlignment="1">
      <alignment horizontal="left" vertical="top" wrapText="1"/>
    </xf>
    <xf numFmtId="0" fontId="2" fillId="0" borderId="46" xfId="0" applyFont="1" applyFill="1" applyBorder="1" applyAlignment="1">
      <alignment horizontal="left" vertical="top"/>
    </xf>
    <xf numFmtId="0" fontId="5" fillId="0" borderId="12" xfId="0" applyFont="1" applyFill="1" applyBorder="1" applyAlignment="1">
      <alignment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vertical="top"/>
    </xf>
    <xf numFmtId="0" fontId="4" fillId="0" borderId="16" xfId="0" applyFont="1" applyFill="1" applyBorder="1" applyAlignment="1">
      <alignment vertical="top"/>
    </xf>
    <xf numFmtId="2" fontId="8" fillId="0" borderId="16" xfId="0" applyNumberFormat="1" applyFont="1" applyFill="1" applyBorder="1" applyAlignment="1">
      <alignment horizontal="right" vertical="top"/>
    </xf>
    <xf numFmtId="2" fontId="8" fillId="0" borderId="3" xfId="0" applyNumberFormat="1" applyFont="1" applyFill="1" applyBorder="1" applyAlignment="1">
      <alignment horizontal="right" vertical="top"/>
    </xf>
    <xf numFmtId="2" fontId="8" fillId="0" borderId="47" xfId="0" applyNumberFormat="1" applyFont="1" applyFill="1" applyBorder="1" applyAlignment="1">
      <alignment horizontal="right" vertical="top"/>
    </xf>
    <xf numFmtId="0" fontId="5" fillId="0" borderId="18" xfId="0" applyFont="1" applyFill="1" applyBorder="1" applyAlignment="1">
      <alignment horizontal="left" vertical="top"/>
    </xf>
    <xf numFmtId="2" fontId="8" fillId="0" borderId="8" xfId="0" applyNumberFormat="1" applyFont="1" applyFill="1" applyBorder="1" applyAlignment="1">
      <alignment horizontal="right" vertical="top"/>
    </xf>
    <xf numFmtId="164" fontId="8" fillId="0" borderId="19" xfId="1" applyNumberFormat="1" applyFont="1" applyFill="1" applyBorder="1" applyAlignment="1">
      <alignment horizontal="right" vertical="top"/>
    </xf>
    <xf numFmtId="164" fontId="8" fillId="0" borderId="20" xfId="1" applyNumberFormat="1" applyFont="1" applyFill="1" applyBorder="1"/>
    <xf numFmtId="2" fontId="8" fillId="0" borderId="20" xfId="0" applyNumberFormat="1" applyFont="1" applyFill="1" applyBorder="1" applyAlignment="1">
      <alignment horizontal="right" vertical="top"/>
    </xf>
    <xf numFmtId="2" fontId="2" fillId="0" borderId="0" xfId="0" applyNumberFormat="1" applyFont="1" applyFill="1" applyBorder="1" applyAlignment="1">
      <alignment horizontal="right" vertical="top"/>
    </xf>
    <xf numFmtId="0" fontId="4" fillId="0" borderId="48" xfId="0" applyFont="1" applyFill="1" applyBorder="1" applyAlignment="1">
      <alignment vertical="top"/>
    </xf>
    <xf numFmtId="2" fontId="8" fillId="0" borderId="48" xfId="0" applyNumberFormat="1" applyFont="1" applyFill="1" applyBorder="1" applyAlignment="1">
      <alignment horizontal="right" vertical="top"/>
    </xf>
    <xf numFmtId="0" fontId="5" fillId="0" borderId="23" xfId="0" applyFont="1" applyFill="1" applyBorder="1" applyAlignment="1">
      <alignment horizontal="left" vertical="top"/>
    </xf>
    <xf numFmtId="2" fontId="8" fillId="0" borderId="4" xfId="0" applyNumberFormat="1" applyFont="1" applyFill="1" applyBorder="1" applyAlignment="1">
      <alignment horizontal="right" vertical="top"/>
    </xf>
    <xf numFmtId="164" fontId="8" fillId="0" borderId="24" xfId="1" applyNumberFormat="1" applyFont="1" applyFill="1" applyBorder="1" applyAlignment="1">
      <alignment horizontal="right" vertical="top"/>
    </xf>
    <xf numFmtId="164" fontId="8" fillId="0" borderId="26" xfId="1" applyNumberFormat="1" applyFont="1" applyFill="1" applyBorder="1"/>
    <xf numFmtId="0" fontId="10" fillId="0" borderId="2" xfId="0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2" fontId="4" fillId="0" borderId="5" xfId="0" applyNumberFormat="1" applyFont="1" applyFill="1" applyBorder="1" applyAlignment="1">
      <alignment horizontal="right" vertical="top"/>
    </xf>
    <xf numFmtId="0" fontId="10" fillId="0" borderId="0" xfId="0" applyFont="1" applyFill="1" applyBorder="1" applyAlignment="1">
      <alignment vertical="top"/>
    </xf>
    <xf numFmtId="0" fontId="5" fillId="0" borderId="28" xfId="0" applyFont="1" applyFill="1" applyBorder="1" applyAlignment="1">
      <alignment horizontal="left" vertical="top"/>
    </xf>
    <xf numFmtId="2" fontId="4" fillId="0" borderId="6" xfId="0" applyNumberFormat="1" applyFont="1" applyFill="1" applyBorder="1" applyAlignment="1">
      <alignment horizontal="right" vertical="top"/>
    </xf>
    <xf numFmtId="164" fontId="4" fillId="0" borderId="29" xfId="1" applyNumberFormat="1" applyFont="1" applyFill="1" applyBorder="1" applyAlignment="1">
      <alignment horizontal="right" vertical="top"/>
    </xf>
    <xf numFmtId="164" fontId="4" fillId="0" borderId="30" xfId="1" applyNumberFormat="1" applyFont="1" applyFill="1" applyBorder="1"/>
    <xf numFmtId="2" fontId="5" fillId="0" borderId="0" xfId="0" applyNumberFormat="1" applyFont="1" applyFill="1" applyBorder="1" applyAlignment="1">
      <alignment horizontal="right" vertical="top"/>
    </xf>
    <xf numFmtId="0" fontId="5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top"/>
    </xf>
    <xf numFmtId="164" fontId="2" fillId="0" borderId="0" xfId="1" applyNumberFormat="1" applyFont="1" applyFill="1" applyBorder="1" applyAlignment="1">
      <alignment horizontal="right" vertical="top"/>
    </xf>
    <xf numFmtId="2" fontId="8" fillId="0" borderId="49" xfId="0" applyNumberFormat="1" applyFont="1" applyFill="1" applyBorder="1" applyAlignment="1">
      <alignment horizontal="right" vertical="top"/>
    </xf>
    <xf numFmtId="164" fontId="8" fillId="0" borderId="13" xfId="1" applyNumberFormat="1" applyFont="1" applyFill="1" applyBorder="1" applyAlignment="1">
      <alignment horizontal="right" vertical="top"/>
    </xf>
    <xf numFmtId="164" fontId="8" fillId="0" borderId="12" xfId="1" applyNumberFormat="1" applyFont="1" applyFill="1" applyBorder="1"/>
    <xf numFmtId="0" fontId="8" fillId="0" borderId="14" xfId="0" applyFont="1" applyFill="1" applyBorder="1" applyAlignment="1">
      <alignment vertical="top"/>
    </xf>
    <xf numFmtId="0" fontId="8" fillId="0" borderId="44" xfId="0" applyFont="1" applyFill="1" applyBorder="1" applyAlignment="1">
      <alignment vertical="top"/>
    </xf>
    <xf numFmtId="0" fontId="8" fillId="0" borderId="35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0" borderId="50" xfId="0" applyFont="1" applyFill="1" applyBorder="1" applyAlignment="1">
      <alignment horizontal="left" vertical="top"/>
    </xf>
    <xf numFmtId="0" fontId="8" fillId="0" borderId="36" xfId="0" applyFont="1" applyFill="1" applyBorder="1" applyAlignment="1">
      <alignment vertical="top"/>
    </xf>
    <xf numFmtId="0" fontId="8" fillId="0" borderId="51" xfId="0" applyFont="1" applyFill="1" applyBorder="1" applyAlignment="1">
      <alignment vertical="top"/>
    </xf>
    <xf numFmtId="0" fontId="8" fillId="0" borderId="38" xfId="0" applyFont="1" applyFill="1" applyBorder="1" applyAlignment="1">
      <alignment vertical="top"/>
    </xf>
    <xf numFmtId="0" fontId="4" fillId="0" borderId="52" xfId="0" applyFont="1" applyFill="1" applyBorder="1" applyAlignment="1">
      <alignment horizontal="left"/>
    </xf>
    <xf numFmtId="0" fontId="1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top"/>
    </xf>
    <xf numFmtId="0" fontId="6" fillId="0" borderId="53" xfId="0" applyFont="1" applyFill="1" applyBorder="1" applyAlignment="1">
      <alignment horizontal="left" vertical="top" wrapText="1"/>
    </xf>
    <xf numFmtId="0" fontId="6" fillId="0" borderId="54" xfId="0" applyFont="1" applyFill="1" applyBorder="1" applyAlignment="1">
      <alignment horizontal="left" vertical="top" wrapText="1"/>
    </xf>
    <xf numFmtId="0" fontId="6" fillId="0" borderId="55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 vertical="top" wrapText="1"/>
    </xf>
    <xf numFmtId="0" fontId="5" fillId="0" borderId="55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right" vertical="top"/>
    </xf>
    <xf numFmtId="0" fontId="5" fillId="0" borderId="18" xfId="0" applyFont="1" applyFill="1" applyBorder="1" applyAlignment="1">
      <alignment horizontal="left" vertical="top" wrapText="1"/>
    </xf>
    <xf numFmtId="2" fontId="4" fillId="0" borderId="20" xfId="0" applyNumberFormat="1" applyFont="1" applyBorder="1" applyAlignment="1">
      <alignment horizontal="right" vertical="top"/>
    </xf>
    <xf numFmtId="2" fontId="4" fillId="0" borderId="3" xfId="0" applyNumberFormat="1" applyFont="1" applyFill="1" applyBorder="1" applyAlignment="1">
      <alignment horizontal="right" vertical="top"/>
    </xf>
    <xf numFmtId="0" fontId="6" fillId="0" borderId="16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5" fillId="0" borderId="13" xfId="0" applyFont="1" applyFill="1" applyBorder="1" applyAlignment="1">
      <alignment vertical="top"/>
    </xf>
    <xf numFmtId="0" fontId="8" fillId="0" borderId="20" xfId="0" applyFont="1" applyFill="1" applyBorder="1"/>
    <xf numFmtId="0" fontId="8" fillId="0" borderId="19" xfId="0" applyFont="1" applyFill="1" applyBorder="1"/>
    <xf numFmtId="0" fontId="6" fillId="0" borderId="18" xfId="0" applyFont="1" applyFill="1" applyBorder="1" applyAlignment="1">
      <alignment horizontal="left" vertical="top" wrapText="1"/>
    </xf>
    <xf numFmtId="2" fontId="9" fillId="0" borderId="3" xfId="0" applyNumberFormat="1" applyFont="1" applyBorder="1" applyAlignment="1">
      <alignment horizontal="right" vertical="top"/>
    </xf>
    <xf numFmtId="0" fontId="2" fillId="0" borderId="19" xfId="0" applyFont="1" applyFill="1" applyBorder="1" applyAlignment="1">
      <alignment vertical="top"/>
    </xf>
    <xf numFmtId="0" fontId="8" fillId="0" borderId="19" xfId="0" applyFont="1" applyFill="1" applyBorder="1" applyAlignment="1">
      <alignment horizontal="right" vertical="top"/>
    </xf>
    <xf numFmtId="2" fontId="10" fillId="0" borderId="0" xfId="0" applyNumberFormat="1" applyFont="1" applyFill="1" applyBorder="1" applyAlignment="1">
      <alignment horizontal="left"/>
    </xf>
    <xf numFmtId="0" fontId="6" fillId="0" borderId="18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50" xfId="0" applyFont="1" applyFill="1" applyBorder="1" applyAlignment="1">
      <alignment horizontal="left" vertical="top"/>
    </xf>
    <xf numFmtId="0" fontId="5" fillId="0" borderId="34" xfId="0" applyFont="1" applyFill="1" applyBorder="1" applyAlignment="1">
      <alignment horizontal="left" vertical="top" wrapText="1"/>
    </xf>
    <xf numFmtId="2" fontId="9" fillId="0" borderId="3" xfId="0" applyNumberFormat="1" applyFont="1" applyBorder="1" applyAlignment="1">
      <alignment horizontal="right"/>
    </xf>
    <xf numFmtId="164" fontId="2" fillId="0" borderId="0" xfId="1" applyNumberFormat="1" applyFont="1" applyFill="1" applyBorder="1" applyAlignment="1">
      <alignment vertical="top"/>
    </xf>
    <xf numFmtId="2" fontId="3" fillId="0" borderId="0" xfId="0" applyNumberFormat="1" applyFont="1" applyFill="1" applyBorder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justify" wrapText="1"/>
    </xf>
    <xf numFmtId="0" fontId="5" fillId="0" borderId="50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6" fillId="0" borderId="56" xfId="0" applyFont="1" applyFill="1" applyBorder="1" applyAlignment="1">
      <alignment vertical="top" wrapText="1"/>
    </xf>
    <xf numFmtId="0" fontId="3" fillId="0" borderId="0" xfId="0" applyFont="1" applyFill="1" applyBorder="1" applyAlignment="1"/>
    <xf numFmtId="0" fontId="5" fillId="0" borderId="59" xfId="0" applyFont="1" applyFill="1" applyBorder="1" applyAlignment="1">
      <alignment horizontal="left" vertical="top"/>
    </xf>
    <xf numFmtId="0" fontId="5" fillId="0" borderId="39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center"/>
    </xf>
    <xf numFmtId="0" fontId="5" fillId="0" borderId="60" xfId="0" applyFont="1" applyFill="1" applyBorder="1" applyAlignment="1">
      <alignment horizontal="center"/>
    </xf>
    <xf numFmtId="0" fontId="5" fillId="0" borderId="0" xfId="0" applyFont="1" applyFill="1" applyBorder="1"/>
    <xf numFmtId="17" fontId="3" fillId="0" borderId="0" xfId="0" applyNumberFormat="1" applyFont="1" applyFill="1" applyBorder="1" applyAlignment="1"/>
    <xf numFmtId="0" fontId="5" fillId="0" borderId="46" xfId="0" applyFont="1" applyFill="1" applyBorder="1" applyAlignment="1">
      <alignment horizontal="center" vertical="top"/>
    </xf>
    <xf numFmtId="0" fontId="5" fillId="0" borderId="53" xfId="0" applyFont="1" applyFill="1" applyBorder="1" applyAlignment="1">
      <alignment horizontal="left" vertical="top" wrapText="1"/>
    </xf>
    <xf numFmtId="0" fontId="5" fillId="0" borderId="54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/>
    </xf>
    <xf numFmtId="2" fontId="8" fillId="0" borderId="3" xfId="0" applyNumberFormat="1" applyFont="1" applyBorder="1"/>
    <xf numFmtId="0" fontId="3" fillId="0" borderId="19" xfId="0" applyFont="1" applyFill="1" applyBorder="1" applyAlignment="1">
      <alignment horizontal="left" vertical="top"/>
    </xf>
    <xf numFmtId="2" fontId="8" fillId="0" borderId="3" xfId="0" applyNumberFormat="1" applyFont="1" applyFill="1" applyBorder="1" applyAlignment="1">
      <alignment horizontal="right" vertical="top" wrapText="1"/>
    </xf>
    <xf numFmtId="0" fontId="5" fillId="0" borderId="1" xfId="0" applyFont="1" applyFill="1" applyBorder="1"/>
    <xf numFmtId="0" fontId="5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/>
    </xf>
    <xf numFmtId="0" fontId="5" fillId="0" borderId="50" xfId="0" applyFont="1" applyFill="1" applyBorder="1" applyAlignment="1">
      <alignment vertical="top"/>
    </xf>
    <xf numFmtId="2" fontId="4" fillId="0" borderId="36" xfId="0" applyNumberFormat="1" applyFont="1" applyFill="1" applyBorder="1" applyAlignment="1">
      <alignment horizontal="right" vertical="top"/>
    </xf>
    <xf numFmtId="164" fontId="4" fillId="0" borderId="38" xfId="1" applyNumberFormat="1" applyFont="1" applyFill="1" applyBorder="1" applyAlignment="1">
      <alignment horizontal="right" vertical="top"/>
    </xf>
    <xf numFmtId="0" fontId="3" fillId="0" borderId="29" xfId="0" applyFont="1" applyFill="1" applyBorder="1"/>
    <xf numFmtId="0" fontId="5" fillId="0" borderId="42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 vertical="top"/>
    </xf>
    <xf numFmtId="2" fontId="8" fillId="0" borderId="44" xfId="0" applyNumberFormat="1" applyFont="1" applyFill="1" applyBorder="1" applyAlignment="1">
      <alignment horizontal="right" vertical="top"/>
    </xf>
    <xf numFmtId="2" fontId="8" fillId="0" borderId="44" xfId="0" applyNumberFormat="1" applyFont="1" applyFill="1" applyBorder="1" applyAlignment="1">
      <alignment horizontal="right" vertical="top" wrapText="1"/>
    </xf>
    <xf numFmtId="2" fontId="8" fillId="0" borderId="35" xfId="0" applyNumberFormat="1" applyFont="1" applyFill="1" applyBorder="1" applyAlignment="1">
      <alignment horizontal="right" vertical="top" wrapText="1"/>
    </xf>
    <xf numFmtId="0" fontId="2" fillId="0" borderId="10" xfId="0" applyFont="1" applyFill="1" applyBorder="1"/>
    <xf numFmtId="2" fontId="8" fillId="0" borderId="20" xfId="0" applyNumberFormat="1" applyFont="1" applyFill="1" applyBorder="1" applyAlignment="1">
      <alignment horizontal="right" vertical="top" wrapText="1"/>
    </xf>
    <xf numFmtId="0" fontId="5" fillId="0" borderId="16" xfId="0" applyFont="1" applyFill="1" applyBorder="1" applyAlignment="1">
      <alignment horizontal="center" vertical="top"/>
    </xf>
    <xf numFmtId="0" fontId="10" fillId="0" borderId="2" xfId="0" applyFont="1" applyFill="1" applyBorder="1"/>
    <xf numFmtId="0" fontId="5" fillId="0" borderId="16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/>
    </xf>
    <xf numFmtId="2" fontId="8" fillId="0" borderId="25" xfId="0" applyNumberFormat="1" applyFont="1" applyFill="1" applyBorder="1" applyAlignment="1">
      <alignment horizontal="right" vertical="top"/>
    </xf>
    <xf numFmtId="2" fontId="8" fillId="0" borderId="25" xfId="0" applyNumberFormat="1" applyFont="1" applyFill="1" applyBorder="1" applyAlignment="1">
      <alignment horizontal="right" vertical="top" wrapText="1"/>
    </xf>
    <xf numFmtId="2" fontId="8" fillId="0" borderId="26" xfId="0" applyNumberFormat="1" applyFont="1" applyFill="1" applyBorder="1" applyAlignment="1">
      <alignment horizontal="right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left" vertical="top"/>
    </xf>
    <xf numFmtId="2" fontId="4" fillId="0" borderId="30" xfId="0" applyNumberFormat="1" applyFont="1" applyFill="1" applyBorder="1" applyAlignment="1">
      <alignment horizontal="right" vertical="top" wrapText="1"/>
    </xf>
    <xf numFmtId="0" fontId="5" fillId="0" borderId="48" xfId="0" applyFont="1" applyFill="1" applyBorder="1" applyAlignment="1">
      <alignment vertical="top"/>
    </xf>
    <xf numFmtId="0" fontId="3" fillId="0" borderId="0" xfId="0" applyFont="1" applyFill="1" applyBorder="1"/>
    <xf numFmtId="2" fontId="2" fillId="0" borderId="2" xfId="0" applyNumberFormat="1" applyFont="1" applyFill="1" applyBorder="1"/>
    <xf numFmtId="0" fontId="2" fillId="0" borderId="3" xfId="0" applyFont="1" applyFill="1" applyBorder="1"/>
    <xf numFmtId="0" fontId="5" fillId="0" borderId="3" xfId="0" applyFont="1" applyFill="1" applyBorder="1" applyAlignment="1">
      <alignment wrapText="1"/>
    </xf>
    <xf numFmtId="2" fontId="9" fillId="0" borderId="3" xfId="0" applyNumberFormat="1" applyFont="1" applyFill="1" applyBorder="1"/>
    <xf numFmtId="0" fontId="5" fillId="0" borderId="3" xfId="0" applyFont="1" applyFill="1" applyBorder="1"/>
    <xf numFmtId="0" fontId="2" fillId="0" borderId="41" xfId="0" applyFont="1" applyFill="1" applyBorder="1"/>
    <xf numFmtId="2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/>
    <xf numFmtId="2" fontId="2" fillId="0" borderId="2" xfId="0" applyNumberFormat="1" applyFont="1" applyFill="1" applyBorder="1" applyAlignment="1"/>
    <xf numFmtId="0" fontId="3" fillId="0" borderId="10" xfId="0" applyFont="1" applyFill="1" applyBorder="1"/>
    <xf numFmtId="0" fontId="3" fillId="0" borderId="41" xfId="0" applyFont="1" applyFill="1" applyBorder="1"/>
    <xf numFmtId="0" fontId="10" fillId="0" borderId="41" xfId="0" applyFont="1" applyFill="1" applyBorder="1"/>
    <xf numFmtId="164" fontId="10" fillId="0" borderId="0" xfId="1" applyNumberFormat="1" applyFont="1" applyFill="1" applyBorder="1" applyAlignment="1">
      <alignment horizontal="right" vertical="top"/>
    </xf>
    <xf numFmtId="17" fontId="2" fillId="0" borderId="41" xfId="0" applyNumberFormat="1" applyFont="1" applyFill="1" applyBorder="1"/>
    <xf numFmtId="0" fontId="5" fillId="0" borderId="41" xfId="0" applyFont="1" applyFill="1" applyBorder="1"/>
    <xf numFmtId="0" fontId="5" fillId="0" borderId="41" xfId="0" applyFont="1" applyFill="1" applyBorder="1" applyAlignment="1">
      <alignment wrapText="1"/>
    </xf>
    <xf numFmtId="2" fontId="5" fillId="0" borderId="41" xfId="0" applyNumberFormat="1" applyFont="1" applyFill="1" applyBorder="1" applyAlignment="1">
      <alignment horizontal="left" wrapText="1"/>
    </xf>
    <xf numFmtId="2" fontId="5" fillId="0" borderId="42" xfId="0" applyNumberFormat="1" applyFont="1" applyFill="1" applyBorder="1" applyAlignment="1">
      <alignment wrapText="1"/>
    </xf>
    <xf numFmtId="0" fontId="10" fillId="0" borderId="1" xfId="0" applyFont="1" applyFill="1" applyBorder="1"/>
    <xf numFmtId="2" fontId="10" fillId="0" borderId="0" xfId="0" applyNumberFormat="1" applyFont="1" applyFill="1" applyBorder="1" applyAlignment="1">
      <alignment horizontal="right" vertical="top"/>
    </xf>
    <xf numFmtId="164" fontId="10" fillId="0" borderId="63" xfId="1" applyNumberFormat="1" applyFont="1" applyFill="1" applyBorder="1" applyAlignment="1">
      <alignment horizontal="right" vertical="top"/>
    </xf>
    <xf numFmtId="2" fontId="5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left"/>
    </xf>
    <xf numFmtId="2" fontId="5" fillId="0" borderId="2" xfId="0" applyNumberFormat="1" applyFont="1" applyFill="1" applyBorder="1"/>
    <xf numFmtId="0" fontId="2" fillId="0" borderId="64" xfId="0" applyFont="1" applyFill="1" applyBorder="1"/>
    <xf numFmtId="0" fontId="3" fillId="0" borderId="64" xfId="0" applyFont="1" applyFill="1" applyBorder="1"/>
    <xf numFmtId="0" fontId="10" fillId="0" borderId="63" xfId="0" applyFont="1" applyFill="1" applyBorder="1"/>
    <xf numFmtId="2" fontId="2" fillId="0" borderId="63" xfId="0" applyNumberFormat="1" applyFont="1" applyFill="1" applyBorder="1" applyAlignment="1">
      <alignment horizontal="right" vertical="top"/>
    </xf>
    <xf numFmtId="2" fontId="10" fillId="0" borderId="63" xfId="0" applyNumberFormat="1" applyFont="1" applyFill="1" applyBorder="1" applyAlignment="1">
      <alignment horizontal="right" vertical="top"/>
    </xf>
    <xf numFmtId="0" fontId="2" fillId="0" borderId="63" xfId="0" applyFont="1" applyFill="1" applyBorder="1"/>
    <xf numFmtId="0" fontId="5" fillId="0" borderId="63" xfId="0" quotePrefix="1" applyFont="1" applyFill="1" applyBorder="1" applyAlignment="1">
      <alignment horizontal="center"/>
    </xf>
    <xf numFmtId="0" fontId="5" fillId="0" borderId="58" xfId="0" quotePrefix="1" applyFont="1" applyFill="1" applyBorder="1" applyAlignment="1">
      <alignment horizontal="center"/>
    </xf>
    <xf numFmtId="2" fontId="2" fillId="0" borderId="63" xfId="0" applyNumberFormat="1" applyFont="1" applyFill="1" applyBorder="1" applyAlignment="1"/>
    <xf numFmtId="2" fontId="2" fillId="0" borderId="58" xfId="0" applyNumberFormat="1" applyFont="1" applyFill="1" applyBorder="1" applyAlignment="1"/>
    <xf numFmtId="0" fontId="10" fillId="0" borderId="0" xfId="0" applyFont="1" applyFill="1"/>
    <xf numFmtId="17" fontId="3" fillId="0" borderId="0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left" vertical="top" wrapText="1"/>
    </xf>
    <xf numFmtId="0" fontId="5" fillId="0" borderId="35" xfId="0" applyFont="1" applyFill="1" applyBorder="1" applyAlignment="1">
      <alignment horizontal="left" vertical="top" wrapText="1"/>
    </xf>
    <xf numFmtId="2" fontId="9" fillId="0" borderId="3" xfId="0" applyNumberFormat="1" applyFont="1" applyFill="1" applyBorder="1" applyAlignment="1">
      <alignment horizontal="right"/>
    </xf>
    <xf numFmtId="2" fontId="9" fillId="0" borderId="22" xfId="0" applyNumberFormat="1" applyFont="1" applyFill="1" applyBorder="1"/>
    <xf numFmtId="2" fontId="4" fillId="0" borderId="31" xfId="0" applyNumberFormat="1" applyFont="1" applyFill="1" applyBorder="1" applyAlignment="1">
      <alignment vertical="top"/>
    </xf>
    <xf numFmtId="2" fontId="11" fillId="0" borderId="3" xfId="0" applyNumberFormat="1" applyFont="1" applyFill="1" applyBorder="1"/>
    <xf numFmtId="0" fontId="11" fillId="0" borderId="44" xfId="0" applyFont="1" applyFill="1" applyBorder="1" applyAlignment="1">
      <alignment horizontal="left" vertical="top" wrapText="1"/>
    </xf>
    <xf numFmtId="0" fontId="11" fillId="0" borderId="45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6" fillId="2" borderId="55" xfId="0" applyFont="1" applyFill="1" applyBorder="1" applyAlignment="1">
      <alignment horizontal="left" vertical="top" wrapText="1"/>
    </xf>
    <xf numFmtId="0" fontId="6" fillId="2" borderId="54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1" fontId="2" fillId="0" borderId="0" xfId="0" applyNumberFormat="1" applyFont="1" applyFill="1" applyBorder="1" applyAlignment="1">
      <alignment horizontal="right" vertical="top"/>
    </xf>
    <xf numFmtId="0" fontId="6" fillId="0" borderId="15" xfId="0" applyFont="1" applyFill="1" applyBorder="1" applyAlignment="1">
      <alignment horizontal="left" vertical="top" wrapText="1"/>
    </xf>
    <xf numFmtId="0" fontId="6" fillId="0" borderId="3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164" fontId="6" fillId="0" borderId="10" xfId="1" applyNumberFormat="1" applyFont="1" applyFill="1" applyBorder="1" applyAlignment="1">
      <alignment horizontal="left" vertical="top"/>
    </xf>
    <xf numFmtId="0" fontId="6" fillId="0" borderId="41" xfId="0" applyFont="1" applyFill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6" fillId="0" borderId="20" xfId="0" applyFont="1" applyFill="1" applyBorder="1" applyAlignment="1">
      <alignment vertical="top"/>
    </xf>
    <xf numFmtId="0" fontId="6" fillId="0" borderId="20" xfId="0" applyFont="1" applyFill="1" applyBorder="1" applyAlignment="1">
      <alignment horizontal="left" vertical="top"/>
    </xf>
    <xf numFmtId="0" fontId="15" fillId="3" borderId="0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vertical="top" wrapText="1"/>
    </xf>
    <xf numFmtId="164" fontId="9" fillId="0" borderId="20" xfId="1" applyNumberFormat="1" applyFont="1" applyFill="1" applyBorder="1"/>
    <xf numFmtId="2" fontId="2" fillId="0" borderId="0" xfId="0" applyNumberFormat="1" applyFont="1" applyFill="1" applyBorder="1" applyAlignment="1">
      <alignment horizontal="right" vertical="top" wrapText="1"/>
    </xf>
    <xf numFmtId="2" fontId="5" fillId="0" borderId="0" xfId="0" applyNumberFormat="1" applyFont="1" applyFill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/>
    <xf numFmtId="0" fontId="5" fillId="0" borderId="3" xfId="0" applyFont="1" applyFill="1" applyBorder="1" applyAlignment="1">
      <alignment vertical="top"/>
    </xf>
    <xf numFmtId="164" fontId="4" fillId="0" borderId="3" xfId="1" applyNumberFormat="1" applyFont="1" applyFill="1" applyBorder="1" applyAlignment="1">
      <alignment horizontal="right" vertical="top"/>
    </xf>
    <xf numFmtId="164" fontId="11" fillId="0" borderId="3" xfId="1" applyNumberFormat="1" applyFont="1" applyFill="1" applyBorder="1"/>
    <xf numFmtId="2" fontId="3" fillId="0" borderId="0" xfId="0" applyNumberFormat="1" applyFont="1" applyFill="1" applyBorder="1" applyAlignment="1">
      <alignment horizontal="right" vertical="top" wrapText="1"/>
    </xf>
    <xf numFmtId="0" fontId="5" fillId="3" borderId="65" xfId="0" applyFont="1" applyFill="1" applyBorder="1" applyAlignment="1">
      <alignment vertical="top"/>
    </xf>
    <xf numFmtId="1" fontId="5" fillId="3" borderId="65" xfId="0" applyNumberFormat="1" applyFont="1" applyFill="1" applyBorder="1" applyAlignment="1">
      <alignment horizontal="right" vertical="top"/>
    </xf>
    <xf numFmtId="164" fontId="5" fillId="3" borderId="65" xfId="1" applyNumberFormat="1" applyFont="1" applyFill="1" applyBorder="1"/>
    <xf numFmtId="2" fontId="5" fillId="3" borderId="65" xfId="0" applyNumberFormat="1" applyFont="1" applyFill="1" applyBorder="1" applyAlignment="1">
      <alignment horizontal="right" vertical="top"/>
    </xf>
    <xf numFmtId="0" fontId="2" fillId="3" borderId="65" xfId="0" applyFont="1" applyFill="1" applyBorder="1"/>
    <xf numFmtId="0" fontId="2" fillId="3" borderId="44" xfId="0" applyFont="1" applyFill="1" applyBorder="1"/>
    <xf numFmtId="2" fontId="2" fillId="3" borderId="65" xfId="0" applyNumberFormat="1" applyFont="1" applyFill="1" applyBorder="1"/>
    <xf numFmtId="0" fontId="3" fillId="3" borderId="65" xfId="0" applyFont="1" applyFill="1" applyBorder="1"/>
    <xf numFmtId="0" fontId="10" fillId="3" borderId="65" xfId="0" applyFont="1" applyFill="1" applyBorder="1"/>
    <xf numFmtId="2" fontId="10" fillId="3" borderId="65" xfId="0" applyNumberFormat="1" applyFont="1" applyFill="1" applyBorder="1"/>
    <xf numFmtId="2" fontId="2" fillId="3" borderId="66" xfId="0" applyNumberFormat="1" applyFont="1" applyFill="1" applyBorder="1"/>
    <xf numFmtId="0" fontId="13" fillId="4" borderId="1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 wrapText="1"/>
    </xf>
    <xf numFmtId="0" fontId="18" fillId="0" borderId="1" xfId="0" applyFont="1" applyBorder="1"/>
    <xf numFmtId="0" fontId="18" fillId="0" borderId="0" xfId="0" applyFont="1"/>
    <xf numFmtId="0" fontId="13" fillId="4" borderId="14" xfId="0" applyFont="1" applyFill="1" applyBorder="1" applyAlignment="1">
      <alignment vertical="center" wrapText="1"/>
    </xf>
    <xf numFmtId="16" fontId="13" fillId="4" borderId="3" xfId="0" quotePrefix="1" applyNumberFormat="1" applyFont="1" applyFill="1" applyBorder="1" applyAlignment="1">
      <alignment horizontal="center"/>
    </xf>
    <xf numFmtId="0" fontId="13" fillId="0" borderId="3" xfId="0" applyFont="1" applyBorder="1"/>
    <xf numFmtId="2" fontId="18" fillId="0" borderId="3" xfId="0" applyNumberFormat="1" applyFont="1" applyBorder="1"/>
    <xf numFmtId="2" fontId="18" fillId="0" borderId="0" xfId="0" applyNumberFormat="1" applyFont="1"/>
    <xf numFmtId="16" fontId="13" fillId="4" borderId="3" xfId="0" applyNumberFormat="1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2" fontId="14" fillId="0" borderId="3" xfId="0" applyNumberFormat="1" applyFont="1" applyFill="1" applyBorder="1"/>
    <xf numFmtId="2" fontId="18" fillId="0" borderId="22" xfId="0" applyNumberFormat="1" applyFont="1" applyBorder="1"/>
    <xf numFmtId="2" fontId="18" fillId="0" borderId="20" xfId="0" applyNumberFormat="1" applyFont="1" applyBorder="1"/>
    <xf numFmtId="2" fontId="6" fillId="0" borderId="3" xfId="0" applyNumberFormat="1" applyFont="1" applyFill="1" applyBorder="1"/>
    <xf numFmtId="2" fontId="13" fillId="0" borderId="3" xfId="0" applyNumberFormat="1" applyFont="1" applyBorder="1"/>
    <xf numFmtId="2" fontId="13" fillId="0" borderId="20" xfId="0" applyNumberFormat="1" applyFont="1" applyBorder="1"/>
    <xf numFmtId="0" fontId="18" fillId="6" borderId="3" xfId="0" applyFont="1" applyFill="1" applyBorder="1"/>
    <xf numFmtId="0" fontId="13" fillId="6" borderId="3" xfId="0" applyFont="1" applyFill="1" applyBorder="1"/>
    <xf numFmtId="0" fontId="13" fillId="6" borderId="3" xfId="0" applyFont="1" applyFill="1" applyBorder="1" applyAlignment="1">
      <alignment horizontal="center" wrapText="1"/>
    </xf>
    <xf numFmtId="0" fontId="13" fillId="6" borderId="3" xfId="0" applyFont="1" applyFill="1" applyBorder="1" applyAlignment="1">
      <alignment horizontal="center" vertical="justify" wrapText="1"/>
    </xf>
    <xf numFmtId="0" fontId="18" fillId="0" borderId="3" xfId="0" applyFont="1" applyBorder="1"/>
    <xf numFmtId="0" fontId="13" fillId="4" borderId="20" xfId="0" applyFont="1" applyFill="1" applyBorder="1" applyAlignment="1">
      <alignment horizontal="center" vertical="center" wrapText="1"/>
    </xf>
    <xf numFmtId="16" fontId="13" fillId="4" borderId="3" xfId="0" quotePrefix="1" applyNumberFormat="1" applyFont="1" applyFill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/>
    </xf>
    <xf numFmtId="0" fontId="13" fillId="0" borderId="62" xfId="0" applyFont="1" applyBorder="1" applyAlignment="1">
      <alignment horizontal="left"/>
    </xf>
    <xf numFmtId="0" fontId="13" fillId="4" borderId="21" xfId="0" applyFont="1" applyFill="1" applyBorder="1" applyAlignment="1">
      <alignment horizontal="center" wrapText="1"/>
    </xf>
    <xf numFmtId="0" fontId="18" fillId="6" borderId="0" xfId="0" applyFont="1" applyFill="1"/>
    <xf numFmtId="0" fontId="18" fillId="3" borderId="0" xfId="0" applyFont="1" applyFill="1"/>
    <xf numFmtId="2" fontId="18" fillId="3" borderId="0" xfId="0" applyNumberFormat="1" applyFont="1" applyFill="1"/>
    <xf numFmtId="2" fontId="18" fillId="0" borderId="21" xfId="0" applyNumberFormat="1" applyFont="1" applyBorder="1"/>
    <xf numFmtId="0" fontId="13" fillId="3" borderId="0" xfId="0" applyFont="1" applyFill="1"/>
    <xf numFmtId="0" fontId="13" fillId="0" borderId="8" xfId="0" applyFont="1" applyBorder="1"/>
    <xf numFmtId="0" fontId="13" fillId="0" borderId="62" xfId="0" applyFont="1" applyBorder="1"/>
    <xf numFmtId="17" fontId="13" fillId="0" borderId="21" xfId="0" applyNumberFormat="1" applyFont="1" applyBorder="1"/>
    <xf numFmtId="0" fontId="13" fillId="0" borderId="21" xfId="0" applyFont="1" applyBorder="1"/>
    <xf numFmtId="0" fontId="13" fillId="0" borderId="47" xfId="0" applyFont="1" applyBorder="1"/>
    <xf numFmtId="0" fontId="13" fillId="0" borderId="4" xfId="0" applyFont="1" applyBorder="1"/>
    <xf numFmtId="0" fontId="13" fillId="0" borderId="70" xfId="0" applyFont="1" applyBorder="1"/>
    <xf numFmtId="0" fontId="13" fillId="0" borderId="19" xfId="0" applyFont="1" applyBorder="1"/>
    <xf numFmtId="0" fontId="13" fillId="3" borderId="0" xfId="0" applyFont="1" applyFill="1" applyAlignment="1">
      <alignment horizontal="center" wrapText="1"/>
    </xf>
    <xf numFmtId="0" fontId="13" fillId="3" borderId="0" xfId="0" applyFont="1" applyFill="1" applyAlignment="1">
      <alignment vertical="justify" wrapText="1"/>
    </xf>
    <xf numFmtId="0" fontId="13" fillId="0" borderId="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0" xfId="0" applyFont="1"/>
    <xf numFmtId="2" fontId="18" fillId="0" borderId="0" xfId="0" applyNumberFormat="1" applyFont="1" applyAlignment="1">
      <alignment horizontal="right"/>
    </xf>
    <xf numFmtId="0" fontId="13" fillId="7" borderId="20" xfId="0" applyFont="1" applyFill="1" applyBorder="1" applyAlignment="1">
      <alignment horizontal="center" vertical="center" wrapText="1"/>
    </xf>
    <xf numFmtId="0" fontId="13" fillId="7" borderId="3" xfId="0" quotePrefix="1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7" borderId="20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 vertical="top" wrapText="1"/>
    </xf>
    <xf numFmtId="0" fontId="13" fillId="7" borderId="3" xfId="0" applyFont="1" applyFill="1" applyBorder="1" applyAlignment="1">
      <alignment horizontal="left"/>
    </xf>
    <xf numFmtId="2" fontId="18" fillId="7" borderId="3" xfId="0" applyNumberFormat="1" applyFont="1" applyFill="1" applyBorder="1"/>
    <xf numFmtId="2" fontId="18" fillId="7" borderId="3" xfId="0" applyNumberFormat="1" applyFont="1" applyFill="1" applyBorder="1" applyAlignment="1">
      <alignment horizontal="center" vertical="center"/>
    </xf>
    <xf numFmtId="2" fontId="18" fillId="7" borderId="20" xfId="0" applyNumberFormat="1" applyFont="1" applyFill="1" applyBorder="1"/>
    <xf numFmtId="0" fontId="13" fillId="4" borderId="5" xfId="0" applyFont="1" applyFill="1" applyBorder="1"/>
    <xf numFmtId="0" fontId="13" fillId="4" borderId="3" xfId="0" applyFont="1" applyFill="1" applyBorder="1"/>
    <xf numFmtId="17" fontId="13" fillId="4" borderId="28" xfId="0" applyNumberFormat="1" applyFont="1" applyFill="1" applyBorder="1" applyAlignment="1">
      <alignment horizontal="center"/>
    </xf>
    <xf numFmtId="17" fontId="13" fillId="4" borderId="56" xfId="0" applyNumberFormat="1" applyFont="1" applyFill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9" fontId="13" fillId="0" borderId="5" xfId="1" applyFont="1" applyBorder="1" applyAlignment="1">
      <alignment horizontal="center"/>
    </xf>
    <xf numFmtId="2" fontId="13" fillId="0" borderId="0" xfId="0" applyNumberFormat="1" applyFont="1"/>
    <xf numFmtId="0" fontId="18" fillId="0" borderId="41" xfId="0" applyFont="1" applyBorder="1"/>
    <xf numFmtId="0" fontId="13" fillId="0" borderId="41" xfId="0" applyFont="1" applyBorder="1"/>
    <xf numFmtId="2" fontId="18" fillId="0" borderId="2" xfId="0" applyNumberFormat="1" applyFont="1" applyBorder="1"/>
    <xf numFmtId="0" fontId="13" fillId="0" borderId="1" xfId="0" applyFont="1" applyBorder="1"/>
    <xf numFmtId="0" fontId="19" fillId="0" borderId="64" xfId="0" applyFont="1" applyBorder="1"/>
    <xf numFmtId="0" fontId="18" fillId="0" borderId="63" xfId="0" applyFont="1" applyBorder="1"/>
    <xf numFmtId="0" fontId="13" fillId="0" borderId="63" xfId="0" applyFont="1" applyBorder="1"/>
    <xf numFmtId="2" fontId="18" fillId="0" borderId="58" xfId="0" applyNumberFormat="1" applyFont="1" applyBorder="1"/>
    <xf numFmtId="0" fontId="12" fillId="0" borderId="4" xfId="0" applyFont="1" applyBorder="1"/>
    <xf numFmtId="0" fontId="18" fillId="0" borderId="4" xfId="0" applyFont="1" applyBorder="1"/>
    <xf numFmtId="0" fontId="18" fillId="0" borderId="75" xfId="0" applyFont="1" applyBorder="1"/>
    <xf numFmtId="0" fontId="18" fillId="0" borderId="10" xfId="0" applyFont="1" applyBorder="1"/>
    <xf numFmtId="0" fontId="10" fillId="0" borderId="41" xfId="0" applyFont="1" applyBorder="1"/>
    <xf numFmtId="0" fontId="13" fillId="8" borderId="19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20" xfId="0" applyFont="1" applyFill="1" applyBorder="1" applyAlignment="1">
      <alignment horizontal="center" vertical="center"/>
    </xf>
    <xf numFmtId="16" fontId="13" fillId="8" borderId="3" xfId="0" applyNumberFormat="1" applyFont="1" applyFill="1" applyBorder="1" applyAlignment="1">
      <alignment horizontal="center" vertical="center"/>
    </xf>
    <xf numFmtId="16" fontId="13" fillId="8" borderId="3" xfId="0" quotePrefix="1" applyNumberFormat="1" applyFont="1" applyFill="1" applyBorder="1" applyAlignment="1">
      <alignment horizontal="center" vertical="center"/>
    </xf>
    <xf numFmtId="2" fontId="14" fillId="0" borderId="3" xfId="0" applyNumberFormat="1" applyFont="1" applyBorder="1"/>
    <xf numFmtId="2" fontId="3" fillId="0" borderId="3" xfId="0" applyNumberFormat="1" applyFont="1" applyBorder="1"/>
    <xf numFmtId="0" fontId="18" fillId="0" borderId="19" xfId="0" applyFont="1" applyBorder="1"/>
    <xf numFmtId="2" fontId="10" fillId="0" borderId="3" xfId="0" applyNumberFormat="1" applyFont="1" applyBorder="1"/>
    <xf numFmtId="0" fontId="13" fillId="0" borderId="3" xfId="0" applyFont="1" applyFill="1" applyBorder="1" applyAlignment="1">
      <alignment horizontal="left"/>
    </xf>
    <xf numFmtId="16" fontId="13" fillId="8" borderId="3" xfId="0" quotePrefix="1" applyNumberFormat="1" applyFont="1" applyFill="1" applyBorder="1" applyAlignment="1">
      <alignment horizontal="center"/>
    </xf>
    <xf numFmtId="0" fontId="13" fillId="0" borderId="21" xfId="0" applyFont="1" applyBorder="1" applyAlignment="1">
      <alignment horizontal="left"/>
    </xf>
    <xf numFmtId="2" fontId="13" fillId="0" borderId="44" xfId="0" applyNumberFormat="1" applyFont="1" applyBorder="1"/>
    <xf numFmtId="2" fontId="6" fillId="0" borderId="3" xfId="0" applyNumberFormat="1" applyFont="1" applyBorder="1"/>
    <xf numFmtId="2" fontId="6" fillId="0" borderId="20" xfId="0" applyNumberFormat="1" applyFont="1" applyBorder="1" applyAlignment="1">
      <alignment horizontal="right"/>
    </xf>
    <xf numFmtId="16" fontId="13" fillId="6" borderId="3" xfId="0" applyNumberFormat="1" applyFont="1" applyFill="1" applyBorder="1" applyAlignment="1">
      <alignment horizontal="right"/>
    </xf>
    <xf numFmtId="0" fontId="10" fillId="0" borderId="0" xfId="0" applyFont="1"/>
    <xf numFmtId="2" fontId="18" fillId="0" borderId="25" xfId="0" applyNumberFormat="1" applyFont="1" applyBorder="1"/>
    <xf numFmtId="2" fontId="18" fillId="0" borderId="11" xfId="0" applyNumberFormat="1" applyFont="1" applyBorder="1"/>
    <xf numFmtId="0" fontId="13" fillId="0" borderId="44" xfId="0" applyFont="1" applyBorder="1" applyAlignment="1">
      <alignment horizontal="center"/>
    </xf>
    <xf numFmtId="0" fontId="13" fillId="0" borderId="44" xfId="0" applyFont="1" applyBorder="1" applyAlignment="1">
      <alignment horizontal="center" wrapText="1"/>
    </xf>
    <xf numFmtId="0" fontId="13" fillId="0" borderId="44" xfId="0" applyFont="1" applyBorder="1"/>
    <xf numFmtId="2" fontId="18" fillId="0" borderId="3" xfId="0" applyNumberFormat="1" applyFont="1" applyBorder="1" applyAlignment="1">
      <alignment horizontal="center"/>
    </xf>
    <xf numFmtId="2" fontId="13" fillId="10" borderId="3" xfId="0" applyNumberFormat="1" applyFont="1" applyFill="1" applyBorder="1"/>
    <xf numFmtId="0" fontId="18" fillId="0" borderId="2" xfId="0" applyFont="1" applyBorder="1"/>
    <xf numFmtId="2" fontId="18" fillId="0" borderId="51" xfId="0" applyNumberFormat="1" applyFont="1" applyBorder="1"/>
    <xf numFmtId="2" fontId="18" fillId="0" borderId="51" xfId="0" applyNumberFormat="1" applyFont="1" applyBorder="1" applyAlignment="1">
      <alignment horizontal="center"/>
    </xf>
    <xf numFmtId="2" fontId="13" fillId="10" borderId="51" xfId="0" applyNumberFormat="1" applyFont="1" applyFill="1" applyBorder="1"/>
    <xf numFmtId="0" fontId="18" fillId="0" borderId="58" xfId="0" applyFont="1" applyBorder="1"/>
    <xf numFmtId="0" fontId="0" fillId="0" borderId="0" xfId="0" applyBorder="1"/>
    <xf numFmtId="164" fontId="9" fillId="0" borderId="20" xfId="1" applyNumberFormat="1" applyFont="1" applyFill="1" applyBorder="1" applyAlignment="1">
      <alignment horizontal="right" vertical="top"/>
    </xf>
    <xf numFmtId="0" fontId="13" fillId="2" borderId="3" xfId="0" applyFont="1" applyFill="1" applyBorder="1" applyAlignment="1">
      <alignment horizontal="center" vertical="center"/>
    </xf>
    <xf numFmtId="164" fontId="11" fillId="0" borderId="38" xfId="1" applyNumberFormat="1" applyFont="1" applyFill="1" applyBorder="1" applyAlignment="1">
      <alignment horizontal="right" vertical="top"/>
    </xf>
    <xf numFmtId="0" fontId="14" fillId="0" borderId="0" xfId="0" applyFont="1" applyFill="1" applyBorder="1"/>
    <xf numFmtId="2" fontId="9" fillId="0" borderId="62" xfId="0" applyNumberFormat="1" applyFont="1" applyBorder="1" applyAlignment="1">
      <alignment horizontal="right" vertical="top"/>
    </xf>
    <xf numFmtId="0" fontId="13" fillId="0" borderId="50" xfId="0" applyFont="1" applyFill="1" applyBorder="1" applyAlignment="1">
      <alignment horizontal="left" vertical="top"/>
    </xf>
    <xf numFmtId="2" fontId="11" fillId="0" borderId="3" xfId="0" applyNumberFormat="1" applyFont="1" applyBorder="1" applyAlignment="1">
      <alignment horizontal="right" vertical="top"/>
    </xf>
    <xf numFmtId="2" fontId="18" fillId="0" borderId="0" xfId="0" applyNumberFormat="1" applyFont="1" applyBorder="1"/>
    <xf numFmtId="2" fontId="11" fillId="0" borderId="3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2" fontId="0" fillId="0" borderId="3" xfId="0" applyNumberFormat="1" applyBorder="1"/>
    <xf numFmtId="9" fontId="0" fillId="0" borderId="3" xfId="1" applyFont="1" applyBorder="1"/>
    <xf numFmtId="0" fontId="0" fillId="0" borderId="19" xfId="0" applyBorder="1"/>
    <xf numFmtId="0" fontId="0" fillId="0" borderId="51" xfId="0" applyBorder="1"/>
    <xf numFmtId="9" fontId="0" fillId="0" borderId="51" xfId="1" applyFont="1" applyBorder="1"/>
    <xf numFmtId="10" fontId="0" fillId="0" borderId="3" xfId="1" applyNumberFormat="1" applyFont="1" applyBorder="1"/>
    <xf numFmtId="0" fontId="0" fillId="0" borderId="36" xfId="0" applyFill="1" applyBorder="1"/>
    <xf numFmtId="10" fontId="0" fillId="0" borderId="51" xfId="1" applyNumberFormat="1" applyFont="1" applyBorder="1"/>
    <xf numFmtId="0" fontId="20" fillId="0" borderId="0" xfId="0" applyFont="1"/>
    <xf numFmtId="165" fontId="0" fillId="0" borderId="3" xfId="1" applyNumberFormat="1" applyFont="1" applyBorder="1"/>
    <xf numFmtId="0" fontId="0" fillId="0" borderId="0" xfId="0" applyBorder="1" applyAlignment="1">
      <alignment wrapText="1"/>
    </xf>
    <xf numFmtId="10" fontId="0" fillId="0" borderId="0" xfId="1" applyNumberFormat="1" applyFont="1" applyBorder="1"/>
    <xf numFmtId="2" fontId="8" fillId="0" borderId="62" xfId="0" applyNumberFormat="1" applyFont="1" applyFill="1" applyBorder="1" applyAlignment="1">
      <alignment horizontal="right" vertical="top"/>
    </xf>
    <xf numFmtId="2" fontId="8" fillId="0" borderId="70" xfId="0" applyNumberFormat="1" applyFont="1" applyFill="1" applyBorder="1" applyAlignment="1">
      <alignment horizontal="right" vertical="top"/>
    </xf>
    <xf numFmtId="2" fontId="9" fillId="0" borderId="44" xfId="0" applyNumberFormat="1" applyFont="1" applyBorder="1"/>
    <xf numFmtId="2" fontId="4" fillId="0" borderId="36" xfId="0" applyNumberFormat="1" applyFont="1" applyFill="1" applyBorder="1"/>
    <xf numFmtId="0" fontId="0" fillId="0" borderId="44" xfId="0" applyBorder="1" applyAlignment="1">
      <alignment wrapText="1"/>
    </xf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0" borderId="14" xfId="0" applyBorder="1"/>
    <xf numFmtId="0" fontId="0" fillId="2" borderId="44" xfId="0" applyFill="1" applyBorder="1" applyAlignment="1">
      <alignment wrapText="1"/>
    </xf>
    <xf numFmtId="0" fontId="0" fillId="11" borderId="19" xfId="0" applyFill="1" applyBorder="1"/>
    <xf numFmtId="0" fontId="0" fillId="11" borderId="3" xfId="0" applyFill="1" applyBorder="1"/>
    <xf numFmtId="10" fontId="0" fillId="11" borderId="3" xfId="1" applyNumberFormat="1" applyFont="1" applyFill="1" applyBorder="1"/>
    <xf numFmtId="0" fontId="20" fillId="0" borderId="3" xfId="0" applyFont="1" applyBorder="1"/>
    <xf numFmtId="0" fontId="20" fillId="12" borderId="3" xfId="0" applyFont="1" applyFill="1" applyBorder="1" applyAlignment="1">
      <alignment wrapText="1"/>
    </xf>
    <xf numFmtId="0" fontId="0" fillId="12" borderId="3" xfId="0" applyFill="1" applyBorder="1"/>
    <xf numFmtId="0" fontId="20" fillId="0" borderId="3" xfId="0" applyFont="1" applyBorder="1" applyAlignment="1">
      <alignment wrapText="1"/>
    </xf>
    <xf numFmtId="2" fontId="0" fillId="2" borderId="3" xfId="0" applyNumberFormat="1" applyFill="1" applyBorder="1"/>
    <xf numFmtId="2" fontId="20" fillId="0" borderId="3" xfId="0" applyNumberFormat="1" applyFont="1" applyBorder="1"/>
    <xf numFmtId="2" fontId="0" fillId="0" borderId="3" xfId="1" applyNumberFormat="1" applyFont="1" applyBorder="1"/>
    <xf numFmtId="2" fontId="0" fillId="12" borderId="3" xfId="0" applyNumberFormat="1" applyFill="1" applyBorder="1"/>
    <xf numFmtId="2" fontId="20" fillId="12" borderId="3" xfId="0" applyNumberFormat="1" applyFont="1" applyFill="1" applyBorder="1"/>
    <xf numFmtId="0" fontId="20" fillId="0" borderId="3" xfId="0" applyFont="1" applyBorder="1" applyAlignment="1">
      <alignment vertical="top"/>
    </xf>
    <xf numFmtId="0" fontId="20" fillId="12" borderId="3" xfId="0" applyFont="1" applyFill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10" fontId="20" fillId="13" borderId="3" xfId="1" applyNumberFormat="1" applyFont="1" applyFill="1" applyBorder="1"/>
    <xf numFmtId="2" fontId="0" fillId="11" borderId="3" xfId="0" applyNumberFormat="1" applyFill="1" applyBorder="1"/>
    <xf numFmtId="164" fontId="10" fillId="0" borderId="4" xfId="1" applyNumberFormat="1" applyFont="1" applyFill="1" applyBorder="1" applyAlignment="1">
      <alignment horizontal="right" vertical="top"/>
    </xf>
    <xf numFmtId="0" fontId="13" fillId="8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4" fillId="8" borderId="0" xfId="0" applyFont="1" applyFill="1"/>
    <xf numFmtId="0" fontId="14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3" fillId="4" borderId="3" xfId="0" applyFont="1" applyFill="1" applyBorder="1" applyAlignment="1">
      <alignment horizontal="right"/>
    </xf>
    <xf numFmtId="0" fontId="6" fillId="0" borderId="19" xfId="0" applyFont="1" applyBorder="1" applyAlignment="1">
      <alignment horizontal="center"/>
    </xf>
    <xf numFmtId="16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16" fontId="13" fillId="4" borderId="3" xfId="0" quotePrefix="1" applyNumberFormat="1" applyFont="1" applyFill="1" applyBorder="1" applyAlignment="1">
      <alignment horizontal="right"/>
    </xf>
    <xf numFmtId="0" fontId="6" fillId="0" borderId="19" xfId="0" quotePrefix="1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6" fillId="0" borderId="20" xfId="0" quotePrefix="1" applyFont="1" applyBorder="1" applyAlignment="1">
      <alignment horizontal="center"/>
    </xf>
    <xf numFmtId="2" fontId="14" fillId="0" borderId="19" xfId="0" applyNumberFormat="1" applyFont="1" applyBorder="1"/>
    <xf numFmtId="18" fontId="14" fillId="0" borderId="3" xfId="0" quotePrefix="1" applyNumberFormat="1" applyFont="1" applyBorder="1" applyAlignment="1">
      <alignment horizontal="center"/>
    </xf>
    <xf numFmtId="2" fontId="14" fillId="0" borderId="20" xfId="0" applyNumberFormat="1" applyFont="1" applyBorder="1"/>
    <xf numFmtId="2" fontId="14" fillId="0" borderId="0" xfId="0" applyNumberFormat="1" applyFont="1"/>
    <xf numFmtId="0" fontId="13" fillId="6" borderId="3" xfId="0" applyFont="1" applyFill="1" applyBorder="1" applyAlignment="1">
      <alignment horizontal="right" wrapText="1"/>
    </xf>
    <xf numFmtId="2" fontId="6" fillId="0" borderId="19" xfId="0" applyNumberFormat="1" applyFont="1" applyBorder="1"/>
    <xf numFmtId="2" fontId="6" fillId="0" borderId="20" xfId="0" applyNumberFormat="1" applyFont="1" applyBorder="1"/>
    <xf numFmtId="0" fontId="14" fillId="0" borderId="3" xfId="0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0" fontId="14" fillId="0" borderId="19" xfId="0" applyFont="1" applyBorder="1"/>
    <xf numFmtId="0" fontId="14" fillId="0" borderId="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2" fontId="6" fillId="0" borderId="25" xfId="0" applyNumberFormat="1" applyFont="1" applyBorder="1"/>
    <xf numFmtId="2" fontId="6" fillId="0" borderId="26" xfId="0" applyNumberFormat="1" applyFont="1" applyBorder="1"/>
    <xf numFmtId="2" fontId="14" fillId="0" borderId="29" xfId="0" applyNumberFormat="1" applyFont="1" applyBorder="1"/>
    <xf numFmtId="0" fontId="6" fillId="0" borderId="31" xfId="0" applyFont="1" applyBorder="1"/>
    <xf numFmtId="2" fontId="14" fillId="0" borderId="31" xfId="0" applyNumberFormat="1" applyFont="1" applyBorder="1"/>
    <xf numFmtId="0" fontId="14" fillId="0" borderId="30" xfId="0" applyFont="1" applyBorder="1"/>
    <xf numFmtId="2" fontId="14" fillId="8" borderId="0" xfId="0" applyNumberFormat="1" applyFont="1" applyFill="1"/>
    <xf numFmtId="0" fontId="6" fillId="8" borderId="0" xfId="0" applyFont="1" applyFill="1"/>
    <xf numFmtId="0" fontId="13" fillId="4" borderId="3" xfId="0" applyFont="1" applyFill="1" applyBorder="1" applyAlignment="1">
      <alignment horizontal="right" vertical="top" wrapText="1"/>
    </xf>
    <xf numFmtId="16" fontId="13" fillId="4" borderId="3" xfId="0" applyNumberFormat="1" applyFont="1" applyFill="1" applyBorder="1" applyAlignment="1">
      <alignment horizontal="right"/>
    </xf>
    <xf numFmtId="2" fontId="6" fillId="0" borderId="0" xfId="0" applyNumberFormat="1" applyFont="1"/>
    <xf numFmtId="0" fontId="18" fillId="0" borderId="0" xfId="0" applyFont="1" applyAlignment="1">
      <alignment horizontal="right"/>
    </xf>
    <xf numFmtId="0" fontId="18" fillId="0" borderId="63" xfId="0" applyFont="1" applyBorder="1" applyAlignment="1">
      <alignment horizontal="right"/>
    </xf>
    <xf numFmtId="2" fontId="10" fillId="0" borderId="0" xfId="0" applyNumberFormat="1" applyFont="1"/>
    <xf numFmtId="0" fontId="12" fillId="0" borderId="0" xfId="0" applyFont="1"/>
    <xf numFmtId="2" fontId="18" fillId="0" borderId="78" xfId="0" applyNumberFormat="1" applyFont="1" applyBorder="1" applyAlignment="1">
      <alignment horizontal="center"/>
    </xf>
    <xf numFmtId="2" fontId="13" fillId="10" borderId="73" xfId="0" applyNumberFormat="1" applyFont="1" applyFill="1" applyBorder="1"/>
    <xf numFmtId="0" fontId="14" fillId="0" borderId="0" xfId="0" applyFont="1" applyAlignment="1">
      <alignment horizontal="right"/>
    </xf>
    <xf numFmtId="0" fontId="2" fillId="0" borderId="0" xfId="0" applyFont="1"/>
    <xf numFmtId="0" fontId="17" fillId="0" borderId="0" xfId="0" applyFont="1"/>
    <xf numFmtId="9" fontId="14" fillId="0" borderId="0" xfId="1" applyFont="1"/>
    <xf numFmtId="17" fontId="14" fillId="0" borderId="0" xfId="0" applyNumberFormat="1" applyFont="1"/>
    <xf numFmtId="0" fontId="6" fillId="0" borderId="3" xfId="0" applyFont="1" applyBorder="1"/>
    <xf numFmtId="0" fontId="6" fillId="0" borderId="3" xfId="0" applyFont="1" applyBorder="1" applyAlignment="1">
      <alignment wrapText="1"/>
    </xf>
    <xf numFmtId="2" fontId="6" fillId="0" borderId="3" xfId="0" applyNumberFormat="1" applyFont="1" applyBorder="1" applyAlignment="1">
      <alignment horizontal="left" wrapText="1"/>
    </xf>
    <xf numFmtId="2" fontId="6" fillId="0" borderId="3" xfId="0" applyNumberFormat="1" applyFont="1" applyBorder="1" applyAlignment="1">
      <alignment wrapText="1"/>
    </xf>
    <xf numFmtId="2" fontId="2" fillId="0" borderId="0" xfId="0" applyNumberFormat="1" applyFont="1"/>
    <xf numFmtId="0" fontId="22" fillId="0" borderId="80" xfId="0" applyFont="1" applyBorder="1" applyAlignment="1">
      <alignment horizontal="center" vertical="top" wrapText="1"/>
    </xf>
    <xf numFmtId="2" fontId="6" fillId="0" borderId="3" xfId="0" applyNumberFormat="1" applyFont="1" applyBorder="1" applyAlignment="1">
      <alignment horizontal="left"/>
    </xf>
    <xf numFmtId="2" fontId="6" fillId="0" borderId="3" xfId="0" applyNumberFormat="1" applyFont="1" applyBorder="1" applyAlignment="1">
      <alignment horizontal="right" wrapText="1"/>
    </xf>
    <xf numFmtId="2" fontId="23" fillId="0" borderId="3" xfId="0" applyNumberFormat="1" applyFont="1" applyBorder="1" applyAlignment="1">
      <alignment horizontal="right" wrapText="1"/>
    </xf>
    <xf numFmtId="0" fontId="24" fillId="0" borderId="0" xfId="0" applyFont="1" applyAlignment="1">
      <alignment horizontal="right" wrapText="1"/>
    </xf>
    <xf numFmtId="0" fontId="22" fillId="0" borderId="82" xfId="0" applyFont="1" applyBorder="1" applyAlignment="1">
      <alignment horizontal="center" vertical="top" wrapText="1"/>
    </xf>
    <xf numFmtId="0" fontId="22" fillId="0" borderId="81" xfId="0" applyFont="1" applyBorder="1" applyAlignment="1">
      <alignment horizontal="right" wrapText="1"/>
    </xf>
    <xf numFmtId="0" fontId="22" fillId="0" borderId="82" xfId="0" applyFont="1" applyBorder="1" applyAlignment="1">
      <alignment horizontal="center" wrapText="1"/>
    </xf>
    <xf numFmtId="2" fontId="14" fillId="0" borderId="3" xfId="0" applyNumberFormat="1" applyFont="1" applyBorder="1" applyAlignment="1">
      <alignment horizontal="left"/>
    </xf>
    <xf numFmtId="2" fontId="14" fillId="8" borderId="3" xfId="0" applyNumberFormat="1" applyFont="1" applyFill="1" applyBorder="1"/>
    <xf numFmtId="0" fontId="22" fillId="0" borderId="81" xfId="0" applyFont="1" applyBorder="1" applyAlignment="1">
      <alignment horizontal="right" vertical="top" wrapText="1"/>
    </xf>
    <xf numFmtId="2" fontId="25" fillId="0" borderId="82" xfId="0" applyNumberFormat="1" applyFont="1" applyBorder="1" applyAlignment="1">
      <alignment horizontal="right" wrapText="1"/>
    </xf>
    <xf numFmtId="2" fontId="26" fillId="0" borderId="82" xfId="0" applyNumberFormat="1" applyFont="1" applyBorder="1" applyAlignment="1">
      <alignment horizontal="right" wrapText="1"/>
    </xf>
    <xf numFmtId="10" fontId="25" fillId="0" borderId="82" xfId="0" applyNumberFormat="1" applyFont="1" applyBorder="1" applyAlignment="1">
      <alignment horizontal="right" wrapText="1"/>
    </xf>
    <xf numFmtId="10" fontId="25" fillId="0" borderId="82" xfId="1" applyNumberFormat="1" applyFont="1" applyBorder="1" applyAlignment="1">
      <alignment horizontal="right" wrapText="1"/>
    </xf>
    <xf numFmtId="2" fontId="6" fillId="8" borderId="3" xfId="0" applyNumberFormat="1" applyFont="1" applyFill="1" applyBorder="1"/>
    <xf numFmtId="2" fontId="9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top"/>
    </xf>
    <xf numFmtId="2" fontId="0" fillId="3" borderId="3" xfId="0" applyNumberFormat="1" applyFill="1" applyBorder="1"/>
    <xf numFmtId="2" fontId="4" fillId="0" borderId="19" xfId="0" applyNumberFormat="1" applyFont="1" applyFill="1" applyBorder="1" applyAlignment="1">
      <alignment horizontal="right" vertical="top"/>
    </xf>
    <xf numFmtId="0" fontId="20" fillId="0" borderId="65" xfId="0" applyFont="1" applyBorder="1" applyAlignment="1"/>
    <xf numFmtId="0" fontId="20" fillId="0" borderId="8" xfId="0" applyFont="1" applyBorder="1" applyAlignment="1">
      <alignment vertical="top"/>
    </xf>
    <xf numFmtId="0" fontId="20" fillId="0" borderId="62" xfId="0" applyFont="1" applyBorder="1" applyAlignment="1">
      <alignment vertical="top"/>
    </xf>
    <xf numFmtId="0" fontId="0" fillId="11" borderId="3" xfId="0" applyFill="1" applyBorder="1" applyAlignment="1">
      <alignment wrapText="1"/>
    </xf>
    <xf numFmtId="0" fontId="0" fillId="0" borderId="0" xfId="0" applyFont="1"/>
    <xf numFmtId="0" fontId="0" fillId="0" borderId="13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2" borderId="11" xfId="0" applyFont="1" applyFill="1" applyBorder="1" applyAlignment="1">
      <alignment wrapText="1"/>
    </xf>
    <xf numFmtId="0" fontId="0" fillId="0" borderId="44" xfId="0" applyFont="1" applyBorder="1" applyAlignment="1">
      <alignment wrapText="1"/>
    </xf>
    <xf numFmtId="0" fontId="0" fillId="0" borderId="35" xfId="0" applyFont="1" applyBorder="1" applyAlignment="1">
      <alignment wrapText="1"/>
    </xf>
    <xf numFmtId="0" fontId="0" fillId="0" borderId="19" xfId="0" applyFont="1" applyBorder="1"/>
    <xf numFmtId="0" fontId="0" fillId="0" borderId="3" xfId="0" applyFont="1" applyBorder="1"/>
    <xf numFmtId="2" fontId="0" fillId="0" borderId="3" xfId="0" applyNumberFormat="1" applyFont="1" applyBorder="1"/>
    <xf numFmtId="10" fontId="0" fillId="0" borderId="3" xfId="0" applyNumberFormat="1" applyFont="1" applyBorder="1"/>
    <xf numFmtId="2" fontId="0" fillId="2" borderId="3" xfId="0" applyNumberFormat="1" applyFont="1" applyFill="1" applyBorder="1"/>
    <xf numFmtId="2" fontId="0" fillId="0" borderId="20" xfId="0" applyNumberFormat="1" applyFont="1" applyBorder="1"/>
    <xf numFmtId="0" fontId="0" fillId="0" borderId="51" xfId="0" applyFont="1" applyBorder="1"/>
    <xf numFmtId="2" fontId="0" fillId="0" borderId="51" xfId="0" applyNumberFormat="1" applyFont="1" applyBorder="1"/>
    <xf numFmtId="2" fontId="0" fillId="2" borderId="51" xfId="0" applyNumberFormat="1" applyFont="1" applyFill="1" applyBorder="1"/>
    <xf numFmtId="2" fontId="9" fillId="0" borderId="19" xfId="0" applyNumberFormat="1" applyFont="1" applyFill="1" applyBorder="1" applyAlignment="1">
      <alignment horizontal="right" vertical="top"/>
    </xf>
    <xf numFmtId="2" fontId="9" fillId="0" borderId="3" xfId="0" applyNumberFormat="1" applyFont="1" applyFill="1" applyBorder="1" applyAlignment="1">
      <alignment horizontal="right" vertical="top"/>
    </xf>
    <xf numFmtId="0" fontId="13" fillId="8" borderId="3" xfId="0" applyFont="1" applyFill="1" applyBorder="1" applyAlignment="1">
      <alignment horizontal="center" vertical="center"/>
    </xf>
    <xf numFmtId="2" fontId="14" fillId="0" borderId="3" xfId="0" applyNumberFormat="1" applyFont="1" applyFill="1" applyBorder="1" applyAlignment="1">
      <alignment horizontal="center"/>
    </xf>
    <xf numFmtId="2" fontId="4" fillId="0" borderId="40" xfId="0" applyNumberFormat="1" applyFont="1" applyFill="1" applyBorder="1" applyAlignment="1">
      <alignment horizontal="right" vertical="top"/>
    </xf>
    <xf numFmtId="0" fontId="6" fillId="0" borderId="61" xfId="0" applyFont="1" applyFill="1" applyBorder="1" applyAlignment="1">
      <alignment horizontal="left" vertical="top" wrapText="1"/>
    </xf>
    <xf numFmtId="2" fontId="14" fillId="0" borderId="3" xfId="0" applyNumberFormat="1" applyFont="1" applyFill="1" applyBorder="1" applyAlignment="1">
      <alignment horizontal="right"/>
    </xf>
    <xf numFmtId="2" fontId="4" fillId="0" borderId="39" xfId="0" applyNumberFormat="1" applyFont="1" applyFill="1" applyBorder="1" applyAlignment="1">
      <alignment horizontal="right" vertical="top"/>
    </xf>
    <xf numFmtId="164" fontId="4" fillId="0" borderId="36" xfId="1" applyNumberFormat="1" applyFont="1" applyFill="1" applyBorder="1" applyAlignment="1">
      <alignment horizontal="right" vertical="top"/>
    </xf>
    <xf numFmtId="164" fontId="4" fillId="0" borderId="38" xfId="1" applyNumberFormat="1" applyFont="1" applyFill="1" applyBorder="1"/>
    <xf numFmtId="0" fontId="20" fillId="0" borderId="3" xfId="0" applyFont="1" applyBorder="1" applyAlignment="1">
      <alignment horizontal="center"/>
    </xf>
    <xf numFmtId="0" fontId="20" fillId="2" borderId="6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 vertical="top"/>
    </xf>
    <xf numFmtId="0" fontId="6" fillId="0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 wrapText="1"/>
    </xf>
    <xf numFmtId="0" fontId="13" fillId="0" borderId="3" xfId="0" applyFont="1" applyBorder="1" applyAlignment="1">
      <alignment vertical="top"/>
    </xf>
    <xf numFmtId="0" fontId="13" fillId="0" borderId="11" xfId="0" applyFont="1" applyFill="1" applyBorder="1" applyAlignment="1">
      <alignment horizontal="left" vertical="top" wrapText="1"/>
    </xf>
    <xf numFmtId="0" fontId="13" fillId="2" borderId="11" xfId="0" applyFont="1" applyFill="1" applyBorder="1" applyAlignment="1">
      <alignment horizontal="left" vertical="top" wrapText="1"/>
    </xf>
    <xf numFmtId="0" fontId="13" fillId="2" borderId="11" xfId="0" applyFont="1" applyFill="1" applyBorder="1" applyAlignment="1">
      <alignment vertical="top" wrapText="1"/>
    </xf>
    <xf numFmtId="2" fontId="9" fillId="0" borderId="25" xfId="0" applyNumberFormat="1" applyFont="1" applyFill="1" applyBorder="1" applyAlignment="1">
      <alignment horizontal="right" vertical="top"/>
    </xf>
    <xf numFmtId="0" fontId="13" fillId="0" borderId="11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left"/>
    </xf>
    <xf numFmtId="0" fontId="18" fillId="0" borderId="0" xfId="0" applyFont="1" applyFill="1" applyBorder="1"/>
    <xf numFmtId="0" fontId="6" fillId="0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vertical="top"/>
    </xf>
    <xf numFmtId="0" fontId="6" fillId="0" borderId="3" xfId="0" applyFont="1" applyFill="1" applyBorder="1"/>
    <xf numFmtId="0" fontId="13" fillId="0" borderId="12" xfId="0" applyFont="1" applyFill="1" applyBorder="1" applyAlignment="1">
      <alignment horizontal="center" vertical="center" wrapText="1"/>
    </xf>
    <xf numFmtId="0" fontId="10" fillId="0" borderId="46" xfId="0" applyFont="1" applyFill="1" applyBorder="1" applyAlignment="1">
      <alignment horizontal="left"/>
    </xf>
    <xf numFmtId="2" fontId="4" fillId="0" borderId="31" xfId="0" applyNumberFormat="1" applyFont="1" applyFill="1" applyBorder="1" applyAlignment="1">
      <alignment horizontal="right" vertical="top" wrapText="1"/>
    </xf>
    <xf numFmtId="0" fontId="5" fillId="0" borderId="33" xfId="0" applyFont="1" applyFill="1" applyBorder="1" applyAlignment="1">
      <alignment horizontal="left" vertical="top"/>
    </xf>
    <xf numFmtId="0" fontId="5" fillId="0" borderId="27" xfId="0" applyFont="1" applyFill="1" applyBorder="1" applyAlignment="1">
      <alignment vertical="top"/>
    </xf>
    <xf numFmtId="0" fontId="5" fillId="0" borderId="46" xfId="0" applyFont="1" applyFill="1" applyBorder="1" applyAlignment="1">
      <alignment horizontal="left" vertical="top"/>
    </xf>
    <xf numFmtId="2" fontId="11" fillId="0" borderId="31" xfId="0" applyNumberFormat="1" applyFont="1" applyFill="1" applyBorder="1" applyAlignment="1">
      <alignment horizontal="right" vertical="top"/>
    </xf>
    <xf numFmtId="0" fontId="9" fillId="0" borderId="19" xfId="0" applyFont="1" applyFill="1" applyBorder="1" applyAlignment="1">
      <alignment horizontal="right" vertical="top"/>
    </xf>
    <xf numFmtId="164" fontId="4" fillId="0" borderId="37" xfId="1" applyNumberFormat="1" applyFont="1" applyFill="1" applyBorder="1" applyAlignment="1">
      <alignment horizontal="right" vertical="top"/>
    </xf>
    <xf numFmtId="164" fontId="4" fillId="0" borderId="26" xfId="1" applyNumberFormat="1" applyFont="1" applyFill="1" applyBorder="1" applyAlignment="1">
      <alignment horizontal="right" vertical="top"/>
    </xf>
    <xf numFmtId="0" fontId="5" fillId="0" borderId="36" xfId="0" applyFont="1" applyFill="1" applyBorder="1" applyAlignment="1">
      <alignment vertical="top"/>
    </xf>
    <xf numFmtId="0" fontId="14" fillId="0" borderId="11" xfId="0" applyFont="1" applyFill="1" applyBorder="1" applyAlignment="1">
      <alignment horizontal="right" vertical="top"/>
    </xf>
    <xf numFmtId="164" fontId="14" fillId="0" borderId="12" xfId="1" applyNumberFormat="1" applyFont="1" applyFill="1" applyBorder="1" applyAlignment="1">
      <alignment horizontal="right" vertical="top"/>
    </xf>
    <xf numFmtId="0" fontId="5" fillId="0" borderId="4" xfId="0" applyFont="1" applyFill="1" applyBorder="1" applyAlignment="1">
      <alignment horizontal="center"/>
    </xf>
    <xf numFmtId="0" fontId="5" fillId="0" borderId="68" xfId="0" applyFont="1" applyFill="1" applyBorder="1" applyAlignment="1">
      <alignment horizontal="center" vertical="top"/>
    </xf>
    <xf numFmtId="0" fontId="5" fillId="0" borderId="7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 vertical="top" wrapText="1"/>
    </xf>
    <xf numFmtId="2" fontId="4" fillId="0" borderId="34" xfId="0" applyNumberFormat="1" applyFont="1" applyFill="1" applyBorder="1" applyAlignment="1">
      <alignment horizontal="right" vertical="top" wrapText="1"/>
    </xf>
    <xf numFmtId="2" fontId="8" fillId="3" borderId="71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/>
    <xf numFmtId="16" fontId="13" fillId="8" borderId="3" xfId="0" applyNumberFormat="1" applyFont="1" applyFill="1" applyBorder="1" applyAlignment="1">
      <alignment horizontal="center"/>
    </xf>
    <xf numFmtId="0" fontId="13" fillId="0" borderId="52" xfId="0" applyFont="1" applyBorder="1" applyAlignment="1">
      <alignment horizontal="right"/>
    </xf>
    <xf numFmtId="2" fontId="18" fillId="0" borderId="44" xfId="0" applyNumberFormat="1" applyFont="1" applyBorder="1"/>
    <xf numFmtId="2" fontId="27" fillId="0" borderId="3" xfId="0" applyNumberFormat="1" applyFont="1" applyBorder="1"/>
    <xf numFmtId="2" fontId="28" fillId="0" borderId="3" xfId="0" applyNumberFormat="1" applyFont="1" applyBorder="1"/>
    <xf numFmtId="0" fontId="6" fillId="2" borderId="53" xfId="0" applyFont="1" applyFill="1" applyBorder="1" applyAlignment="1">
      <alignment horizontal="left" vertical="top" wrapText="1"/>
    </xf>
    <xf numFmtId="2" fontId="11" fillId="0" borderId="20" xfId="0" applyNumberFormat="1" applyFont="1" applyBorder="1" applyAlignment="1">
      <alignment horizontal="right" vertical="top"/>
    </xf>
    <xf numFmtId="0" fontId="11" fillId="0" borderId="20" xfId="0" applyFont="1" applyBorder="1" applyAlignment="1">
      <alignment horizontal="right" vertical="top"/>
    </xf>
    <xf numFmtId="0" fontId="9" fillId="0" borderId="20" xfId="0" applyFont="1" applyFill="1" applyBorder="1"/>
    <xf numFmtId="0" fontId="20" fillId="0" borderId="3" xfId="0" applyFont="1" applyFill="1" applyBorder="1" applyAlignment="1">
      <alignment wrapText="1"/>
    </xf>
    <xf numFmtId="0" fontId="6" fillId="0" borderId="13" xfId="0" applyFont="1" applyFill="1" applyBorder="1" applyAlignment="1">
      <alignment horizontal="left" vertical="top"/>
    </xf>
    <xf numFmtId="164" fontId="11" fillId="0" borderId="20" xfId="1" applyNumberFormat="1" applyFont="1" applyFill="1" applyBorder="1"/>
    <xf numFmtId="0" fontId="11" fillId="0" borderId="3" xfId="0" applyFont="1" applyBorder="1" applyAlignment="1">
      <alignment horizontal="right" vertical="top"/>
    </xf>
    <xf numFmtId="164" fontId="9" fillId="0" borderId="18" xfId="1" applyNumberFormat="1" applyFont="1" applyFill="1" applyBorder="1" applyAlignment="1">
      <alignment vertical="top"/>
    </xf>
    <xf numFmtId="1" fontId="11" fillId="0" borderId="18" xfId="0" applyNumberFormat="1" applyFont="1" applyFill="1" applyBorder="1" applyAlignment="1">
      <alignment horizontal="right" vertical="top"/>
    </xf>
    <xf numFmtId="0" fontId="11" fillId="0" borderId="18" xfId="0" applyFont="1" applyFill="1" applyBorder="1" applyAlignment="1">
      <alignment horizontal="right" vertical="top"/>
    </xf>
    <xf numFmtId="0" fontId="11" fillId="0" borderId="56" xfId="0" applyFont="1" applyFill="1" applyBorder="1" applyAlignment="1">
      <alignment horizontal="right" vertical="top"/>
    </xf>
    <xf numFmtId="0" fontId="0" fillId="0" borderId="11" xfId="0" applyBorder="1" applyAlignment="1">
      <alignment wrapText="1"/>
    </xf>
    <xf numFmtId="0" fontId="13" fillId="8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/>
    </xf>
    <xf numFmtId="0" fontId="20" fillId="0" borderId="0" xfId="0" applyFont="1" applyFill="1" applyBorder="1" applyAlignment="1">
      <alignment wrapText="1"/>
    </xf>
    <xf numFmtId="0" fontId="20" fillId="0" borderId="3" xfId="0" applyFont="1" applyFill="1" applyBorder="1" applyAlignment="1"/>
    <xf numFmtId="2" fontId="0" fillId="0" borderId="0" xfId="0" applyNumberFormat="1"/>
    <xf numFmtId="0" fontId="13" fillId="8" borderId="3" xfId="0" applyFont="1" applyFill="1" applyBorder="1" applyAlignment="1">
      <alignment horizontal="center" vertical="center" wrapText="1"/>
    </xf>
    <xf numFmtId="0" fontId="13" fillId="13" borderId="3" xfId="0" applyFont="1" applyFill="1" applyBorder="1" applyAlignment="1">
      <alignment horizontal="center" vertical="center"/>
    </xf>
    <xf numFmtId="16" fontId="13" fillId="13" borderId="3" xfId="0" quotePrefix="1" applyNumberFormat="1" applyFont="1" applyFill="1" applyBorder="1" applyAlignment="1">
      <alignment horizontal="center" vertical="center"/>
    </xf>
    <xf numFmtId="2" fontId="18" fillId="13" borderId="3" xfId="0" applyNumberFormat="1" applyFont="1" applyFill="1" applyBorder="1"/>
    <xf numFmtId="0" fontId="18" fillId="13" borderId="3" xfId="0" applyFont="1" applyFill="1" applyBorder="1"/>
    <xf numFmtId="2" fontId="13" fillId="13" borderId="3" xfId="0" applyNumberFormat="1" applyFont="1" applyFill="1" applyBorder="1" applyAlignment="1">
      <alignment horizontal="right"/>
    </xf>
    <xf numFmtId="2" fontId="11" fillId="0" borderId="38" xfId="0" applyNumberFormat="1" applyFont="1" applyFill="1" applyBorder="1" applyAlignment="1">
      <alignment horizontal="right" vertical="top"/>
    </xf>
    <xf numFmtId="0" fontId="13" fillId="8" borderId="3" xfId="0" applyFont="1" applyFill="1" applyBorder="1" applyAlignment="1">
      <alignment horizontal="center" vertical="center"/>
    </xf>
    <xf numFmtId="2" fontId="4" fillId="0" borderId="3" xfId="0" applyNumberFormat="1" applyFont="1" applyBorder="1"/>
    <xf numFmtId="2" fontId="30" fillId="0" borderId="3" xfId="0" applyNumberFormat="1" applyFont="1" applyBorder="1"/>
    <xf numFmtId="0" fontId="30" fillId="0" borderId="3" xfId="0" applyFont="1" applyBorder="1"/>
    <xf numFmtId="2" fontId="4" fillId="0" borderId="3" xfId="0" applyNumberFormat="1" applyFont="1" applyFill="1" applyBorder="1" applyAlignment="1">
      <alignment vertical="top"/>
    </xf>
    <xf numFmtId="2" fontId="13" fillId="0" borderId="8" xfId="0" applyNumberFormat="1" applyFont="1" applyBorder="1"/>
    <xf numFmtId="2" fontId="13" fillId="0" borderId="8" xfId="0" applyNumberFormat="1" applyFont="1" applyBorder="1" applyAlignment="1">
      <alignment horizontal="right"/>
    </xf>
    <xf numFmtId="2" fontId="18" fillId="0" borderId="8" xfId="0" applyNumberFormat="1" applyFont="1" applyBorder="1"/>
    <xf numFmtId="0" fontId="13" fillId="0" borderId="0" xfId="0" applyFont="1" applyBorder="1" applyAlignment="1">
      <alignment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right" vertical="top"/>
    </xf>
    <xf numFmtId="2" fontId="13" fillId="0" borderId="0" xfId="0" applyNumberFormat="1" applyFont="1" applyBorder="1" applyAlignment="1">
      <alignment horizontal="right" vertical="top"/>
    </xf>
    <xf numFmtId="49" fontId="13" fillId="9" borderId="21" xfId="0" applyNumberFormat="1" applyFont="1" applyFill="1" applyBorder="1" applyAlignment="1">
      <alignment horizontal="center"/>
    </xf>
    <xf numFmtId="0" fontId="12" fillId="0" borderId="22" xfId="0" applyFont="1" applyBorder="1"/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31" fillId="0" borderId="3" xfId="0" applyFont="1" applyBorder="1"/>
    <xf numFmtId="166" fontId="20" fillId="0" borderId="3" xfId="0" applyNumberFormat="1" applyFont="1" applyBorder="1"/>
    <xf numFmtId="2" fontId="32" fillId="0" borderId="3" xfId="0" applyNumberFormat="1" applyFont="1" applyBorder="1"/>
    <xf numFmtId="166" fontId="28" fillId="0" borderId="3" xfId="0" applyNumberFormat="1" applyFont="1" applyBorder="1"/>
    <xf numFmtId="2" fontId="17" fillId="0" borderId="0" xfId="0" applyNumberFormat="1" applyFont="1"/>
    <xf numFmtId="0" fontId="12" fillId="0" borderId="41" xfId="0" applyFont="1" applyBorder="1"/>
    <xf numFmtId="2" fontId="12" fillId="0" borderId="0" xfId="0" applyNumberFormat="1" applyFont="1"/>
    <xf numFmtId="2" fontId="17" fillId="0" borderId="0" xfId="0" applyNumberFormat="1" applyFont="1" applyAlignment="1">
      <alignment horizontal="center"/>
    </xf>
    <xf numFmtId="0" fontId="7" fillId="0" borderId="0" xfId="0" applyFont="1"/>
    <xf numFmtId="0" fontId="17" fillId="0" borderId="0" xfId="0" applyFont="1" applyAlignment="1">
      <alignment horizontal="center"/>
    </xf>
    <xf numFmtId="2" fontId="9" fillId="0" borderId="20" xfId="0" applyNumberFormat="1" applyFont="1" applyFill="1" applyBorder="1"/>
    <xf numFmtId="0" fontId="13" fillId="8" borderId="3" xfId="0" applyFont="1" applyFill="1" applyBorder="1" applyAlignment="1">
      <alignment horizontal="center" vertical="center"/>
    </xf>
    <xf numFmtId="49" fontId="13" fillId="9" borderId="3" xfId="0" applyNumberFormat="1" applyFont="1" applyFill="1" applyBorder="1" applyAlignment="1">
      <alignment horizontal="center"/>
    </xf>
    <xf numFmtId="2" fontId="11" fillId="0" borderId="24" xfId="0" applyNumberFormat="1" applyFont="1" applyFill="1" applyBorder="1" applyAlignment="1">
      <alignment vertical="top"/>
    </xf>
    <xf numFmtId="2" fontId="9" fillId="0" borderId="3" xfId="0" applyNumberFormat="1" applyFont="1" applyFill="1" applyBorder="1" applyAlignment="1">
      <alignment horizontal="right" vertical="top" wrapText="1"/>
    </xf>
    <xf numFmtId="2" fontId="9" fillId="0" borderId="44" xfId="0" applyNumberFormat="1" applyFont="1" applyFill="1" applyBorder="1" applyAlignment="1">
      <alignment horizontal="right" vertical="top"/>
    </xf>
    <xf numFmtId="2" fontId="11" fillId="0" borderId="29" xfId="0" applyNumberFormat="1" applyFont="1" applyFill="1" applyBorder="1" applyAlignment="1">
      <alignment vertical="top"/>
    </xf>
    <xf numFmtId="0" fontId="11" fillId="0" borderId="3" xfId="0" quotePrefix="1" applyFont="1" applyFill="1" applyBorder="1"/>
    <xf numFmtId="0" fontId="5" fillId="0" borderId="21" xfId="0" applyFont="1" applyFill="1" applyBorder="1"/>
    <xf numFmtId="0" fontId="5" fillId="0" borderId="62" xfId="0" applyFont="1" applyFill="1" applyBorder="1"/>
    <xf numFmtId="0" fontId="4" fillId="0" borderId="3" xfId="0" quotePrefix="1" applyFont="1" applyFill="1" applyBorder="1"/>
    <xf numFmtId="0" fontId="5" fillId="0" borderId="3" xfId="0" quotePrefix="1" applyFont="1" applyFill="1" applyBorder="1"/>
    <xf numFmtId="0" fontId="6" fillId="0" borderId="3" xfId="0" applyFont="1" applyFill="1" applyBorder="1" applyAlignment="1">
      <alignment horizontal="left"/>
    </xf>
    <xf numFmtId="49" fontId="13" fillId="9" borderId="3" xfId="0" applyNumberFormat="1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2" fontId="13" fillId="0" borderId="50" xfId="0" applyNumberFormat="1" applyFont="1" applyBorder="1" applyAlignment="1">
      <alignment vertical="top"/>
    </xf>
    <xf numFmtId="2" fontId="18" fillId="0" borderId="3" xfId="0" applyNumberFormat="1" applyFont="1" applyBorder="1" applyAlignment="1">
      <alignment horizontal="right"/>
    </xf>
    <xf numFmtId="2" fontId="11" fillId="0" borderId="52" xfId="0" applyNumberFormat="1" applyFont="1" applyFill="1" applyBorder="1" applyAlignment="1">
      <alignment horizontal="right" vertical="top" wrapText="1"/>
    </xf>
    <xf numFmtId="0" fontId="9" fillId="0" borderId="3" xfId="0" applyFont="1" applyFill="1" applyBorder="1"/>
    <xf numFmtId="0" fontId="9" fillId="0" borderId="3" xfId="0" applyFont="1" applyFill="1" applyBorder="1" applyAlignment="1">
      <alignment horizontal="right" vertical="top"/>
    </xf>
    <xf numFmtId="0" fontId="11" fillId="0" borderId="3" xfId="0" applyFont="1" applyFill="1" applyBorder="1" applyAlignment="1">
      <alignment horizontal="right" vertical="top"/>
    </xf>
    <xf numFmtId="0" fontId="11" fillId="0" borderId="51" xfId="0" applyFont="1" applyFill="1" applyBorder="1" applyAlignment="1">
      <alignment horizontal="right" vertical="top"/>
    </xf>
    <xf numFmtId="2" fontId="11" fillId="0" borderId="0" xfId="0" applyNumberFormat="1" applyFont="1" applyFill="1" applyBorder="1" applyAlignment="1">
      <alignment horizontal="right" vertical="top" wrapText="1"/>
    </xf>
    <xf numFmtId="2" fontId="18" fillId="0" borderId="3" xfId="0" applyNumberFormat="1" applyFont="1" applyBorder="1" applyAlignment="1">
      <alignment horizontal="right"/>
    </xf>
    <xf numFmtId="2" fontId="13" fillId="0" borderId="3" xfId="0" applyNumberFormat="1" applyFont="1" applyBorder="1" applyAlignment="1">
      <alignment horizontal="right"/>
    </xf>
    <xf numFmtId="164" fontId="11" fillId="0" borderId="20" xfId="1" applyNumberFormat="1" applyFont="1" applyFill="1" applyBorder="1" applyAlignment="1">
      <alignment horizontal="right" vertical="top"/>
    </xf>
    <xf numFmtId="2" fontId="4" fillId="0" borderId="47" xfId="0" applyNumberFormat="1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right"/>
    </xf>
    <xf numFmtId="167" fontId="8" fillId="0" borderId="21" xfId="1" applyNumberFormat="1" applyFont="1" applyFill="1" applyBorder="1" applyAlignment="1">
      <alignment horizontal="right" vertical="top"/>
    </xf>
    <xf numFmtId="0" fontId="6" fillId="3" borderId="55" xfId="0" applyFont="1" applyFill="1" applyBorder="1" applyAlignment="1">
      <alignment horizontal="left" vertical="top" wrapText="1"/>
    </xf>
    <xf numFmtId="0" fontId="6" fillId="3" borderId="54" xfId="0" applyFont="1" applyFill="1" applyBorder="1" applyAlignment="1">
      <alignment horizontal="left" vertical="top" wrapText="1"/>
    </xf>
    <xf numFmtId="167" fontId="9" fillId="0" borderId="21" xfId="1" applyNumberFormat="1" applyFont="1" applyFill="1" applyBorder="1" applyAlignment="1">
      <alignment horizontal="right" vertical="top"/>
    </xf>
    <xf numFmtId="0" fontId="2" fillId="0" borderId="68" xfId="0" applyFont="1" applyFill="1" applyBorder="1" applyAlignment="1">
      <alignment horizontal="left" vertical="top"/>
    </xf>
    <xf numFmtId="0" fontId="5" fillId="0" borderId="59" xfId="0" applyFont="1" applyFill="1" applyBorder="1" applyAlignment="1">
      <alignment horizontal="left" vertical="top" wrapText="1"/>
    </xf>
    <xf numFmtId="0" fontId="6" fillId="0" borderId="74" xfId="0" applyFont="1" applyFill="1" applyBorder="1" applyAlignment="1">
      <alignment horizontal="left" vertical="top" wrapText="1"/>
    </xf>
    <xf numFmtId="2" fontId="9" fillId="0" borderId="62" xfId="0" applyNumberFormat="1" applyFont="1" applyBorder="1" applyAlignment="1">
      <alignment horizontal="right"/>
    </xf>
    <xf numFmtId="2" fontId="11" fillId="0" borderId="26" xfId="0" applyNumberFormat="1" applyFont="1" applyBorder="1" applyAlignment="1">
      <alignment horizontal="right" vertical="top"/>
    </xf>
    <xf numFmtId="2" fontId="4" fillId="0" borderId="20" xfId="0" applyNumberFormat="1" applyFont="1" applyFill="1" applyBorder="1" applyAlignment="1">
      <alignment horizontal="right" vertical="top"/>
    </xf>
    <xf numFmtId="2" fontId="14" fillId="0" borderId="0" xfId="0" applyNumberFormat="1" applyFont="1" applyFill="1" applyBorder="1"/>
    <xf numFmtId="0" fontId="13" fillId="0" borderId="3" xfId="0" applyFont="1" applyBorder="1" applyAlignment="1">
      <alignment horizontal="center"/>
    </xf>
    <xf numFmtId="2" fontId="13" fillId="0" borderId="21" xfId="0" applyNumberFormat="1" applyFont="1" applyBorder="1"/>
    <xf numFmtId="2" fontId="14" fillId="0" borderId="3" xfId="0" applyNumberFormat="1" applyFont="1" applyFill="1" applyBorder="1" applyAlignment="1">
      <alignment horizontal="right" vertical="top"/>
    </xf>
    <xf numFmtId="10" fontId="0" fillId="11" borderId="3" xfId="0" applyNumberFormat="1" applyFont="1" applyFill="1" applyBorder="1"/>
    <xf numFmtId="2" fontId="4" fillId="0" borderId="8" xfId="0" applyNumberFormat="1" applyFont="1" applyFill="1" applyBorder="1" applyAlignment="1">
      <alignment horizontal="right" vertical="top"/>
    </xf>
    <xf numFmtId="164" fontId="8" fillId="0" borderId="21" xfId="1" applyNumberFormat="1" applyFont="1" applyFill="1" applyBorder="1" applyAlignment="1">
      <alignment vertical="top"/>
    </xf>
    <xf numFmtId="164" fontId="8" fillId="0" borderId="27" xfId="1" applyNumberFormat="1" applyFont="1" applyFill="1" applyBorder="1" applyAlignment="1">
      <alignment vertical="top"/>
    </xf>
    <xf numFmtId="164" fontId="4" fillId="0" borderId="56" xfId="1" applyNumberFormat="1" applyFont="1" applyFill="1" applyBorder="1" applyAlignment="1">
      <alignment vertical="top"/>
    </xf>
    <xf numFmtId="164" fontId="8" fillId="0" borderId="3" xfId="1" applyNumberFormat="1" applyFont="1" applyFill="1" applyBorder="1" applyAlignment="1">
      <alignment vertical="top"/>
    </xf>
    <xf numFmtId="2" fontId="11" fillId="0" borderId="3" xfId="0" applyNumberFormat="1" applyFont="1" applyBorder="1" applyAlignment="1">
      <alignment horizontal="right"/>
    </xf>
    <xf numFmtId="10" fontId="9" fillId="0" borderId="18" xfId="1" applyNumberFormat="1" applyFont="1" applyFill="1" applyBorder="1" applyAlignment="1">
      <alignment vertical="top"/>
    </xf>
    <xf numFmtId="10" fontId="8" fillId="0" borderId="20" xfId="1" applyNumberFormat="1" applyFont="1" applyFill="1" applyBorder="1" applyAlignment="1">
      <alignment horizontal="right" vertical="top"/>
    </xf>
    <xf numFmtId="10" fontId="11" fillId="0" borderId="20" xfId="1" applyNumberFormat="1" applyFont="1" applyFill="1" applyBorder="1"/>
    <xf numFmtId="0" fontId="34" fillId="0" borderId="0" xfId="0" applyFont="1"/>
    <xf numFmtId="2" fontId="11" fillId="0" borderId="29" xfId="0" applyNumberFormat="1" applyFont="1" applyFill="1" applyBorder="1" applyAlignment="1">
      <alignment horizontal="right" vertical="top"/>
    </xf>
    <xf numFmtId="10" fontId="9" fillId="0" borderId="56" xfId="1" applyNumberFormat="1" applyFont="1" applyFill="1" applyBorder="1" applyAlignment="1">
      <alignment vertical="top"/>
    </xf>
    <xf numFmtId="0" fontId="11" fillId="0" borderId="3" xfId="0" applyFont="1" applyFill="1" applyBorder="1" applyAlignment="1">
      <alignment vertical="top"/>
    </xf>
    <xf numFmtId="0" fontId="11" fillId="0" borderId="3" xfId="0" applyFont="1" applyFill="1" applyBorder="1"/>
    <xf numFmtId="10" fontId="4" fillId="0" borderId="30" xfId="1" applyNumberFormat="1" applyFont="1" applyFill="1" applyBorder="1" applyAlignment="1">
      <alignment vertical="top"/>
    </xf>
    <xf numFmtId="2" fontId="35" fillId="0" borderId="3" xfId="0" applyNumberFormat="1" applyFont="1" applyFill="1" applyBorder="1"/>
    <xf numFmtId="2" fontId="35" fillId="0" borderId="3" xfId="0" applyNumberFormat="1" applyFont="1" applyFill="1" applyBorder="1" applyAlignment="1">
      <alignment horizontal="right" vertical="top" wrapText="1"/>
    </xf>
    <xf numFmtId="0" fontId="13" fillId="8" borderId="3" xfId="0" applyFont="1" applyFill="1" applyBorder="1" applyAlignment="1">
      <alignment horizontal="center" vertical="center"/>
    </xf>
    <xf numFmtId="2" fontId="18" fillId="0" borderId="3" xfId="0" applyNumberFormat="1" applyFont="1" applyBorder="1" applyAlignment="1">
      <alignment horizontal="right"/>
    </xf>
    <xf numFmtId="10" fontId="9" fillId="0" borderId="20" xfId="1" applyNumberFormat="1" applyFont="1" applyFill="1" applyBorder="1" applyAlignment="1">
      <alignment horizontal="right" vertical="top"/>
    </xf>
    <xf numFmtId="2" fontId="9" fillId="3" borderId="22" xfId="0" applyNumberFormat="1" applyFont="1" applyFill="1" applyBorder="1" applyAlignment="1">
      <alignment horizontal="right" vertical="top" wrapText="1"/>
    </xf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 wrapText="1"/>
    </xf>
    <xf numFmtId="164" fontId="35" fillId="0" borderId="3" xfId="1" applyNumberFormat="1" applyFont="1" applyFill="1" applyBorder="1" applyAlignment="1">
      <alignment horizontal="right" vertical="top" wrapText="1"/>
    </xf>
    <xf numFmtId="0" fontId="35" fillId="0" borderId="3" xfId="0" applyFont="1" applyFill="1" applyBorder="1" applyAlignment="1">
      <alignment horizontal="right"/>
    </xf>
    <xf numFmtId="2" fontId="35" fillId="0" borderId="3" xfId="0" applyNumberFormat="1" applyFont="1" applyFill="1" applyBorder="1" applyAlignment="1">
      <alignment horizontal="right"/>
    </xf>
    <xf numFmtId="0" fontId="6" fillId="0" borderId="15" xfId="0" applyFont="1" applyFill="1" applyBorder="1" applyAlignment="1">
      <alignment horizontal="center" vertical="top" wrapText="1"/>
    </xf>
    <xf numFmtId="0" fontId="36" fillId="0" borderId="0" xfId="0" applyFont="1" applyFill="1" applyBorder="1"/>
    <xf numFmtId="2" fontId="13" fillId="0" borderId="3" xfId="0" applyNumberFormat="1" applyFont="1" applyFill="1" applyBorder="1"/>
    <xf numFmtId="0" fontId="20" fillId="2" borderId="63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right" vertical="top"/>
    </xf>
    <xf numFmtId="164" fontId="17" fillId="0" borderId="12" xfId="1" applyNumberFormat="1" applyFont="1" applyFill="1" applyBorder="1" applyAlignment="1">
      <alignment horizontal="right" vertical="top"/>
    </xf>
    <xf numFmtId="2" fontId="9" fillId="3" borderId="67" xfId="0" applyNumberFormat="1" applyFont="1" applyFill="1" applyBorder="1" applyAlignment="1">
      <alignment horizontal="right" vertical="top" wrapText="1"/>
    </xf>
    <xf numFmtId="2" fontId="11" fillId="0" borderId="3" xfId="0" applyNumberFormat="1" applyFont="1" applyFill="1" applyBorder="1" applyAlignment="1">
      <alignment vertical="top"/>
    </xf>
    <xf numFmtId="166" fontId="9" fillId="3" borderId="22" xfId="0" applyNumberFormat="1" applyFont="1" applyFill="1" applyBorder="1" applyAlignment="1">
      <alignment horizontal="right" vertical="top" wrapText="1"/>
    </xf>
    <xf numFmtId="166" fontId="9" fillId="3" borderId="67" xfId="0" applyNumberFormat="1" applyFont="1" applyFill="1" applyBorder="1" applyAlignment="1">
      <alignment horizontal="right" vertical="top" wrapText="1"/>
    </xf>
    <xf numFmtId="2" fontId="9" fillId="0" borderId="3" xfId="1" applyNumberFormat="1" applyFont="1" applyFill="1" applyBorder="1" applyAlignment="1">
      <alignment horizontal="right" vertical="top"/>
    </xf>
    <xf numFmtId="2" fontId="11" fillId="0" borderId="3" xfId="1" applyNumberFormat="1" applyFont="1" applyFill="1" applyBorder="1" applyAlignment="1">
      <alignment horizontal="right" vertical="top"/>
    </xf>
    <xf numFmtId="2" fontId="11" fillId="0" borderId="3" xfId="0" applyNumberFormat="1" applyFont="1" applyFill="1" applyBorder="1" applyAlignment="1">
      <alignment horizontal="right" vertical="top" wrapText="1"/>
    </xf>
    <xf numFmtId="0" fontId="9" fillId="3" borderId="67" xfId="0" applyFont="1" applyFill="1" applyBorder="1" applyAlignment="1">
      <alignment horizontal="right" vertical="top" wrapText="1"/>
    </xf>
    <xf numFmtId="0" fontId="13" fillId="0" borderId="3" xfId="0" applyFont="1" applyBorder="1" applyAlignment="1">
      <alignment horizontal="left"/>
    </xf>
    <xf numFmtId="2" fontId="18" fillId="0" borderId="3" xfId="0" applyNumberFormat="1" applyFont="1" applyBorder="1" applyAlignment="1">
      <alignment horizontal="right"/>
    </xf>
    <xf numFmtId="2" fontId="13" fillId="0" borderId="3" xfId="0" applyNumberFormat="1" applyFont="1" applyBorder="1" applyAlignment="1">
      <alignment horizontal="right"/>
    </xf>
    <xf numFmtId="2" fontId="13" fillId="0" borderId="40" xfId="0" applyNumberFormat="1" applyFont="1" applyBorder="1"/>
    <xf numFmtId="2" fontId="13" fillId="0" borderId="73" xfId="0" applyNumberFormat="1" applyFont="1" applyBorder="1"/>
    <xf numFmtId="2" fontId="13" fillId="0" borderId="5" xfId="0" applyNumberFormat="1" applyFont="1" applyBorder="1"/>
    <xf numFmtId="2" fontId="13" fillId="0" borderId="51" xfId="0" applyNumberFormat="1" applyFont="1" applyBorder="1"/>
    <xf numFmtId="10" fontId="11" fillId="0" borderId="38" xfId="1" applyNumberFormat="1" applyFont="1" applyFill="1" applyBorder="1" applyAlignment="1">
      <alignment horizontal="right" vertical="top"/>
    </xf>
    <xf numFmtId="2" fontId="11" fillId="0" borderId="30" xfId="0" applyNumberFormat="1" applyFont="1" applyFill="1" applyBorder="1" applyAlignment="1">
      <alignment horizontal="right" vertical="top"/>
    </xf>
    <xf numFmtId="2" fontId="9" fillId="3" borderId="52" xfId="0" applyNumberFormat="1" applyFont="1" applyFill="1" applyBorder="1" applyAlignment="1">
      <alignment horizontal="right" vertical="top" wrapText="1"/>
    </xf>
    <xf numFmtId="0" fontId="20" fillId="0" borderId="11" xfId="0" applyFont="1" applyBorder="1" applyAlignment="1">
      <alignment wrapText="1"/>
    </xf>
    <xf numFmtId="0" fontId="9" fillId="0" borderId="3" xfId="0" applyFont="1" applyBorder="1" applyAlignment="1">
      <alignment horizontal="right" vertical="top"/>
    </xf>
    <xf numFmtId="0" fontId="9" fillId="0" borderId="20" xfId="0" applyFont="1" applyFill="1" applyBorder="1" applyAlignment="1">
      <alignment vertical="top"/>
    </xf>
    <xf numFmtId="2" fontId="9" fillId="0" borderId="20" xfId="0" applyNumberFormat="1" applyFont="1" applyFill="1" applyBorder="1" applyAlignment="1">
      <alignment vertical="top"/>
    </xf>
    <xf numFmtId="1" fontId="9" fillId="0" borderId="19" xfId="0" applyNumberFormat="1" applyFont="1" applyFill="1" applyBorder="1" applyAlignment="1">
      <alignment horizontal="right" vertical="top"/>
    </xf>
    <xf numFmtId="0" fontId="9" fillId="0" borderId="18" xfId="0" applyFont="1" applyFill="1" applyBorder="1" applyAlignment="1">
      <alignment horizontal="right" vertical="top"/>
    </xf>
    <xf numFmtId="0" fontId="9" fillId="0" borderId="19" xfId="0" applyFont="1" applyFill="1" applyBorder="1" applyAlignment="1">
      <alignment vertical="top"/>
    </xf>
    <xf numFmtId="0" fontId="9" fillId="0" borderId="57" xfId="0" applyFont="1" applyFill="1" applyBorder="1" applyAlignment="1">
      <alignment vertical="top"/>
    </xf>
    <xf numFmtId="0" fontId="9" fillId="0" borderId="58" xfId="0" applyFont="1" applyFill="1" applyBorder="1" applyAlignment="1">
      <alignment vertical="top"/>
    </xf>
    <xf numFmtId="2" fontId="11" fillId="0" borderId="38" xfId="0" applyNumberFormat="1" applyFont="1" applyBorder="1"/>
    <xf numFmtId="2" fontId="11" fillId="0" borderId="23" xfId="0" applyNumberFormat="1" applyFont="1" applyFill="1" applyBorder="1" applyAlignment="1">
      <alignment vertical="top"/>
    </xf>
    <xf numFmtId="2" fontId="11" fillId="0" borderId="22" xfId="0" applyNumberFormat="1" applyFont="1" applyBorder="1"/>
    <xf numFmtId="2" fontId="9" fillId="0" borderId="24" xfId="0" applyNumberFormat="1" applyFont="1" applyFill="1" applyBorder="1" applyAlignment="1">
      <alignment horizontal="right" vertical="top"/>
    </xf>
    <xf numFmtId="2" fontId="11" fillId="0" borderId="32" xfId="0" applyNumberFormat="1" applyFont="1" applyFill="1" applyBorder="1" applyAlignment="1">
      <alignment vertical="top"/>
    </xf>
    <xf numFmtId="2" fontId="13" fillId="0" borderId="25" xfId="0" applyNumberFormat="1" applyFont="1" applyBorder="1" applyAlignment="1">
      <alignment vertical="center"/>
    </xf>
    <xf numFmtId="2" fontId="13" fillId="0" borderId="44" xfId="0" applyNumberFormat="1" applyFont="1" applyBorder="1" applyAlignment="1">
      <alignment vertical="center"/>
    </xf>
    <xf numFmtId="2" fontId="13" fillId="0" borderId="5" xfId="0" applyNumberFormat="1" applyFont="1" applyBorder="1" applyAlignment="1">
      <alignment horizontal="center"/>
    </xf>
    <xf numFmtId="2" fontId="13" fillId="0" borderId="40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49" fontId="13" fillId="9" borderId="62" xfId="0" applyNumberFormat="1" applyFont="1" applyFill="1" applyBorder="1" applyAlignment="1">
      <alignment horizontal="center"/>
    </xf>
    <xf numFmtId="49" fontId="13" fillId="9" borderId="3" xfId="0" applyNumberFormat="1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22" fillId="0" borderId="79" xfId="0" applyFont="1" applyBorder="1" applyAlignment="1">
      <alignment horizontal="right" vertical="top" wrapText="1"/>
    </xf>
    <xf numFmtId="0" fontId="22" fillId="0" borderId="81" xfId="0" applyFont="1" applyBorder="1" applyAlignment="1">
      <alignment horizontal="right" vertical="top" wrapText="1"/>
    </xf>
    <xf numFmtId="0" fontId="22" fillId="0" borderId="79" xfId="0" applyFont="1" applyBorder="1" applyAlignment="1">
      <alignment horizontal="center" vertical="top" wrapText="1"/>
    </xf>
    <xf numFmtId="0" fontId="22" fillId="0" borderId="81" xfId="0" applyFont="1" applyBorder="1" applyAlignment="1">
      <alignment horizontal="center" vertical="top" wrapText="1"/>
    </xf>
    <xf numFmtId="2" fontId="14" fillId="0" borderId="27" xfId="0" applyNumberFormat="1" applyFont="1" applyBorder="1" applyAlignment="1">
      <alignment horizontal="right" vertical="center"/>
    </xf>
    <xf numFmtId="2" fontId="14" fillId="0" borderId="33" xfId="0" applyNumberFormat="1" applyFont="1" applyBorder="1" applyAlignment="1">
      <alignment horizontal="right" vertical="center"/>
    </xf>
    <xf numFmtId="2" fontId="14" fillId="0" borderId="70" xfId="0" applyNumberFormat="1" applyFont="1" applyBorder="1" applyAlignment="1">
      <alignment horizontal="right" vertical="center"/>
    </xf>
    <xf numFmtId="2" fontId="14" fillId="0" borderId="66" xfId="0" applyNumberFormat="1" applyFont="1" applyBorder="1" applyAlignment="1">
      <alignment horizontal="right" vertical="center"/>
    </xf>
    <xf numFmtId="2" fontId="18" fillId="0" borderId="25" xfId="0" applyNumberFormat="1" applyFont="1" applyBorder="1" applyAlignment="1">
      <alignment horizontal="right" vertical="center"/>
    </xf>
    <xf numFmtId="2" fontId="18" fillId="0" borderId="44" xfId="0" applyNumberFormat="1" applyFont="1" applyBorder="1" applyAlignment="1">
      <alignment horizontal="right" vertical="center"/>
    </xf>
    <xf numFmtId="2" fontId="13" fillId="0" borderId="25" xfId="0" applyNumberFormat="1" applyFont="1" applyBorder="1" applyAlignment="1">
      <alignment horizontal="center" vertical="center"/>
    </xf>
    <xf numFmtId="2" fontId="13" fillId="0" borderId="44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right"/>
    </xf>
    <xf numFmtId="2" fontId="6" fillId="0" borderId="35" xfId="0" applyNumberFormat="1" applyFont="1" applyBorder="1" applyAlignment="1">
      <alignment horizontal="right"/>
    </xf>
    <xf numFmtId="0" fontId="13" fillId="6" borderId="3" xfId="0" applyFont="1" applyFill="1" applyBorder="1" applyAlignment="1">
      <alignment horizontal="center"/>
    </xf>
    <xf numFmtId="0" fontId="13" fillId="6" borderId="2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2" fontId="13" fillId="0" borderId="44" xfId="0" applyNumberFormat="1" applyFont="1" applyBorder="1" applyAlignment="1">
      <alignment horizontal="center"/>
    </xf>
    <xf numFmtId="0" fontId="13" fillId="4" borderId="19" xfId="0" applyFont="1" applyFill="1" applyBorder="1" applyAlignment="1">
      <alignment horizontal="center" vertical="top" wrapText="1"/>
    </xf>
    <xf numFmtId="0" fontId="13" fillId="4" borderId="54" xfId="0" applyFont="1" applyFill="1" applyBorder="1" applyAlignment="1">
      <alignment horizontal="center" vertical="center" wrapText="1"/>
    </xf>
    <xf numFmtId="0" fontId="13" fillId="4" borderId="72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56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/>
    </xf>
    <xf numFmtId="0" fontId="13" fillId="4" borderId="41" xfId="0" applyFont="1" applyFill="1" applyBorder="1" applyAlignment="1">
      <alignment horizontal="center" vertical="center"/>
    </xf>
    <xf numFmtId="0" fontId="13" fillId="4" borderId="42" xfId="0" applyFont="1" applyFill="1" applyBorder="1" applyAlignment="1">
      <alignment horizontal="center" vertical="center"/>
    </xf>
    <xf numFmtId="0" fontId="13" fillId="4" borderId="64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/>
    </xf>
    <xf numFmtId="0" fontId="13" fillId="4" borderId="58" xfId="0" applyFont="1" applyFill="1" applyBorder="1" applyAlignment="1">
      <alignment horizontal="center" vertical="center"/>
    </xf>
    <xf numFmtId="0" fontId="13" fillId="4" borderId="71" xfId="0" applyFont="1" applyFill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0" fontId="13" fillId="4" borderId="32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41" xfId="0" applyFont="1" applyFill="1" applyBorder="1" applyAlignment="1">
      <alignment horizontal="center"/>
    </xf>
    <xf numFmtId="0" fontId="13" fillId="4" borderId="74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62" xfId="0" applyFont="1" applyBorder="1" applyAlignment="1">
      <alignment horizontal="right"/>
    </xf>
    <xf numFmtId="0" fontId="13" fillId="4" borderId="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4" borderId="62" xfId="0" applyFont="1" applyFill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5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65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17" fontId="13" fillId="4" borderId="59" xfId="0" applyNumberFormat="1" applyFont="1" applyFill="1" applyBorder="1" applyAlignment="1">
      <alignment horizontal="center"/>
    </xf>
    <xf numFmtId="17" fontId="13" fillId="4" borderId="76" xfId="0" applyNumberFormat="1" applyFont="1" applyFill="1" applyBorder="1" applyAlignment="1">
      <alignment horizontal="center"/>
    </xf>
    <xf numFmtId="2" fontId="18" fillId="0" borderId="27" xfId="0" applyNumberFormat="1" applyFont="1" applyBorder="1" applyAlignment="1">
      <alignment horizontal="right" vertical="center"/>
    </xf>
    <xf numFmtId="2" fontId="18" fillId="0" borderId="33" xfId="0" applyNumberFormat="1" applyFont="1" applyBorder="1" applyAlignment="1">
      <alignment horizontal="right" vertical="center"/>
    </xf>
    <xf numFmtId="0" fontId="21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3" fillId="8" borderId="3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 wrapText="1"/>
    </xf>
    <xf numFmtId="0" fontId="13" fillId="8" borderId="62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77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0" fillId="0" borderId="49" xfId="0" applyFont="1" applyBorder="1"/>
    <xf numFmtId="0" fontId="10" fillId="0" borderId="69" xfId="0" applyFont="1" applyBorder="1"/>
    <xf numFmtId="0" fontId="13" fillId="0" borderId="68" xfId="0" applyFont="1" applyBorder="1" applyAlignment="1">
      <alignment horizontal="center"/>
    </xf>
    <xf numFmtId="0" fontId="13" fillId="0" borderId="6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7" fontId="13" fillId="0" borderId="4" xfId="0" applyNumberFormat="1" applyFont="1" applyBorder="1" applyAlignment="1">
      <alignment horizontal="left"/>
    </xf>
    <xf numFmtId="2" fontId="18" fillId="0" borderId="3" xfId="0" applyNumberFormat="1" applyFont="1" applyBorder="1" applyAlignment="1">
      <alignment horizontal="right"/>
    </xf>
    <xf numFmtId="0" fontId="13" fillId="4" borderId="59" xfId="0" applyFont="1" applyFill="1" applyBorder="1" applyAlignment="1">
      <alignment horizontal="center"/>
    </xf>
    <xf numFmtId="0" fontId="13" fillId="4" borderId="39" xfId="0" applyFont="1" applyFill="1" applyBorder="1" applyAlignment="1">
      <alignment horizontal="center"/>
    </xf>
    <xf numFmtId="0" fontId="13" fillId="4" borderId="60" xfId="0" applyFont="1" applyFill="1" applyBorder="1" applyAlignment="1">
      <alignment horizontal="center"/>
    </xf>
    <xf numFmtId="0" fontId="13" fillId="5" borderId="67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4" borderId="59" xfId="0" applyFont="1" applyFill="1" applyBorder="1" applyAlignment="1">
      <alignment horizontal="right"/>
    </xf>
    <xf numFmtId="0" fontId="13" fillId="4" borderId="39" xfId="0" applyFont="1" applyFill="1" applyBorder="1" applyAlignment="1">
      <alignment horizontal="right"/>
    </xf>
    <xf numFmtId="17" fontId="13" fillId="4" borderId="39" xfId="0" quotePrefix="1" applyNumberFormat="1" applyFont="1" applyFill="1" applyBorder="1" applyAlignment="1">
      <alignment horizontal="left"/>
    </xf>
    <xf numFmtId="0" fontId="13" fillId="4" borderId="39" xfId="0" applyFont="1" applyFill="1" applyBorder="1" applyAlignment="1">
      <alignment horizontal="left"/>
    </xf>
    <xf numFmtId="0" fontId="13" fillId="4" borderId="60" xfId="0" applyFont="1" applyFill="1" applyBorder="1" applyAlignment="1">
      <alignment horizontal="left"/>
    </xf>
    <xf numFmtId="0" fontId="13" fillId="4" borderId="68" xfId="0" applyFont="1" applyFill="1" applyBorder="1" applyAlignment="1">
      <alignment horizontal="right"/>
    </xf>
    <xf numFmtId="0" fontId="13" fillId="4" borderId="49" xfId="0" applyFont="1" applyFill="1" applyBorder="1" applyAlignment="1">
      <alignment horizontal="right"/>
    </xf>
    <xf numFmtId="0" fontId="13" fillId="4" borderId="69" xfId="0" applyFont="1" applyFill="1" applyBorder="1" applyAlignment="1">
      <alignment horizontal="right"/>
    </xf>
    <xf numFmtId="0" fontId="13" fillId="4" borderId="3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25" xfId="0" applyFont="1" applyFill="1" applyBorder="1" applyAlignment="1">
      <alignment horizontal="center" vertical="center" wrapText="1"/>
    </xf>
    <xf numFmtId="0" fontId="13" fillId="4" borderId="44" xfId="0" applyFont="1" applyFill="1" applyBorder="1" applyAlignment="1">
      <alignment horizontal="center" vertical="center" wrapText="1"/>
    </xf>
    <xf numFmtId="2" fontId="13" fillId="0" borderId="3" xfId="0" applyNumberFormat="1" applyFont="1" applyBorder="1" applyAlignment="1">
      <alignment horizontal="right"/>
    </xf>
    <xf numFmtId="0" fontId="13" fillId="4" borderId="8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0" borderId="27" xfId="0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0" fontId="13" fillId="0" borderId="76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/>
    </xf>
    <xf numFmtId="17" fontId="13" fillId="0" borderId="8" xfId="0" applyNumberFormat="1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16" fontId="13" fillId="4" borderId="25" xfId="0" quotePrefix="1" applyNumberFormat="1" applyFont="1" applyFill="1" applyBorder="1" applyAlignment="1">
      <alignment horizontal="center" wrapText="1"/>
    </xf>
    <xf numFmtId="16" fontId="13" fillId="4" borderId="44" xfId="0" quotePrefix="1" applyNumberFormat="1" applyFont="1" applyFill="1" applyBorder="1" applyAlignment="1">
      <alignment horizontal="center"/>
    </xf>
    <xf numFmtId="16" fontId="13" fillId="4" borderId="27" xfId="0" quotePrefix="1" applyNumberFormat="1" applyFont="1" applyFill="1" applyBorder="1" applyAlignment="1">
      <alignment horizontal="center" wrapText="1"/>
    </xf>
    <xf numFmtId="16" fontId="13" fillId="4" borderId="33" xfId="0" quotePrefix="1" applyNumberFormat="1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7" borderId="65" xfId="0" applyFont="1" applyFill="1" applyBorder="1" applyAlignment="1">
      <alignment horizontal="center" vertical="center" wrapText="1"/>
    </xf>
    <xf numFmtId="0" fontId="13" fillId="7" borderId="66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0" borderId="2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2" xfId="0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2" borderId="63" xfId="0" applyFont="1" applyFill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3" fillId="8" borderId="3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'VITAL (Ear.+Exp.) Dec-21'!$B$5:$B$6</c:f>
              <c:strCache>
                <c:ptCount val="2"/>
                <c:pt idx="0">
                  <c:v>Target</c:v>
                </c:pt>
                <c:pt idx="1">
                  <c:v>2021-22</c:v>
                </c:pt>
              </c:strCache>
            </c:strRef>
          </c:tx>
          <c:invertIfNegative val="0"/>
          <c:cat>
            <c:strRef>
              <c:f>'VITAL (Ear.+Exp.) Dec-21'!$A$7:$A$14</c:f>
              <c:strCache>
                <c:ptCount val="8"/>
                <c:pt idx="0">
                  <c:v>Coal</c:v>
                </c:pt>
                <c:pt idx="1">
                  <c:v>Iron Ore</c:v>
                </c:pt>
                <c:pt idx="2">
                  <c:v>Cement</c:v>
                </c:pt>
                <c:pt idx="3">
                  <c:v>F. Grains</c:v>
                </c:pt>
                <c:pt idx="4">
                  <c:v>Fertilisers</c:v>
                </c:pt>
                <c:pt idx="5">
                  <c:v>P.O.L.</c:v>
                </c:pt>
                <c:pt idx="6">
                  <c:v>Container</c:v>
                </c:pt>
                <c:pt idx="7">
                  <c:v>Others</c:v>
                </c:pt>
              </c:strCache>
            </c:strRef>
          </c:cat>
          <c:val>
            <c:numRef>
              <c:f>'VITAL (Ear.+Exp.) Dec-21'!$B$7:$B$14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3.14</c:v>
                </c:pt>
                <c:pt idx="3">
                  <c:v>2.13</c:v>
                </c:pt>
                <c:pt idx="4">
                  <c:v>0.7</c:v>
                </c:pt>
                <c:pt idx="5">
                  <c:v>7.53</c:v>
                </c:pt>
                <c:pt idx="6">
                  <c:v>3.29</c:v>
                </c:pt>
                <c:pt idx="7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E-4BFD-B612-A72BCBFD4605}"/>
            </c:ext>
          </c:extLst>
        </c:ser>
        <c:ser>
          <c:idx val="1"/>
          <c:order val="1"/>
          <c:tx>
            <c:strRef>
              <c:f>'VITAL (Ear.+Exp.) Dec-21'!$C$5:$C$6</c:f>
              <c:strCache>
                <c:ptCount val="2"/>
                <c:pt idx="0">
                  <c:v>Actual</c:v>
                </c:pt>
                <c:pt idx="1">
                  <c:v>Dec-20</c:v>
                </c:pt>
              </c:strCache>
            </c:strRef>
          </c:tx>
          <c:invertIfNegative val="0"/>
          <c:cat>
            <c:strRef>
              <c:f>'VITAL (Ear.+Exp.) Dec-21'!$A$7:$A$14</c:f>
              <c:strCache>
                <c:ptCount val="8"/>
                <c:pt idx="0">
                  <c:v>Coal</c:v>
                </c:pt>
                <c:pt idx="1">
                  <c:v>Iron Ore</c:v>
                </c:pt>
                <c:pt idx="2">
                  <c:v>Cement</c:v>
                </c:pt>
                <c:pt idx="3">
                  <c:v>F. Grains</c:v>
                </c:pt>
                <c:pt idx="4">
                  <c:v>Fertilisers</c:v>
                </c:pt>
                <c:pt idx="5">
                  <c:v>P.O.L.</c:v>
                </c:pt>
                <c:pt idx="6">
                  <c:v>Container</c:v>
                </c:pt>
                <c:pt idx="7">
                  <c:v>Others</c:v>
                </c:pt>
              </c:strCache>
            </c:strRef>
          </c:cat>
          <c:val>
            <c:numRef>
              <c:f>'VITAL (Ear.+Exp.) Dec-21'!$C$7:$C$14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1.33</c:v>
                </c:pt>
                <c:pt idx="4">
                  <c:v>0.56000000000000005</c:v>
                </c:pt>
                <c:pt idx="5">
                  <c:v>5.05</c:v>
                </c:pt>
                <c:pt idx="6">
                  <c:v>1.78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E-4BFD-B612-A72BCBFD4605}"/>
            </c:ext>
          </c:extLst>
        </c:ser>
        <c:ser>
          <c:idx val="2"/>
          <c:order val="2"/>
          <c:tx>
            <c:strRef>
              <c:f>'VITAL (Ear.+Exp.) Dec-21'!$D$5:$D$6</c:f>
              <c:strCache>
                <c:ptCount val="2"/>
                <c:pt idx="0">
                  <c:v>Target</c:v>
                </c:pt>
                <c:pt idx="1">
                  <c:v>Dec-21</c:v>
                </c:pt>
              </c:strCache>
            </c:strRef>
          </c:tx>
          <c:invertIfNegative val="0"/>
          <c:cat>
            <c:strRef>
              <c:f>'VITAL (Ear.+Exp.) Dec-21'!$A$7:$A$14</c:f>
              <c:strCache>
                <c:ptCount val="8"/>
                <c:pt idx="0">
                  <c:v>Coal</c:v>
                </c:pt>
                <c:pt idx="1">
                  <c:v>Iron Ore</c:v>
                </c:pt>
                <c:pt idx="2">
                  <c:v>Cement</c:v>
                </c:pt>
                <c:pt idx="3">
                  <c:v>F. Grains</c:v>
                </c:pt>
                <c:pt idx="4">
                  <c:v>Fertilisers</c:v>
                </c:pt>
                <c:pt idx="5">
                  <c:v>P.O.L.</c:v>
                </c:pt>
                <c:pt idx="6">
                  <c:v>Container</c:v>
                </c:pt>
                <c:pt idx="7">
                  <c:v>Others</c:v>
                </c:pt>
              </c:strCache>
            </c:strRef>
          </c:cat>
          <c:val>
            <c:numRef>
              <c:f>'VITAL (Ear.+Exp.) Dec-21'!$D$7:$D$14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2.2599999999999998</c:v>
                </c:pt>
                <c:pt idx="3">
                  <c:v>1.54</c:v>
                </c:pt>
                <c:pt idx="4">
                  <c:v>0.5</c:v>
                </c:pt>
                <c:pt idx="5">
                  <c:v>5.44</c:v>
                </c:pt>
                <c:pt idx="6">
                  <c:v>2.36</c:v>
                </c:pt>
                <c:pt idx="7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E-4BFD-B612-A72BCBFD4605}"/>
            </c:ext>
          </c:extLst>
        </c:ser>
        <c:ser>
          <c:idx val="3"/>
          <c:order val="3"/>
          <c:tx>
            <c:strRef>
              <c:f>'VITAL (Ear.+Exp.) Dec-21'!$E$5:$E$6</c:f>
              <c:strCache>
                <c:ptCount val="2"/>
                <c:pt idx="0">
                  <c:v>Actual</c:v>
                </c:pt>
                <c:pt idx="1">
                  <c:v>Dec-21</c:v>
                </c:pt>
              </c:strCache>
            </c:strRef>
          </c:tx>
          <c:invertIfNegative val="0"/>
          <c:cat>
            <c:strRef>
              <c:f>'VITAL (Ear.+Exp.) Dec-21'!$A$7:$A$14</c:f>
              <c:strCache>
                <c:ptCount val="8"/>
                <c:pt idx="0">
                  <c:v>Coal</c:v>
                </c:pt>
                <c:pt idx="1">
                  <c:v>Iron Ore</c:v>
                </c:pt>
                <c:pt idx="2">
                  <c:v>Cement</c:v>
                </c:pt>
                <c:pt idx="3">
                  <c:v>F. Grains</c:v>
                </c:pt>
                <c:pt idx="4">
                  <c:v>Fertilisers</c:v>
                </c:pt>
                <c:pt idx="5">
                  <c:v>P.O.L.</c:v>
                </c:pt>
                <c:pt idx="6">
                  <c:v>Container</c:v>
                </c:pt>
                <c:pt idx="7">
                  <c:v>Others</c:v>
                </c:pt>
              </c:strCache>
            </c:strRef>
          </c:cat>
          <c:val>
            <c:numRef>
              <c:f>'VITAL (Ear.+Exp.) Dec-21'!$E$7:$E$14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2.17</c:v>
                </c:pt>
                <c:pt idx="3">
                  <c:v>1.34</c:v>
                </c:pt>
                <c:pt idx="4">
                  <c:v>0.52</c:v>
                </c:pt>
                <c:pt idx="5">
                  <c:v>5.61</c:v>
                </c:pt>
                <c:pt idx="6">
                  <c:v>2.08</c:v>
                </c:pt>
                <c:pt idx="7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2E-4BFD-B612-A72BCBFD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39840"/>
        <c:axId val="133149824"/>
      </c:barChart>
      <c:catAx>
        <c:axId val="13313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9824"/>
        <c:crosses val="autoZero"/>
        <c:auto val="1"/>
        <c:lblAlgn val="ctr"/>
        <c:lblOffset val="100"/>
        <c:noMultiLvlLbl val="0"/>
      </c:catAx>
      <c:valAx>
        <c:axId val="133149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139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Apportioned</a:t>
            </a:r>
            <a:r>
              <a:rPr lang="en-US" sz="1400" baseline="0"/>
              <a:t> </a:t>
            </a:r>
            <a:r>
              <a:rPr lang="en-US" sz="1400"/>
              <a:t> earnings to end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368485491091508"/>
          <c:y val="0.27931407935013536"/>
          <c:w val="0.306086267964431"/>
          <c:h val="0.57974828489813013"/>
        </c:manualLayout>
      </c:layout>
      <c:pieChart>
        <c:varyColors val="1"/>
        <c:ser>
          <c:idx val="2"/>
          <c:order val="2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'MOD-I (EARNING) Dec-21'!$Q$14:$Q$18</c:f>
              <c:strCache>
                <c:ptCount val="5"/>
                <c:pt idx="0">
                  <c:v>Passenger</c:v>
                </c:pt>
                <c:pt idx="1">
                  <c:v>Other Coaching</c:v>
                </c:pt>
                <c:pt idx="2">
                  <c:v>Goods</c:v>
                </c:pt>
                <c:pt idx="3">
                  <c:v>Sundries</c:v>
                </c:pt>
                <c:pt idx="4">
                  <c:v>Gr. Earnings</c:v>
                </c:pt>
              </c:strCache>
            </c:strRef>
          </c:cat>
          <c:val>
            <c:numRef>
              <c:f>'MOD-I (EARNING) Dec-21'!$T$14:$T$18</c:f>
              <c:numCache>
                <c:formatCode>0.00</c:formatCode>
                <c:ptCount val="5"/>
                <c:pt idx="0">
                  <c:v>2893.76</c:v>
                </c:pt>
                <c:pt idx="1">
                  <c:v>124.18</c:v>
                </c:pt>
                <c:pt idx="2">
                  <c:v>7454.69</c:v>
                </c:pt>
                <c:pt idx="3">
                  <c:v>118.11</c:v>
                </c:pt>
                <c:pt idx="4">
                  <c:v>10590.74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9-44AA-BFB5-2929BD922C47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'MOD-I (EARNING) Dec-21'!$A$14:$A$17</c:f>
              <c:strCache>
                <c:ptCount val="4"/>
                <c:pt idx="0">
                  <c:v>Passenger</c:v>
                </c:pt>
                <c:pt idx="1">
                  <c:v>Other Coaching</c:v>
                </c:pt>
                <c:pt idx="2">
                  <c:v>Goods</c:v>
                </c:pt>
                <c:pt idx="3">
                  <c:v>Sundries</c:v>
                </c:pt>
              </c:strCache>
            </c:strRef>
          </c:cat>
          <c:val>
            <c:numRef>
              <c:f>'MOD-I (EARNING) Dec-21'!$D$14:$D$17</c:f>
              <c:numCache>
                <c:formatCode>0.00</c:formatCode>
                <c:ptCount val="4"/>
                <c:pt idx="0">
                  <c:v>1290.99</c:v>
                </c:pt>
                <c:pt idx="1">
                  <c:v>111.59</c:v>
                </c:pt>
                <c:pt idx="2">
                  <c:v>1455.79</c:v>
                </c:pt>
                <c:pt idx="3">
                  <c:v>118.11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9-44AA-BFB5-2929BD922C47}"/>
            </c:ext>
          </c:extLst>
        </c:ser>
        <c:ser>
          <c:idx val="0"/>
          <c:order val="0"/>
          <c:tx>
            <c:strRef>
              <c:f>'[1]June-20(Earning'!$U$14</c:f>
              <c:strCache>
                <c:ptCount val="1"/>
                <c:pt idx="0">
                  <c:v>Actual upto June'20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'[1]June-20(Earning'!$R$15:$R$18</c:f>
              <c:strCache>
                <c:ptCount val="4"/>
                <c:pt idx="0">
                  <c:v>Passenger</c:v>
                </c:pt>
                <c:pt idx="1">
                  <c:v>Other Coaching</c:v>
                </c:pt>
                <c:pt idx="2">
                  <c:v>Goods</c:v>
                </c:pt>
                <c:pt idx="3">
                  <c:v>Sundries</c:v>
                </c:pt>
              </c:strCache>
            </c:strRef>
          </c:cat>
          <c:val>
            <c:numRef>
              <c:f>'[1]June-20(Earning'!$U$15:$U$18</c:f>
              <c:numCache>
                <c:formatCode>General</c:formatCode>
                <c:ptCount val="4"/>
                <c:pt idx="0">
                  <c:v>3.99</c:v>
                </c:pt>
                <c:pt idx="1">
                  <c:v>5.05</c:v>
                </c:pt>
                <c:pt idx="2">
                  <c:v>1186.08</c:v>
                </c:pt>
                <c:pt idx="3">
                  <c:v>13.91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0-49A7-A6E0-49DD529DDB5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'MOD-I (EARNING) Dec-21'!$B$49</c:f>
              <c:strCache>
                <c:ptCount val="1"/>
                <c:pt idx="0">
                  <c:v>2020-21</c:v>
                </c:pt>
              </c:strCache>
            </c:strRef>
          </c:tx>
          <c:invertIfNegative val="0"/>
          <c:cat>
            <c:strRef>
              <c:f>'MOD-I (EARNING) Dec-21'!$C$46:$N$46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'MOD-I (EARNING) Dec-21'!$C$49:$N$49</c:f>
              <c:numCache>
                <c:formatCode>0.00</c:formatCode>
                <c:ptCount val="12"/>
                <c:pt idx="0">
                  <c:v>281.32</c:v>
                </c:pt>
                <c:pt idx="1">
                  <c:v>371.34</c:v>
                </c:pt>
                <c:pt idx="2">
                  <c:v>533.41999999999996</c:v>
                </c:pt>
                <c:pt idx="3">
                  <c:v>518.67999999999995</c:v>
                </c:pt>
                <c:pt idx="4">
                  <c:v>598.32000000000005</c:v>
                </c:pt>
                <c:pt idx="5">
                  <c:v>762.78</c:v>
                </c:pt>
                <c:pt idx="6">
                  <c:v>708.36</c:v>
                </c:pt>
                <c:pt idx="7">
                  <c:v>657.94</c:v>
                </c:pt>
                <c:pt idx="8">
                  <c:v>736.16</c:v>
                </c:pt>
                <c:pt idx="9">
                  <c:v>802.16</c:v>
                </c:pt>
                <c:pt idx="10">
                  <c:v>735.93</c:v>
                </c:pt>
                <c:pt idx="11">
                  <c:v>868.26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7-4115-B654-725410A70EB5}"/>
            </c:ext>
          </c:extLst>
        </c:ser>
        <c:ser>
          <c:idx val="1"/>
          <c:order val="1"/>
          <c:tx>
            <c:strRef>
              <c:f>'MOD-I (EARNING) Dec-21'!$B$50</c:f>
              <c:strCache>
                <c:ptCount val="1"/>
                <c:pt idx="0">
                  <c:v>2021-22</c:v>
                </c:pt>
              </c:strCache>
            </c:strRef>
          </c:tx>
          <c:invertIfNegative val="0"/>
          <c:cat>
            <c:strRef>
              <c:f>'MOD-I (EARNING) Dec-21'!$C$46:$N$46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'MOD-I (EARNING) Dec-21'!$C$50:$N$50</c:f>
              <c:numCache>
                <c:formatCode>0.00</c:formatCode>
                <c:ptCount val="12"/>
                <c:pt idx="0">
                  <c:v>759.14</c:v>
                </c:pt>
                <c:pt idx="1">
                  <c:v>840.33</c:v>
                </c:pt>
                <c:pt idx="2">
                  <c:v>730.84</c:v>
                </c:pt>
                <c:pt idx="3">
                  <c:v>805.66</c:v>
                </c:pt>
                <c:pt idx="4">
                  <c:v>785.23</c:v>
                </c:pt>
                <c:pt idx="5">
                  <c:v>827.39</c:v>
                </c:pt>
                <c:pt idx="6">
                  <c:v>973.89</c:v>
                </c:pt>
                <c:pt idx="7">
                  <c:v>851.79</c:v>
                </c:pt>
                <c:pt idx="8">
                  <c:v>880.42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7-4115-B654-725410A7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73440"/>
        <c:axId val="134174976"/>
      </c:barChart>
      <c:catAx>
        <c:axId val="13417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74976"/>
        <c:crosses val="autoZero"/>
        <c:auto val="1"/>
        <c:lblAlgn val="ctr"/>
        <c:lblOffset val="100"/>
        <c:noMultiLvlLbl val="0"/>
      </c:catAx>
      <c:valAx>
        <c:axId val="134174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417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38517927328917"/>
          <c:y val="0.11030877693855179"/>
          <c:w val="0.42358367071511088"/>
          <c:h val="0.77460156842909134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'MOD-I (EARNING) Dec-21'!$A$37:$A$43</c:f>
              <c:strCache>
                <c:ptCount val="7"/>
                <c:pt idx="0">
                  <c:v>Pig Iron finished steel</c:v>
                </c:pt>
                <c:pt idx="1">
                  <c:v>Cement</c:v>
                </c:pt>
                <c:pt idx="2">
                  <c:v>F. Grains</c:v>
                </c:pt>
                <c:pt idx="3">
                  <c:v>Fertilisers</c:v>
                </c:pt>
                <c:pt idx="4">
                  <c:v>P.O.L.</c:v>
                </c:pt>
                <c:pt idx="5">
                  <c:v>Container</c:v>
                </c:pt>
                <c:pt idx="6">
                  <c:v>Others</c:v>
                </c:pt>
              </c:strCache>
            </c:strRef>
          </c:cat>
          <c:val>
            <c:numRef>
              <c:f>'MOD-I (EARNING) Dec-21'!$Q$37:$Q$43</c:f>
              <c:numCache>
                <c:formatCode>0.00</c:formatCode>
                <c:ptCount val="7"/>
                <c:pt idx="0" formatCode="General">
                  <c:v>0.23</c:v>
                </c:pt>
                <c:pt idx="1">
                  <c:v>113.36</c:v>
                </c:pt>
                <c:pt idx="2">
                  <c:v>217.22</c:v>
                </c:pt>
                <c:pt idx="3">
                  <c:v>25.45</c:v>
                </c:pt>
                <c:pt idx="4">
                  <c:v>671.94</c:v>
                </c:pt>
                <c:pt idx="5">
                  <c:v>247.35</c:v>
                </c:pt>
                <c:pt idx="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6-47F3-899B-B45AC826DF26}"/>
            </c:ext>
          </c:extLst>
        </c:ser>
        <c:ser>
          <c:idx val="1"/>
          <c:order val="1"/>
          <c:cat>
            <c:strRef>
              <c:f>'MOD-I (EARNING) Dec-21'!$A$37:$A$43</c:f>
              <c:strCache>
                <c:ptCount val="7"/>
                <c:pt idx="0">
                  <c:v>Pig Iron finished steel</c:v>
                </c:pt>
                <c:pt idx="1">
                  <c:v>Cement</c:v>
                </c:pt>
                <c:pt idx="2">
                  <c:v>F. Grains</c:v>
                </c:pt>
                <c:pt idx="3">
                  <c:v>Fertilisers</c:v>
                </c:pt>
                <c:pt idx="4">
                  <c:v>P.O.L.</c:v>
                </c:pt>
                <c:pt idx="5">
                  <c:v>Container</c:v>
                </c:pt>
                <c:pt idx="6">
                  <c:v>Others</c:v>
                </c:pt>
              </c:strCache>
            </c:strRef>
          </c:cat>
          <c:val>
            <c:numRef>
              <c:f>'MOD-I (EARNING) Dec-21'!$Q$37:$Q$43</c:f>
              <c:numCache>
                <c:formatCode>0.00</c:formatCode>
                <c:ptCount val="7"/>
                <c:pt idx="0" formatCode="General">
                  <c:v>0.23</c:v>
                </c:pt>
                <c:pt idx="1">
                  <c:v>113.36</c:v>
                </c:pt>
                <c:pt idx="2">
                  <c:v>217.22</c:v>
                </c:pt>
                <c:pt idx="3">
                  <c:v>25.45</c:v>
                </c:pt>
                <c:pt idx="4">
                  <c:v>671.94</c:v>
                </c:pt>
                <c:pt idx="5">
                  <c:v>247.35</c:v>
                </c:pt>
                <c:pt idx="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6-47F3-899B-B45AC826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Com. wise goods carried earnings to end </a:t>
            </a:r>
          </a:p>
        </c:rich>
      </c:tx>
      <c:overlay val="0"/>
    </c:title>
    <c:autoTitleDeleted val="0"/>
    <c:plotArea>
      <c:layout/>
      <c:pie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8193989797828"/>
          <c:y val="0.27975221747116374"/>
          <c:w val="0.35806816282799975"/>
          <c:h val="0.61088965842026888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75000000000008"/>
          <c:y val="0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0"/>
          <c:tx>
            <c:strRef>
              <c:f>'[2]May-20 earning'!$P$2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earning'!$P$3:$P$59</c:f>
              <c:numCache>
                <c:formatCode>General</c:formatCode>
                <c:ptCount val="57"/>
                <c:pt idx="0">
                  <c:v>43952</c:v>
                </c:pt>
                <c:pt idx="53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2-4718-BD76-0EB2FCF8A952}"/>
            </c:ext>
          </c:extLst>
        </c:ser>
        <c:ser>
          <c:idx val="4"/>
          <c:order val="1"/>
          <c:tx>
            <c:strRef>
              <c:f>'[2]May-20 earning'!$Q$2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earning'!$Q$3:$Q$59</c:f>
              <c:numCache>
                <c:formatCode>General</c:formatCode>
                <c:ptCount val="57"/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2-4718-BD76-0EB2FCF8A952}"/>
            </c:ext>
          </c:extLst>
        </c:ser>
        <c:ser>
          <c:idx val="5"/>
          <c:order val="2"/>
          <c:tx>
            <c:strRef>
              <c:f>'[2]May-20 earning'!$R$2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earning'!$R$3:$R$59</c:f>
              <c:numCache>
                <c:formatCode>General</c:formatCode>
                <c:ptCount val="57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52">
                  <c:v>0</c:v>
                </c:pt>
                <c:pt idx="53">
                  <c:v>14.07</c:v>
                </c:pt>
                <c:pt idx="54">
                  <c:v>0.33</c:v>
                </c:pt>
                <c:pt idx="55">
                  <c:v>10.11</c:v>
                </c:pt>
                <c:pt idx="56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2-4718-BD76-0EB2FCF8A952}"/>
            </c:ext>
          </c:extLst>
        </c:ser>
        <c:ser>
          <c:idx val="6"/>
          <c:order val="3"/>
          <c:tx>
            <c:strRef>
              <c:f>'[2]May-20 earning'!$S$2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earning'!$S$3:$S$59</c:f>
              <c:numCache>
                <c:formatCode>General</c:formatCode>
                <c:ptCount val="57"/>
                <c:pt idx="2">
                  <c:v>0</c:v>
                </c:pt>
                <c:pt idx="3">
                  <c:v>4773.84</c:v>
                </c:pt>
                <c:pt idx="4">
                  <c:v>171.99</c:v>
                </c:pt>
                <c:pt idx="5">
                  <c:v>8048.32</c:v>
                </c:pt>
                <c:pt idx="6">
                  <c:v>213.82</c:v>
                </c:pt>
                <c:pt idx="7">
                  <c:v>13207.97</c:v>
                </c:pt>
                <c:pt idx="8">
                  <c:v>-6.27</c:v>
                </c:pt>
                <c:pt idx="9">
                  <c:v>13201.699999999999</c:v>
                </c:pt>
                <c:pt idx="10">
                  <c:v>0</c:v>
                </c:pt>
                <c:pt idx="11">
                  <c:v>0</c:v>
                </c:pt>
                <c:pt idx="12">
                  <c:v>837.9</c:v>
                </c:pt>
                <c:pt idx="13">
                  <c:v>24.75</c:v>
                </c:pt>
                <c:pt idx="14">
                  <c:v>1307.1300000000001</c:v>
                </c:pt>
                <c:pt idx="15">
                  <c:v>35.69</c:v>
                </c:pt>
                <c:pt idx="16">
                  <c:v>2205.4700000000003</c:v>
                </c:pt>
                <c:pt idx="17">
                  <c:v>-30.57</c:v>
                </c:pt>
                <c:pt idx="18">
                  <c:v>2174.9</c:v>
                </c:pt>
                <c:pt idx="20">
                  <c:v>0</c:v>
                </c:pt>
                <c:pt idx="21">
                  <c:v>362.04</c:v>
                </c:pt>
                <c:pt idx="22">
                  <c:v>88637.119999999995</c:v>
                </c:pt>
                <c:pt idx="23">
                  <c:v>121342</c:v>
                </c:pt>
                <c:pt idx="24">
                  <c:v>76031</c:v>
                </c:pt>
                <c:pt idx="25">
                  <c:v>2272</c:v>
                </c:pt>
                <c:pt idx="26">
                  <c:v>144.71</c:v>
                </c:pt>
                <c:pt idx="27">
                  <c:v>86.87</c:v>
                </c:pt>
                <c:pt idx="28">
                  <c:v>6663</c:v>
                </c:pt>
                <c:pt idx="29">
                  <c:v>368</c:v>
                </c:pt>
                <c:pt idx="30">
                  <c:v>53274</c:v>
                </c:pt>
                <c:pt idx="31">
                  <c:v>419</c:v>
                </c:pt>
                <c:pt idx="32">
                  <c:v>20680</c:v>
                </c:pt>
                <c:pt idx="52">
                  <c:v>0</c:v>
                </c:pt>
                <c:pt idx="53">
                  <c:v>10.69</c:v>
                </c:pt>
                <c:pt idx="54">
                  <c:v>1.62</c:v>
                </c:pt>
                <c:pt idx="55">
                  <c:v>12.1</c:v>
                </c:pt>
                <c:pt idx="56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2-4718-BD76-0EB2FCF8A952}"/>
            </c:ext>
          </c:extLst>
        </c:ser>
        <c:ser>
          <c:idx val="7"/>
          <c:order val="4"/>
          <c:tx>
            <c:strRef>
              <c:f>'[2]May-20 earning'!$T$2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earning'!$T$3:$T$59</c:f>
              <c:numCache>
                <c:formatCode>General</c:formatCode>
                <c:ptCount val="57"/>
                <c:pt idx="2">
                  <c:v>0</c:v>
                </c:pt>
                <c:pt idx="3">
                  <c:v>5971.31</c:v>
                </c:pt>
                <c:pt idx="4">
                  <c:v>216.1</c:v>
                </c:pt>
                <c:pt idx="5">
                  <c:v>12699.9</c:v>
                </c:pt>
                <c:pt idx="6">
                  <c:v>342.61</c:v>
                </c:pt>
                <c:pt idx="7">
                  <c:v>19229.920000000002</c:v>
                </c:pt>
                <c:pt idx="8">
                  <c:v>7</c:v>
                </c:pt>
                <c:pt idx="9">
                  <c:v>19236.920000000002</c:v>
                </c:pt>
                <c:pt idx="11">
                  <c:v>0</c:v>
                </c:pt>
                <c:pt idx="12">
                  <c:v>1029.46</c:v>
                </c:pt>
                <c:pt idx="13">
                  <c:v>38.880000000000003</c:v>
                </c:pt>
                <c:pt idx="14">
                  <c:v>1905.7</c:v>
                </c:pt>
                <c:pt idx="15">
                  <c:v>57.1</c:v>
                </c:pt>
                <c:pt idx="16">
                  <c:v>3031.14</c:v>
                </c:pt>
                <c:pt idx="17">
                  <c:v>7</c:v>
                </c:pt>
                <c:pt idx="18">
                  <c:v>3038.14</c:v>
                </c:pt>
                <c:pt idx="20">
                  <c:v>0</c:v>
                </c:pt>
                <c:pt idx="21">
                  <c:v>30.55</c:v>
                </c:pt>
                <c:pt idx="22">
                  <c:v>7474.57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12.08</c:v>
                </c:pt>
                <c:pt idx="27">
                  <c:v>7.38</c:v>
                </c:pt>
                <c:pt idx="28">
                  <c:v>6899</c:v>
                </c:pt>
                <c:pt idx="29">
                  <c:v>368</c:v>
                </c:pt>
                <c:pt idx="30">
                  <c:v>4446.4799999999996</c:v>
                </c:pt>
                <c:pt idx="31">
                  <c:v>432</c:v>
                </c:pt>
                <c:pt idx="32">
                  <c:v>21477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52">
                  <c:v>0</c:v>
                </c:pt>
                <c:pt idx="53">
                  <c:v>14.36</c:v>
                </c:pt>
                <c:pt idx="54">
                  <c:v>0</c:v>
                </c:pt>
                <c:pt idx="55">
                  <c:v>13.97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2-4718-BD76-0EB2FCF8A952}"/>
            </c:ext>
          </c:extLst>
        </c:ser>
        <c:ser>
          <c:idx val="8"/>
          <c:order val="5"/>
          <c:tx>
            <c:strRef>
              <c:f>'[2]May-20 earning'!$U$2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earning'!$U$3:$U$59</c:f>
              <c:numCache>
                <c:formatCode>General</c:formatCode>
                <c:ptCount val="57"/>
                <c:pt idx="2">
                  <c:v>0</c:v>
                </c:pt>
                <c:pt idx="3">
                  <c:v>0.25083999463744078</c:v>
                </c:pt>
                <c:pt idx="4">
                  <c:v>0.25646839932554211</c:v>
                </c:pt>
                <c:pt idx="5">
                  <c:v>0.57795664188302653</c:v>
                </c:pt>
                <c:pt idx="6">
                  <c:v>0.60232906182770563</c:v>
                </c:pt>
                <c:pt idx="7">
                  <c:v>0.45593304648632627</c:v>
                </c:pt>
                <c:pt idx="8">
                  <c:v>-2.1164274322169061</c:v>
                </c:pt>
                <c:pt idx="9">
                  <c:v>0.45715476037177055</c:v>
                </c:pt>
                <c:pt idx="11">
                  <c:v>0</c:v>
                </c:pt>
                <c:pt idx="12">
                  <c:v>-39.11</c:v>
                </c:pt>
                <c:pt idx="13">
                  <c:v>1.95</c:v>
                </c:pt>
                <c:pt idx="14">
                  <c:v>652.66</c:v>
                </c:pt>
                <c:pt idx="15">
                  <c:v>6.97</c:v>
                </c:pt>
                <c:pt idx="16">
                  <c:v>622.47</c:v>
                </c:pt>
                <c:pt idx="17">
                  <c:v>-27.82</c:v>
                </c:pt>
                <c:pt idx="18">
                  <c:v>594.65</c:v>
                </c:pt>
                <c:pt idx="20">
                  <c:v>0</c:v>
                </c:pt>
                <c:pt idx="21">
                  <c:v>-2.36</c:v>
                </c:pt>
                <c:pt idx="22">
                  <c:v>-884.13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5.49</c:v>
                </c:pt>
                <c:pt idx="27">
                  <c:v>2.99</c:v>
                </c:pt>
                <c:pt idx="28">
                  <c:v>3038</c:v>
                </c:pt>
                <c:pt idx="29">
                  <c:v>350</c:v>
                </c:pt>
                <c:pt idx="30">
                  <c:v>1920.55</c:v>
                </c:pt>
                <c:pt idx="31">
                  <c:v>193</c:v>
                </c:pt>
                <c:pt idx="32">
                  <c:v>9128</c:v>
                </c:pt>
                <c:pt idx="34">
                  <c:v>0</c:v>
                </c:pt>
                <c:pt idx="35">
                  <c:v>1.63</c:v>
                </c:pt>
                <c:pt idx="36">
                  <c:v>1.02</c:v>
                </c:pt>
                <c:pt idx="37">
                  <c:v>2.4</c:v>
                </c:pt>
                <c:pt idx="38">
                  <c:v>4.51</c:v>
                </c:pt>
                <c:pt idx="39">
                  <c:v>1.1499999999999999</c:v>
                </c:pt>
                <c:pt idx="40">
                  <c:v>0.54</c:v>
                </c:pt>
                <c:pt idx="41">
                  <c:v>11.25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11.27</c:v>
                </c:pt>
                <c:pt idx="46">
                  <c:v>22.52</c:v>
                </c:pt>
                <c:pt idx="52">
                  <c:v>0</c:v>
                </c:pt>
                <c:pt idx="53">
                  <c:v>8.9499999999999993</c:v>
                </c:pt>
                <c:pt idx="54">
                  <c:v>0</c:v>
                </c:pt>
                <c:pt idx="55">
                  <c:v>14.62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2-4718-BD76-0EB2FCF8A952}"/>
            </c:ext>
          </c:extLst>
        </c:ser>
        <c:ser>
          <c:idx val="9"/>
          <c:order val="6"/>
          <c:tx>
            <c:strRef>
              <c:f>'[2]May-20 earning'!$V$2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earning'!$V$3:$V$59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428.69</c:v>
                </c:pt>
                <c:pt idx="4">
                  <c:v>10.69</c:v>
                </c:pt>
                <c:pt idx="5">
                  <c:v>654.5</c:v>
                </c:pt>
                <c:pt idx="6">
                  <c:v>22.99</c:v>
                </c:pt>
                <c:pt idx="7">
                  <c:v>1116.8700000000001</c:v>
                </c:pt>
                <c:pt idx="8">
                  <c:v>-18.86</c:v>
                </c:pt>
                <c:pt idx="9">
                  <c:v>1098.0100000000002</c:v>
                </c:pt>
                <c:pt idx="11">
                  <c:v>0</c:v>
                </c:pt>
                <c:pt idx="12">
                  <c:v>-1068.57</c:v>
                </c:pt>
                <c:pt idx="13">
                  <c:v>-36.93</c:v>
                </c:pt>
                <c:pt idx="14">
                  <c:v>-1253.04</c:v>
                </c:pt>
                <c:pt idx="15">
                  <c:v>-50.13</c:v>
                </c:pt>
                <c:pt idx="16">
                  <c:v>-2408.67</c:v>
                </c:pt>
                <c:pt idx="17">
                  <c:v>-34.82</c:v>
                </c:pt>
                <c:pt idx="18">
                  <c:v>-2443.4899999999998</c:v>
                </c:pt>
                <c:pt idx="20">
                  <c:v>0</c:v>
                </c:pt>
                <c:pt idx="21">
                  <c:v>-1.0772504091653028</c:v>
                </c:pt>
                <c:pt idx="22">
                  <c:v>-1.1182850652278324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-0.54552980132450335</c:v>
                </c:pt>
                <c:pt idx="27">
                  <c:v>-0.59485094850948506</c:v>
                </c:pt>
                <c:pt idx="28">
                  <c:v>-0.55964632555442817</c:v>
                </c:pt>
                <c:pt idx="29">
                  <c:v>-4.8913043478260872E-2</c:v>
                </c:pt>
                <c:pt idx="30">
                  <c:v>-0.56807407207498961</c:v>
                </c:pt>
                <c:pt idx="31">
                  <c:v>-0.5532407407407407</c:v>
                </c:pt>
                <c:pt idx="32">
                  <c:v>-0.57498719560460032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15.52</c:v>
                </c:pt>
                <c:pt idx="51">
                  <c:v>0</c:v>
                </c:pt>
                <c:pt idx="52">
                  <c:v>0</c:v>
                </c:pt>
                <c:pt idx="53">
                  <c:v>27.68</c:v>
                </c:pt>
                <c:pt idx="54">
                  <c:v>0</c:v>
                </c:pt>
                <c:pt idx="55">
                  <c:v>17.52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D2-4718-BD76-0EB2FCF8A952}"/>
            </c:ext>
          </c:extLst>
        </c:ser>
        <c:ser>
          <c:idx val="10"/>
          <c:order val="7"/>
          <c:tx>
            <c:strRef>
              <c:f>'[2]May-20 earning'!$W$2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earning'!$W$3:$W$59</c:f>
              <c:numCache>
                <c:formatCode>General</c:formatCode>
                <c:ptCount val="57"/>
                <c:pt idx="2">
                  <c:v>0</c:v>
                </c:pt>
                <c:pt idx="3">
                  <c:v>538.22</c:v>
                </c:pt>
                <c:pt idx="4">
                  <c:v>18.55</c:v>
                </c:pt>
                <c:pt idx="5">
                  <c:v>968.19</c:v>
                </c:pt>
                <c:pt idx="6">
                  <c:v>28.55</c:v>
                </c:pt>
                <c:pt idx="7">
                  <c:v>1553.51</c:v>
                </c:pt>
                <c:pt idx="8">
                  <c:v>0</c:v>
                </c:pt>
                <c:pt idx="9">
                  <c:v>1553.51</c:v>
                </c:pt>
                <c:pt idx="11">
                  <c:v>0</c:v>
                </c:pt>
                <c:pt idx="12">
                  <c:v>-1.0466762143453874</c:v>
                </c:pt>
                <c:pt idx="13">
                  <c:v>-0.92121212121212126</c:v>
                </c:pt>
                <c:pt idx="14">
                  <c:v>-0.5006923565368403</c:v>
                </c:pt>
                <c:pt idx="15">
                  <c:v>-0.80470720089660974</c:v>
                </c:pt>
                <c:pt idx="16">
                  <c:v>-0.71776084009304142</c:v>
                </c:pt>
                <c:pt idx="17">
                  <c:v>-8.9957474648348051E-2</c:v>
                </c:pt>
                <c:pt idx="18">
                  <c:v>-0.72658513035082073</c:v>
                </c:pt>
                <c:pt idx="34">
                  <c:v>0</c:v>
                </c:pt>
                <c:pt idx="35">
                  <c:v>0.01</c:v>
                </c:pt>
                <c:pt idx="36">
                  <c:v>1.02</c:v>
                </c:pt>
                <c:pt idx="37">
                  <c:v>2.3199999999999998</c:v>
                </c:pt>
                <c:pt idx="38">
                  <c:v>6.54</c:v>
                </c:pt>
                <c:pt idx="39">
                  <c:v>1.76</c:v>
                </c:pt>
                <c:pt idx="40">
                  <c:v>1</c:v>
                </c:pt>
                <c:pt idx="41">
                  <c:v>12.65</c:v>
                </c:pt>
                <c:pt idx="42">
                  <c:v>0.44</c:v>
                </c:pt>
                <c:pt idx="43">
                  <c:v>5.1100000000000003</c:v>
                </c:pt>
                <c:pt idx="44">
                  <c:v>0.45</c:v>
                </c:pt>
                <c:pt idx="45">
                  <c:v>12.59</c:v>
                </c:pt>
                <c:pt idx="46">
                  <c:v>31.24</c:v>
                </c:pt>
                <c:pt idx="52">
                  <c:v>0</c:v>
                </c:pt>
                <c:pt idx="53">
                  <c:v>2.44</c:v>
                </c:pt>
                <c:pt idx="54">
                  <c:v>0</c:v>
                </c:pt>
                <c:pt idx="55">
                  <c:v>11.24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D2-4718-BD76-0EB2FCF8A952}"/>
            </c:ext>
          </c:extLst>
        </c:ser>
        <c:ser>
          <c:idx val="11"/>
          <c:order val="8"/>
          <c:tx>
            <c:strRef>
              <c:f>'[2]May-20 earning'!$X$2</c:f>
              <c:strCache>
                <c:ptCount val="1"/>
                <c:pt idx="0">
                  <c:v>Part-II</c:v>
                </c:pt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earning'!$X$3:$X$59</c:f>
              <c:numCache>
                <c:formatCode>General</c:formatCode>
                <c:ptCount val="57"/>
                <c:pt idx="2">
                  <c:v>0</c:v>
                </c:pt>
                <c:pt idx="3">
                  <c:v>17.54</c:v>
                </c:pt>
                <c:pt idx="4">
                  <c:v>1.62</c:v>
                </c:pt>
                <c:pt idx="5">
                  <c:v>371.34</c:v>
                </c:pt>
                <c:pt idx="6">
                  <c:v>4.2</c:v>
                </c:pt>
                <c:pt idx="7">
                  <c:v>394.7</c:v>
                </c:pt>
                <c:pt idx="8">
                  <c:v>-16.21</c:v>
                </c:pt>
                <c:pt idx="9">
                  <c:v>378.49</c:v>
                </c:pt>
                <c:pt idx="11">
                  <c:v>0</c:v>
                </c:pt>
                <c:pt idx="12">
                  <c:v>-6.549651583990782E-3</c:v>
                </c:pt>
                <c:pt idx="13">
                  <c:v>9.023600185099491E-3</c:v>
                </c:pt>
                <c:pt idx="14">
                  <c:v>5.1390955834297904E-2</c:v>
                </c:pt>
                <c:pt idx="15">
                  <c:v>2.0343831178307695E-2</c:v>
                </c:pt>
                <c:pt idx="16">
                  <c:v>3.2369869453435063E-2</c:v>
                </c:pt>
                <c:pt idx="17">
                  <c:v>-3.9742857142857142</c:v>
                </c:pt>
                <c:pt idx="18">
                  <c:v>3.0911913133703312E-2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4">
                  <c:v>0</c:v>
                </c:pt>
                <c:pt idx="35">
                  <c:v>1.0900000000000001</c:v>
                </c:pt>
                <c:pt idx="36">
                  <c:v>1.67</c:v>
                </c:pt>
                <c:pt idx="37">
                  <c:v>2.39</c:v>
                </c:pt>
                <c:pt idx="38">
                  <c:v>7.51</c:v>
                </c:pt>
                <c:pt idx="39">
                  <c:v>1.87</c:v>
                </c:pt>
                <c:pt idx="40">
                  <c:v>3.79</c:v>
                </c:pt>
                <c:pt idx="41">
                  <c:v>18.32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10.47</c:v>
                </c:pt>
                <c:pt idx="46">
                  <c:v>28.79</c:v>
                </c:pt>
                <c:pt idx="52">
                  <c:v>0</c:v>
                </c:pt>
                <c:pt idx="53">
                  <c:v>23.88</c:v>
                </c:pt>
                <c:pt idx="54">
                  <c:v>0</c:v>
                </c:pt>
                <c:pt idx="55">
                  <c:v>9.94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D2-4718-BD76-0EB2FCF8A952}"/>
            </c:ext>
          </c:extLst>
        </c:ser>
        <c:ser>
          <c:idx val="12"/>
          <c:order val="9"/>
          <c:tx>
            <c:strRef>
              <c:f>'[2]May-20 earning'!$Y$2</c:f>
              <c:strCache>
                <c:ptCount val="1"/>
                <c:pt idx="0">
                  <c:v>22.06.2020</c:v>
                </c:pt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earning'!$Y$3:$Y$59</c:f>
              <c:numCache>
                <c:formatCode>General</c:formatCode>
                <c:ptCount val="57"/>
                <c:pt idx="2">
                  <c:v>0</c:v>
                </c:pt>
                <c:pt idx="3">
                  <c:v>-520.68000000000006</c:v>
                </c:pt>
                <c:pt idx="4">
                  <c:v>-16.93</c:v>
                </c:pt>
                <c:pt idx="5">
                  <c:v>-596.85000000000014</c:v>
                </c:pt>
                <c:pt idx="6">
                  <c:v>-24.35</c:v>
                </c:pt>
                <c:pt idx="7">
                  <c:v>-1158.81</c:v>
                </c:pt>
                <c:pt idx="8">
                  <c:v>-16.21</c:v>
                </c:pt>
                <c:pt idx="9">
                  <c:v>-1175.02</c:v>
                </c:pt>
                <c:pt idx="10">
                  <c:v>0</c:v>
                </c:pt>
                <c:pt idx="11">
                  <c:v>0</c:v>
                </c:pt>
                <c:pt idx="12">
                  <c:v>97.890327868852467</c:v>
                </c:pt>
                <c:pt idx="13">
                  <c:v>3.542622950819672</c:v>
                </c:pt>
                <c:pt idx="14">
                  <c:v>208.1950819672131</c:v>
                </c:pt>
                <c:pt idx="15">
                  <c:v>5.6165573770491806</c:v>
                </c:pt>
                <c:pt idx="16">
                  <c:v>315.24459016393445</c:v>
                </c:pt>
                <c:pt idx="20">
                  <c:v>0</c:v>
                </c:pt>
                <c:pt idx="22">
                  <c:v>1201.2</c:v>
                </c:pt>
                <c:pt idx="23">
                  <c:v>134.72</c:v>
                </c:pt>
                <c:pt idx="24">
                  <c:v>1066.48</c:v>
                </c:pt>
                <c:pt idx="26">
                  <c:v>596.96</c:v>
                </c:pt>
                <c:pt idx="27">
                  <c:v>136.82</c:v>
                </c:pt>
                <c:pt idx="28">
                  <c:v>460.14000000000004</c:v>
                </c:pt>
                <c:pt idx="34">
                  <c:v>0</c:v>
                </c:pt>
                <c:pt idx="35">
                  <c:v>1.0900000000000001</c:v>
                </c:pt>
                <c:pt idx="36">
                  <c:v>1.63</c:v>
                </c:pt>
                <c:pt idx="37">
                  <c:v>2.41</c:v>
                </c:pt>
                <c:pt idx="38">
                  <c:v>8.5399999999999991</c:v>
                </c:pt>
                <c:pt idx="39">
                  <c:v>2.35</c:v>
                </c:pt>
                <c:pt idx="40">
                  <c:v>3.9299999999999997</c:v>
                </c:pt>
                <c:pt idx="41">
                  <c:v>19.95</c:v>
                </c:pt>
                <c:pt idx="42">
                  <c:v>5.08</c:v>
                </c:pt>
                <c:pt idx="43">
                  <c:v>4.2</c:v>
                </c:pt>
                <c:pt idx="44">
                  <c:v>0.02</c:v>
                </c:pt>
                <c:pt idx="45">
                  <c:v>10.47</c:v>
                </c:pt>
                <c:pt idx="46">
                  <c:v>39.72</c:v>
                </c:pt>
                <c:pt idx="52">
                  <c:v>0</c:v>
                </c:pt>
                <c:pt idx="53">
                  <c:v>-6.549651583990782E-3</c:v>
                </c:pt>
                <c:pt idx="54">
                  <c:v>0</c:v>
                </c:pt>
                <c:pt idx="55">
                  <c:v>6.46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D2-4718-BD76-0EB2FCF8A952}"/>
            </c:ext>
          </c:extLst>
        </c:ser>
        <c:ser>
          <c:idx val="13"/>
          <c:order val="10"/>
          <c:tx>
            <c:strRef>
              <c:f>'[2]May-20 earning'!$Z$2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earning'!$Z$3:$Z$59</c:f>
              <c:numCache>
                <c:formatCode>General</c:formatCode>
                <c:ptCount val="57"/>
                <c:pt idx="2">
                  <c:v>0</c:v>
                </c:pt>
                <c:pt idx="3">
                  <c:v>-0.95908465324593528</c:v>
                </c:pt>
                <c:pt idx="4">
                  <c:v>-0.84845650140318063</c:v>
                </c:pt>
                <c:pt idx="5">
                  <c:v>-0.43263559969442328</c:v>
                </c:pt>
                <c:pt idx="6">
                  <c:v>-0.81731187472814271</c:v>
                </c:pt>
                <c:pt idx="7">
                  <c:v>-0.6466016635776769</c:v>
                </c:pt>
                <c:pt idx="8">
                  <c:v>-0.14050901378578995</c:v>
                </c:pt>
                <c:pt idx="9">
                  <c:v>-0.65529457837360316</c:v>
                </c:pt>
                <c:pt idx="11">
                  <c:v>0</c:v>
                </c:pt>
                <c:pt idx="12">
                  <c:v>13.736065573770491</c:v>
                </c:pt>
                <c:pt idx="13">
                  <c:v>0.40573770491803279</c:v>
                </c:pt>
                <c:pt idx="14">
                  <c:v>21.428360655737706</c:v>
                </c:pt>
                <c:pt idx="15">
                  <c:v>0.58508196721311467</c:v>
                </c:pt>
                <c:pt idx="16">
                  <c:v>36.155245901639347</c:v>
                </c:pt>
                <c:pt idx="20">
                  <c:v>0</c:v>
                </c:pt>
                <c:pt idx="22">
                  <c:v>586.22</c:v>
                </c:pt>
                <c:pt idx="23">
                  <c:v>134.57</c:v>
                </c:pt>
                <c:pt idx="24">
                  <c:v>451.65000000000003</c:v>
                </c:pt>
                <c:pt idx="26">
                  <c:v>-36.700000000000003</c:v>
                </c:pt>
                <c:pt idx="27">
                  <c:v>-20.5</c:v>
                </c:pt>
                <c:pt idx="28">
                  <c:v>-16.200000000000003</c:v>
                </c:pt>
                <c:pt idx="34">
                  <c:v>0</c:v>
                </c:pt>
                <c:pt idx="35">
                  <c:v>0</c:v>
                </c:pt>
                <c:pt idx="36">
                  <c:v>-4.0000000000000036E-2</c:v>
                </c:pt>
                <c:pt idx="37">
                  <c:v>2.0000000000000018E-2</c:v>
                </c:pt>
                <c:pt idx="38">
                  <c:v>1.0299999999999994</c:v>
                </c:pt>
                <c:pt idx="39">
                  <c:v>0.48</c:v>
                </c:pt>
                <c:pt idx="40">
                  <c:v>0.13999999999999968</c:v>
                </c:pt>
                <c:pt idx="41">
                  <c:v>1.629999999999999</c:v>
                </c:pt>
                <c:pt idx="42">
                  <c:v>5.08</c:v>
                </c:pt>
                <c:pt idx="43">
                  <c:v>4.2</c:v>
                </c:pt>
                <c:pt idx="44">
                  <c:v>0.02</c:v>
                </c:pt>
                <c:pt idx="45">
                  <c:v>0</c:v>
                </c:pt>
                <c:pt idx="46">
                  <c:v>10.93</c:v>
                </c:pt>
                <c:pt idx="52">
                  <c:v>0</c:v>
                </c:pt>
                <c:pt idx="53">
                  <c:v>8.4</c:v>
                </c:pt>
                <c:pt idx="54">
                  <c:v>0</c:v>
                </c:pt>
                <c:pt idx="55">
                  <c:v>16.05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D2-4718-BD76-0EB2FCF8A952}"/>
            </c:ext>
          </c:extLst>
        </c:ser>
        <c:ser>
          <c:idx val="14"/>
          <c:order val="11"/>
          <c:tx>
            <c:strRef>
              <c:f>'[2]May-20 earning'!$AA$2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earning'!$AA$3:$AA$59</c:f>
              <c:numCache>
                <c:formatCode>General</c:formatCode>
                <c:ptCount val="57"/>
                <c:pt idx="2">
                  <c:v>0</c:v>
                </c:pt>
                <c:pt idx="3">
                  <c:v>2.9373789001073463E-3</c:v>
                </c:pt>
                <c:pt idx="4">
                  <c:v>7.4965293845441934E-3</c:v>
                </c:pt>
                <c:pt idx="5">
                  <c:v>2.9239600311813479E-2</c:v>
                </c:pt>
                <c:pt idx="6">
                  <c:v>1.2258836578033332E-2</c:v>
                </c:pt>
                <c:pt idx="7">
                  <c:v>2.0525306397530512E-2</c:v>
                </c:pt>
                <c:pt idx="8">
                  <c:v>-2.3157142857142858</c:v>
                </c:pt>
                <c:pt idx="9">
                  <c:v>1.9675187088161721E-2</c:v>
                </c:pt>
                <c:pt idx="11">
                  <c:v>0</c:v>
                </c:pt>
                <c:pt idx="12">
                  <c:v>-0.6411475409836066</c:v>
                </c:pt>
                <c:pt idx="13">
                  <c:v>3.1967213114754096E-2</c:v>
                </c:pt>
                <c:pt idx="14">
                  <c:v>10.699344262295082</c:v>
                </c:pt>
                <c:pt idx="15">
                  <c:v>0.11426229508196721</c:v>
                </c:pt>
                <c:pt idx="16">
                  <c:v>10.204426229508197</c:v>
                </c:pt>
                <c:pt idx="20">
                  <c:v>0</c:v>
                </c:pt>
                <c:pt idx="22">
                  <c:v>-0.51197136197136195</c:v>
                </c:pt>
                <c:pt idx="23">
                  <c:v>-1.1134204275534865E-3</c:v>
                </c:pt>
                <c:pt idx="24">
                  <c:v>-0.57650401320231037</c:v>
                </c:pt>
                <c:pt idx="26">
                  <c:v>-1.0614781559903512</c:v>
                </c:pt>
                <c:pt idx="27">
                  <c:v>-1.1498318959216489</c:v>
                </c:pt>
                <c:pt idx="28">
                  <c:v>-1.0352066762289738</c:v>
                </c:pt>
                <c:pt idx="34">
                  <c:v>0</c:v>
                </c:pt>
                <c:pt idx="35">
                  <c:v>1.08</c:v>
                </c:pt>
                <c:pt idx="36">
                  <c:v>0.60999999999999988</c:v>
                </c:pt>
                <c:pt idx="37">
                  <c:v>9.0000000000000302E-2</c:v>
                </c:pt>
                <c:pt idx="38">
                  <c:v>1.9999999999999991</c:v>
                </c:pt>
                <c:pt idx="39">
                  <c:v>0.59000000000000008</c:v>
                </c:pt>
                <c:pt idx="40">
                  <c:v>2.9299999999999997</c:v>
                </c:pt>
                <c:pt idx="41">
                  <c:v>7.2999999999999989</c:v>
                </c:pt>
                <c:pt idx="42">
                  <c:v>4.6399999999999997</c:v>
                </c:pt>
                <c:pt idx="43">
                  <c:v>-0.91000000000000014</c:v>
                </c:pt>
                <c:pt idx="44">
                  <c:v>-0.43</c:v>
                </c:pt>
                <c:pt idx="45">
                  <c:v>-2.1199999999999992</c:v>
                </c:pt>
                <c:pt idx="46">
                  <c:v>8.48</c:v>
                </c:pt>
                <c:pt idx="52">
                  <c:v>0</c:v>
                </c:pt>
                <c:pt idx="53">
                  <c:v>18.05</c:v>
                </c:pt>
                <c:pt idx="54">
                  <c:v>0</c:v>
                </c:pt>
                <c:pt idx="55">
                  <c:v>21.33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D2-4718-BD76-0EB2FCF8A952}"/>
            </c:ext>
          </c:extLst>
        </c:ser>
        <c:ser>
          <c:idx val="15"/>
          <c:order val="12"/>
          <c:tx>
            <c:strRef>
              <c:f>'[2]May-20 earning'!$AB$2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earning'!$AB$3:$AB$59</c:f>
              <c:numCache>
                <c:formatCode>General</c:formatCode>
                <c:ptCount val="57"/>
                <c:pt idx="34">
                  <c:v>0</c:v>
                </c:pt>
                <c:pt idx="35">
                  <c:v>-0.53999999999999981</c:v>
                </c:pt>
                <c:pt idx="36">
                  <c:v>0.60999999999999988</c:v>
                </c:pt>
                <c:pt idx="37">
                  <c:v>1.0000000000000231E-2</c:v>
                </c:pt>
                <c:pt idx="38">
                  <c:v>4.0299999999999994</c:v>
                </c:pt>
                <c:pt idx="39">
                  <c:v>1.2000000000000002</c:v>
                </c:pt>
                <c:pt idx="40">
                  <c:v>3.3899999999999997</c:v>
                </c:pt>
                <c:pt idx="41">
                  <c:v>8.6999999999999993</c:v>
                </c:pt>
                <c:pt idx="42">
                  <c:v>5.08</c:v>
                </c:pt>
                <c:pt idx="43">
                  <c:v>4.2</c:v>
                </c:pt>
                <c:pt idx="44">
                  <c:v>0.02</c:v>
                </c:pt>
                <c:pt idx="45">
                  <c:v>-0.79999999999999893</c:v>
                </c:pt>
                <c:pt idx="46">
                  <c:v>17.2</c:v>
                </c:pt>
                <c:pt idx="52">
                  <c:v>0</c:v>
                </c:pt>
                <c:pt idx="53">
                  <c:v>18.43</c:v>
                </c:pt>
                <c:pt idx="54">
                  <c:v>0</c:v>
                </c:pt>
                <c:pt idx="55">
                  <c:v>18.55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D2-4718-BD76-0EB2FCF8A952}"/>
            </c:ext>
          </c:extLst>
        </c:ser>
        <c:ser>
          <c:idx val="16"/>
          <c:order val="13"/>
          <c:tx>
            <c:strRef>
              <c:f>'[2]May-20 earning'!$AC$2</c:f>
              <c:strCache>
                <c:ptCount val="1"/>
              </c:strCache>
            </c:strRef>
          </c:tx>
          <c:cat>
            <c:multiLvlStrRef>
              <c:f>'[2]May-20 earning'!$B$3:$L$59</c:f>
              <c:multiLvlStrCache>
                <c:ptCount val="57"/>
                <c:lvl>
                  <c:pt idx="0">
                    <c:v>KEY STATISTICS TO END OF </c:v>
                  </c:pt>
                  <c:pt idx="1">
                    <c:v>GRAPH</c:v>
                  </c:pt>
                  <c:pt idx="52">
                    <c:v>DEC</c:v>
                  </c:pt>
                  <c:pt idx="53">
                    <c:v>396.82</c:v>
                  </c:pt>
                  <c:pt idx="54">
                    <c:v>0</c:v>
                  </c:pt>
                  <c:pt idx="55">
                    <c:v>769.5</c:v>
                  </c:pt>
                  <c:pt idx="56">
                    <c:v>0</c:v>
                  </c:pt>
                </c:lvl>
                <c:lvl>
                  <c:pt idx="2">
                    <c:v>% of Target 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11">
                    <c:v>Actual upto Mar'20</c:v>
                  </c:pt>
                  <c:pt idx="12">
                    <c:v>-0.397213115</c:v>
                  </c:pt>
                  <c:pt idx="13">
                    <c:v>0.030983607</c:v>
                  </c:pt>
                  <c:pt idx="14">
                    <c:v>3.347213115</c:v>
                  </c:pt>
                  <c:pt idx="15">
                    <c:v>0.114262295</c:v>
                  </c:pt>
                  <c:pt idx="16">
                    <c:v>3.095245902</c:v>
                  </c:pt>
                  <c:pt idx="44">
                    <c:v>Growth </c:v>
                  </c:pt>
                  <c:pt idx="45">
                    <c:v>-0.632756133</c:v>
                  </c:pt>
                  <c:pt idx="46">
                    <c:v>-0.207721761</c:v>
                  </c:pt>
                  <c:pt idx="47">
                    <c:v>-0.391625616</c:v>
                  </c:pt>
                  <c:pt idx="48">
                    <c:v>0.082677165</c:v>
                  </c:pt>
                  <c:pt idx="49">
                    <c:v>1.960736196</c:v>
                  </c:pt>
                  <c:pt idx="50">
                    <c:v>-0.538571429</c:v>
                  </c:pt>
                  <c:pt idx="51">
                    <c:v>-0.077562836</c:v>
                  </c:pt>
                  <c:pt idx="52">
                    <c:v>NOV</c:v>
                  </c:pt>
                  <c:pt idx="53">
                    <c:v>449.89</c:v>
                  </c:pt>
                  <c:pt idx="54">
                    <c:v>0</c:v>
                  </c:pt>
                  <c:pt idx="55">
                    <c:v>658.27</c:v>
                  </c:pt>
                  <c:pt idx="56">
                    <c:v>0</c:v>
                  </c:pt>
                </c:lvl>
                <c:lvl>
                  <c:pt idx="2">
                    <c:v>Actual Growth (%)</c:v>
                  </c:pt>
                  <c:pt idx="3">
                    <c:v>-1.050806814</c:v>
                  </c:pt>
                  <c:pt idx="4">
                    <c:v>-0.899055919</c:v>
                  </c:pt>
                  <c:pt idx="5">
                    <c:v>-0.036656054</c:v>
                  </c:pt>
                  <c:pt idx="6">
                    <c:v>-0.817311875</c:v>
                  </c:pt>
                  <c:pt idx="7">
                    <c:v>-0.684436036</c:v>
                  </c:pt>
                  <c:pt idx="11">
                    <c:v>Actual upto Mar'19</c:v>
                  </c:pt>
                  <c:pt idx="12">
                    <c:v>6.212295082</c:v>
                  </c:pt>
                  <c:pt idx="13">
                    <c:v>0.430819672</c:v>
                  </c:pt>
                  <c:pt idx="14">
                    <c:v>3.719016393</c:v>
                  </c:pt>
                  <c:pt idx="15">
                    <c:v>0.585081967</c:v>
                  </c:pt>
                  <c:pt idx="16">
                    <c:v>10.94721311</c:v>
                  </c:pt>
                  <c:pt idx="20">
                    <c:v>Actual Growth (%)</c:v>
                  </c:pt>
                  <c:pt idx="21">
                    <c:v>88.25</c:v>
                  </c:pt>
                  <c:pt idx="22">
                    <c:v>8.9</c:v>
                  </c:pt>
                  <c:pt idx="23">
                    <c:v>-132.1666667</c:v>
                  </c:pt>
                  <c:pt idx="24">
                    <c:v>-0.469273743</c:v>
                  </c:pt>
                  <c:pt idx="25">
                    <c:v>0.526041667</c:v>
                  </c:pt>
                  <c:pt idx="26">
                    <c:v>-0.432835821</c:v>
                  </c:pt>
                  <c:pt idx="27">
                    <c:v>-0.552136397</c:v>
                  </c:pt>
                  <c:pt idx="34">
                    <c:v>Actual Growth (%)</c:v>
                  </c:pt>
                  <c:pt idx="35">
                    <c:v>-0.6</c:v>
                  </c:pt>
                  <c:pt idx="36">
                    <c:v>0.2</c:v>
                  </c:pt>
                  <c:pt idx="37">
                    <c:v>-0.25</c:v>
                  </c:pt>
                  <c:pt idx="38">
                    <c:v>-0.165137615</c:v>
                  </c:pt>
                  <c:pt idx="39">
                    <c:v>-0.432432432</c:v>
                  </c:pt>
                  <c:pt idx="40">
                    <c:v>-0.5</c:v>
                  </c:pt>
                  <c:pt idx="41">
                    <c:v>-0.319391635</c:v>
                  </c:pt>
                  <c:pt idx="44">
                    <c:v>Actual upto May'20</c:v>
                  </c:pt>
                  <c:pt idx="45">
                    <c:v>10.18</c:v>
                  </c:pt>
                  <c:pt idx="46">
                    <c:v>24.83</c:v>
                  </c:pt>
                  <c:pt idx="47">
                    <c:v>4.94</c:v>
                  </c:pt>
                  <c:pt idx="48">
                    <c:v>123.75</c:v>
                  </c:pt>
                  <c:pt idx="49">
                    <c:v>24.13</c:v>
                  </c:pt>
                  <c:pt idx="50">
                    <c:v>12.92</c:v>
                  </c:pt>
                  <c:pt idx="51">
                    <c:v>200.75</c:v>
                  </c:pt>
                  <c:pt idx="52">
                    <c:v>OCT</c:v>
                  </c:pt>
                  <c:pt idx="53">
                    <c:v>344.65</c:v>
                  </c:pt>
                  <c:pt idx="54">
                    <c:v>0</c:v>
                  </c:pt>
                  <c:pt idx="55">
                    <c:v>665.11</c:v>
                  </c:pt>
                  <c:pt idx="56">
                    <c:v>0</c:v>
                  </c:pt>
                </c:lvl>
                <c:lvl>
                  <c:pt idx="2">
                    <c:v> Var over BP 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0">
                    <c:v>Avg. Daily Earning</c:v>
                  </c:pt>
                  <c:pt idx="11">
                    <c:v>Target 2019-20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 Var over BP </c:v>
                  </c:pt>
                  <c:pt idx="21">
                    <c:v>-0.32</c:v>
                  </c:pt>
                  <c:pt idx="24">
                    <c:v>1.79</c:v>
                  </c:pt>
                  <c:pt idx="25">
                    <c:v>2.93</c:v>
                  </c:pt>
                  <c:pt idx="27">
                    <c:v>#VALUE!</c:v>
                  </c:pt>
                  <c:pt idx="34">
                    <c:v> Var over BP 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3">
                    <c:v>Orig. Earning </c:v>
                  </c:pt>
                  <c:pt idx="44">
                    <c:v>Actual upto May'19</c:v>
                  </c:pt>
                  <c:pt idx="45">
                    <c:v>27.72</c:v>
                  </c:pt>
                  <c:pt idx="46">
                    <c:v>31.34</c:v>
                  </c:pt>
                  <c:pt idx="47">
                    <c:v>8.12</c:v>
                  </c:pt>
                  <c:pt idx="48">
                    <c:v>114.3</c:v>
                  </c:pt>
                  <c:pt idx="49">
                    <c:v>8.15</c:v>
                  </c:pt>
                  <c:pt idx="50">
                    <c:v>28</c:v>
                  </c:pt>
                  <c:pt idx="51">
                    <c:v>217.63</c:v>
                  </c:pt>
                  <c:pt idx="52">
                    <c:v>Sep</c:v>
                  </c:pt>
                  <c:pt idx="53">
                    <c:v>392.3</c:v>
                  </c:pt>
                  <c:pt idx="54">
                    <c:v>0</c:v>
                  </c:pt>
                  <c:pt idx="55">
                    <c:v>604.94</c:v>
                  </c:pt>
                  <c:pt idx="56">
                    <c:v>0</c:v>
                  </c:pt>
                </c:lvl>
                <c:lvl>
                  <c:pt idx="2">
                    <c:v>Actual May'20</c:v>
                  </c:pt>
                  <c:pt idx="3">
                    <c:v>-10.17</c:v>
                  </c:pt>
                  <c:pt idx="4">
                    <c:v>1.39</c:v>
                  </c:pt>
                  <c:pt idx="5">
                    <c:v>118</c:v>
                  </c:pt>
                  <c:pt idx="6">
                    <c:v>4.2</c:v>
                  </c:pt>
                  <c:pt idx="7">
                    <c:v>113.42</c:v>
                  </c:pt>
                  <c:pt idx="11">
                    <c:v>% of Target </c:v>
                  </c:pt>
                  <c:pt idx="12">
                    <c:v>#DIV/0!</c:v>
                  </c:pt>
                  <c:pt idx="13">
                    <c:v>#DIV/0!</c:v>
                  </c:pt>
                  <c:pt idx="14">
                    <c:v>#DIV/0!</c:v>
                  </c:pt>
                  <c:pt idx="15">
                    <c:v>#DIV/0!</c:v>
                  </c:pt>
                  <c:pt idx="16">
                    <c:v>#DIV/0!</c:v>
                  </c:pt>
                  <c:pt idx="20">
                    <c:v>Actual upto May'20</c:v>
                  </c:pt>
                  <c:pt idx="21">
                    <c:v>-0.32</c:v>
                  </c:pt>
                  <c:pt idx="22">
                    <c:v>-0.5</c:v>
                  </c:pt>
                  <c:pt idx="23">
                    <c:v>0.18</c:v>
                  </c:pt>
                  <c:pt idx="24">
                    <c:v>1.79</c:v>
                  </c:pt>
                  <c:pt idx="25">
                    <c:v>2.93</c:v>
                  </c:pt>
                  <c:pt idx="26">
                    <c:v>152</c:v>
                  </c:pt>
                  <c:pt idx="27">
                    <c:v>4308</c:v>
                  </c:pt>
                  <c:pt idx="34">
                    <c:v>Actual upto May'20</c:v>
                  </c:pt>
                  <c:pt idx="35">
                    <c:v>0.2</c:v>
                  </c:pt>
                  <c:pt idx="36">
                    <c:v>0.18</c:v>
                  </c:pt>
                  <c:pt idx="37">
                    <c:v>0.09</c:v>
                  </c:pt>
                  <c:pt idx="38">
                    <c:v>0.91</c:v>
                  </c:pt>
                  <c:pt idx="39">
                    <c:v>0.21</c:v>
                  </c:pt>
                  <c:pt idx="40">
                    <c:v>0.2</c:v>
                  </c:pt>
                  <c:pt idx="41">
                    <c:v>1.79</c:v>
                  </c:pt>
                  <c:pt idx="44">
                    <c:v>Growth </c:v>
                  </c:pt>
                  <c:pt idx="45">
                    <c:v>-0.081395349</c:v>
                  </c:pt>
                  <c:pt idx="46">
                    <c:v>-0.147887324</c:v>
                  </c:pt>
                  <c:pt idx="47">
                    <c:v>-0.133333333</c:v>
                  </c:pt>
                  <c:pt idx="48">
                    <c:v>-0.028301887</c:v>
                  </c:pt>
                  <c:pt idx="49">
                    <c:v>4.363636364</c:v>
                  </c:pt>
                  <c:pt idx="50">
                    <c:v>-0.142857143</c:v>
                  </c:pt>
                  <c:pt idx="51">
                    <c:v>0.15862069</c:v>
                  </c:pt>
                  <c:pt idx="52">
                    <c:v>Aug</c:v>
                  </c:pt>
                  <c:pt idx="53">
                    <c:v>415</c:v>
                  </c:pt>
                  <c:pt idx="54">
                    <c:v>0</c:v>
                  </c:pt>
                  <c:pt idx="55">
                    <c:v>628.2</c:v>
                  </c:pt>
                  <c:pt idx="56">
                    <c:v>0</c:v>
                  </c:pt>
                </c:lvl>
                <c:lvl>
                  <c:pt idx="2">
                    <c:v>BP May'20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Actual Growth (%)</c:v>
                  </c:pt>
                  <c:pt idx="12">
                    <c:v>-1.063939834</c:v>
                  </c:pt>
                  <c:pt idx="13">
                    <c:v>-0.928082192</c:v>
                  </c:pt>
                  <c:pt idx="14">
                    <c:v>-0.099973552</c:v>
                  </c:pt>
                  <c:pt idx="15">
                    <c:v>-0.804707201</c:v>
                  </c:pt>
                  <c:pt idx="16">
                    <c:v>-0.717257181</c:v>
                  </c:pt>
                  <c:pt idx="20">
                    <c:v>BP upto May'20</c:v>
                  </c:pt>
                  <c:pt idx="21">
                    <c:v>0</c:v>
                  </c:pt>
                  <c:pt idx="22">
                    <c:v>NA</c:v>
                  </c:pt>
                  <c:pt idx="23">
                    <c:v>NA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NA</c:v>
                  </c:pt>
                  <c:pt idx="34">
                    <c:v>BP upto May'20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1.58</c:v>
                  </c:pt>
                  <c:pt idx="46">
                    <c:v>1.21</c:v>
                  </c:pt>
                  <c:pt idx="47">
                    <c:v>1.43</c:v>
                  </c:pt>
                  <c:pt idx="48">
                    <c:v>2.06</c:v>
                  </c:pt>
                  <c:pt idx="49">
                    <c:v>1.18</c:v>
                  </c:pt>
                  <c:pt idx="50">
                    <c:v>1.5</c:v>
                  </c:pt>
                  <c:pt idx="51">
                    <c:v>1.68</c:v>
                  </c:pt>
                  <c:pt idx="52">
                    <c:v>JUL</c:v>
                  </c:pt>
                  <c:pt idx="53">
                    <c:v>478.05</c:v>
                  </c:pt>
                  <c:pt idx="54">
                    <c:v>0</c:v>
                  </c:pt>
                  <c:pt idx="55">
                    <c:v>740.98</c:v>
                  </c:pt>
                  <c:pt idx="56">
                    <c:v>0</c:v>
                  </c:pt>
                </c:lvl>
                <c:lvl>
                  <c:pt idx="1">
                    <c:v>FOR THE MONTH </c:v>
                  </c:pt>
                  <c:pt idx="2">
                    <c:v>Actual May'19</c:v>
                  </c:pt>
                  <c:pt idx="3">
                    <c:v>200.17</c:v>
                  </c:pt>
                  <c:pt idx="4">
                    <c:v>13.77</c:v>
                  </c:pt>
                  <c:pt idx="5">
                    <c:v>122.49</c:v>
                  </c:pt>
                  <c:pt idx="6">
                    <c:v>22.99</c:v>
                  </c:pt>
                  <c:pt idx="7">
                    <c:v>359.42</c:v>
                  </c:pt>
                  <c:pt idx="10">
                    <c:v>UPTO THE MONTH </c:v>
                  </c:pt>
                  <c:pt idx="11">
                    <c:v> Var over BP 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Actual upto May'19</c:v>
                  </c:pt>
                  <c:pt idx="21">
                    <c:v>27.92</c:v>
                  </c:pt>
                  <c:pt idx="22">
                    <c:v>3.95</c:v>
                  </c:pt>
                  <c:pt idx="23">
                    <c:v>23.97</c:v>
                  </c:pt>
                  <c:pt idx="24">
                    <c:v>2.63</c:v>
                  </c:pt>
                  <c:pt idx="25">
                    <c:v>1.92</c:v>
                  </c:pt>
                  <c:pt idx="26">
                    <c:v>268</c:v>
                  </c:pt>
                  <c:pt idx="27">
                    <c:v>9619</c:v>
                  </c:pt>
                  <c:pt idx="28">
                    <c:v>Actual Growth (%)</c:v>
                  </c:pt>
                  <c:pt idx="29">
                    <c:v>0.169877408</c:v>
                  </c:pt>
                  <c:pt idx="30">
                    <c:v>-0.204273447</c:v>
                  </c:pt>
                  <c:pt idx="31">
                    <c:v>-1.011461318</c:v>
                  </c:pt>
                  <c:pt idx="34">
                    <c:v>Actual upto May'19</c:v>
                  </c:pt>
                  <c:pt idx="35">
                    <c:v>0.5</c:v>
                  </c:pt>
                  <c:pt idx="36">
                    <c:v>0.15</c:v>
                  </c:pt>
                  <c:pt idx="37">
                    <c:v>0.12</c:v>
                  </c:pt>
                  <c:pt idx="38">
                    <c:v>1.09</c:v>
                  </c:pt>
                  <c:pt idx="39">
                    <c:v>0.37</c:v>
                  </c:pt>
                  <c:pt idx="40">
                    <c:v>0.4</c:v>
                  </c:pt>
                  <c:pt idx="41">
                    <c:v>2.63</c:v>
                  </c:pt>
                  <c:pt idx="43">
                    <c:v>Avg. Rate </c:v>
                  </c:pt>
                  <c:pt idx="44">
                    <c:v>Actual upto May'19</c:v>
                  </c:pt>
                  <c:pt idx="45">
                    <c:v>1.72</c:v>
                  </c:pt>
                  <c:pt idx="46">
                    <c:v>1.42</c:v>
                  </c:pt>
                  <c:pt idx="47">
                    <c:v>1.65</c:v>
                  </c:pt>
                  <c:pt idx="48">
                    <c:v>2.12</c:v>
                  </c:pt>
                  <c:pt idx="49">
                    <c:v>0.22</c:v>
                  </c:pt>
                  <c:pt idx="50">
                    <c:v>1.75</c:v>
                  </c:pt>
                  <c:pt idx="51">
                    <c:v>1.45</c:v>
                  </c:pt>
                  <c:pt idx="52">
                    <c:v>JUN</c:v>
                  </c:pt>
                  <c:pt idx="53">
                    <c:v>443.4</c:v>
                  </c:pt>
                  <c:pt idx="54">
                    <c:v>0</c:v>
                  </c:pt>
                  <c:pt idx="55">
                    <c:v>676.55</c:v>
                  </c:pt>
                  <c:pt idx="56">
                    <c:v>0</c:v>
                  </c:pt>
                </c:lvl>
                <c:lvl>
                  <c:pt idx="2">
                    <c:v>Target Growth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11">
                    <c:v>Actual upto May'20</c:v>
                  </c:pt>
                  <c:pt idx="12">
                    <c:v>-24.23</c:v>
                  </c:pt>
                  <c:pt idx="13">
                    <c:v>1.89</c:v>
                  </c:pt>
                  <c:pt idx="14">
                    <c:v>204.18</c:v>
                  </c:pt>
                  <c:pt idx="15">
                    <c:v>6.97</c:v>
                  </c:pt>
                  <c:pt idx="16">
                    <c:v>188.81</c:v>
                  </c:pt>
                  <c:pt idx="20">
                    <c:v>Target Growth</c:v>
                  </c:pt>
                  <c:pt idx="21">
                    <c:v>-1</c:v>
                  </c:pt>
                  <c:pt idx="22">
                    <c:v>-</c:v>
                  </c:pt>
                  <c:pt idx="24">
                    <c:v>-1</c:v>
                  </c:pt>
                  <c:pt idx="25">
                    <c:v>0.288659794</c:v>
                  </c:pt>
                  <c:pt idx="26">
                    <c:v>-0.015748031</c:v>
                  </c:pt>
                  <c:pt idx="27">
                    <c:v>-0.055870265</c:v>
                  </c:pt>
                  <c:pt idx="28">
                    <c:v>Actual upto May'20</c:v>
                  </c:pt>
                  <c:pt idx="29">
                    <c:v>668</c:v>
                  </c:pt>
                  <c:pt idx="30">
                    <c:v>1195.42</c:v>
                  </c:pt>
                  <c:pt idx="31">
                    <c:v>-0.32</c:v>
                  </c:pt>
                  <c:pt idx="34">
                    <c:v>Target Growth</c:v>
                  </c:pt>
                  <c:pt idx="35">
                    <c:v>-1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  <c:pt idx="40">
                    <c:v>-1</c:v>
                  </c:pt>
                  <c:pt idx="41">
                    <c:v>-1</c:v>
                  </c:pt>
                  <c:pt idx="44">
                    <c:v>Growth </c:v>
                  </c:pt>
                  <c:pt idx="45">
                    <c:v>-0.00310559</c:v>
                  </c:pt>
                  <c:pt idx="46">
                    <c:v>-0.224559023</c:v>
                  </c:pt>
                  <c:pt idx="47">
                    <c:v>-0.065853659</c:v>
                  </c:pt>
                  <c:pt idx="48">
                    <c:v>0.328629032</c:v>
                  </c:pt>
                  <c:pt idx="49">
                    <c:v>-0.023976024</c:v>
                  </c:pt>
                  <c:pt idx="50">
                    <c:v>0.0775</c:v>
                  </c:pt>
                  <c:pt idx="51">
                    <c:v>0.169877408</c:v>
                  </c:pt>
                  <c:pt idx="52">
                    <c:v>MAY</c:v>
                  </c:pt>
                  <c:pt idx="53">
                    <c:v>428.68</c:v>
                  </c:pt>
                  <c:pt idx="54">
                    <c:v>17.54</c:v>
                  </c:pt>
                  <c:pt idx="55">
                    <c:v>654.5</c:v>
                  </c:pt>
                  <c:pt idx="56">
                    <c:v>371.34</c:v>
                  </c:pt>
                </c:lvl>
                <c:lvl>
                  <c:pt idx="2">
                    <c:v>Target      2020-21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11">
                    <c:v>BP upto May'20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20">
                    <c:v>Target        2020-21</c:v>
                  </c:pt>
                  <c:pt idx="21">
                    <c:v>0</c:v>
                  </c:pt>
                  <c:pt idx="22">
                    <c:v>-</c:v>
                  </c:pt>
                  <c:pt idx="23">
                    <c:v>-</c:v>
                  </c:pt>
                  <c:pt idx="24">
                    <c:v>0</c:v>
                  </c:pt>
                  <c:pt idx="25">
                    <c:v>2.5</c:v>
                  </c:pt>
                  <c:pt idx="26">
                    <c:v>250</c:v>
                  </c:pt>
                  <c:pt idx="27">
                    <c:v>8500</c:v>
                  </c:pt>
                  <c:pt idx="28">
                    <c:v>Actual upto May'19</c:v>
                  </c:pt>
                  <c:pt idx="29">
                    <c:v>571</c:v>
                  </c:pt>
                  <c:pt idx="30">
                    <c:v>1502.3</c:v>
                  </c:pt>
                  <c:pt idx="31">
                    <c:v>27.92</c:v>
                  </c:pt>
                  <c:pt idx="34">
                    <c:v>Target 2020-21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4">
                    <c:v>Actual upto May'20</c:v>
                  </c:pt>
                  <c:pt idx="45">
                    <c:v>321</c:v>
                  </c:pt>
                  <c:pt idx="46">
                    <c:v>1143</c:v>
                  </c:pt>
                  <c:pt idx="47">
                    <c:v>383</c:v>
                  </c:pt>
                  <c:pt idx="48">
                    <c:v>659</c:v>
                  </c:pt>
                  <c:pt idx="49">
                    <c:v>977</c:v>
                  </c:pt>
                  <c:pt idx="50">
                    <c:v>431</c:v>
                  </c:pt>
                  <c:pt idx="51">
                    <c:v>668</c:v>
                  </c:pt>
                  <c:pt idx="52">
                    <c:v>APR</c:v>
                  </c:pt>
                  <c:pt idx="53">
                    <c:v>409.22</c:v>
                  </c:pt>
                  <c:pt idx="54">
                    <c:v>-56.66</c:v>
                  </c:pt>
                  <c:pt idx="55">
                    <c:v>652.63</c:v>
                  </c:pt>
                  <c:pt idx="56">
                    <c:v>281.32</c:v>
                  </c:pt>
                </c:lvl>
                <c:lvl>
                  <c:pt idx="2">
                    <c:v>Actual      2019-20</c:v>
                  </c:pt>
                  <c:pt idx="3">
                    <c:v>2156.14</c:v>
                  </c:pt>
                  <c:pt idx="4">
                    <c:v>174.05</c:v>
                  </c:pt>
                  <c:pt idx="5">
                    <c:v>1356.96</c:v>
                  </c:pt>
                  <c:pt idx="6">
                    <c:v>213.82</c:v>
                  </c:pt>
                  <c:pt idx="7">
                    <c:v>3900.97</c:v>
                  </c:pt>
                  <c:pt idx="11">
                    <c:v>Actual upto May'19</c:v>
                  </c:pt>
                  <c:pt idx="12">
                    <c:v>378.95</c:v>
                  </c:pt>
                  <c:pt idx="13">
                    <c:v>26.28</c:v>
                  </c:pt>
                  <c:pt idx="14">
                    <c:v>226.86</c:v>
                  </c:pt>
                  <c:pt idx="15">
                    <c:v>35.69</c:v>
                  </c:pt>
                  <c:pt idx="16">
                    <c:v>667.78</c:v>
                  </c:pt>
                  <c:pt idx="20">
                    <c:v>Actual         2019-20</c:v>
                  </c:pt>
                  <c:pt idx="21">
                    <c:v>157.21</c:v>
                  </c:pt>
                  <c:pt idx="22">
                    <c:v>23.41</c:v>
                  </c:pt>
                  <c:pt idx="23">
                    <c:v>14.75</c:v>
                  </c:pt>
                  <c:pt idx="24">
                    <c:v>14.75</c:v>
                  </c:pt>
                  <c:pt idx="25">
                    <c:v>1.94</c:v>
                  </c:pt>
                  <c:pt idx="26">
                    <c:v>254</c:v>
                  </c:pt>
                  <c:pt idx="27">
                    <c:v>9003</c:v>
                  </c:pt>
                  <c:pt idx="28">
                    <c:v>Actual        2019-20</c:v>
                  </c:pt>
                  <c:pt idx="29">
                    <c:v>617</c:v>
                  </c:pt>
                  <c:pt idx="30">
                    <c:v>9093.38</c:v>
                  </c:pt>
                  <c:pt idx="31">
                    <c:v>157.21</c:v>
                  </c:pt>
                  <c:pt idx="33">
                    <c:v>Loading (MT)</c:v>
                  </c:pt>
                  <c:pt idx="34">
                    <c:v>Actual 2019-20</c:v>
                  </c:pt>
                  <c:pt idx="35">
                    <c:v>2.61</c:v>
                  </c:pt>
                  <c:pt idx="36">
                    <c:v>0.98</c:v>
                  </c:pt>
                  <c:pt idx="37">
                    <c:v>0.71</c:v>
                  </c:pt>
                  <c:pt idx="38">
                    <c:v>6.07</c:v>
                  </c:pt>
                  <c:pt idx="39">
                    <c:v>2.21</c:v>
                  </c:pt>
                  <c:pt idx="40">
                    <c:v>2.17</c:v>
                  </c:pt>
                  <c:pt idx="41">
                    <c:v>14.75</c:v>
                  </c:pt>
                  <c:pt idx="43">
                    <c:v>Avg Lead</c:v>
                  </c:pt>
                  <c:pt idx="44">
                    <c:v>Actual upto May'19</c:v>
                  </c:pt>
                  <c:pt idx="45">
                    <c:v>322</c:v>
                  </c:pt>
                  <c:pt idx="46">
                    <c:v>1474</c:v>
                  </c:pt>
                  <c:pt idx="47">
                    <c:v>410</c:v>
                  </c:pt>
                  <c:pt idx="48">
                    <c:v>496</c:v>
                  </c:pt>
                  <c:pt idx="49">
                    <c:v>1001</c:v>
                  </c:pt>
                  <c:pt idx="50">
                    <c:v>400</c:v>
                  </c:pt>
                  <c:pt idx="51">
                    <c:v>571</c:v>
                  </c:pt>
                  <c:pt idx="53">
                    <c:v>2019-20</c:v>
                  </c:pt>
                  <c:pt idx="54">
                    <c:v>2020-21</c:v>
                  </c:pt>
                  <c:pt idx="55">
                    <c:v>2019-20</c:v>
                  </c:pt>
                  <c:pt idx="56">
                    <c:v>2020-21</c:v>
                  </c:pt>
                </c:lvl>
                <c:lvl>
                  <c:pt idx="1">
                    <c:v>Originating Earnings (Rs. In crore)</c:v>
                  </c:pt>
                  <c:pt idx="2">
                    <c:v>Segment</c:v>
                  </c:pt>
                  <c:pt idx="3">
                    <c:v>Passenger</c:v>
                  </c:pt>
                  <c:pt idx="4">
                    <c:v>Other Coaching</c:v>
                  </c:pt>
                  <c:pt idx="5">
                    <c:v>Goods</c:v>
                  </c:pt>
                  <c:pt idx="6">
                    <c:v>Sundries</c:v>
                  </c:pt>
                  <c:pt idx="7">
                    <c:v>Gr. Earnings</c:v>
                  </c:pt>
                  <c:pt idx="10">
                    <c:v>Originating Earnings (Rs. In crore)</c:v>
                  </c:pt>
                  <c:pt idx="11">
                    <c:v>Segment</c:v>
                  </c:pt>
                  <c:pt idx="12">
                    <c:v>Passenger</c:v>
                  </c:pt>
                  <c:pt idx="13">
                    <c:v>Other Coaching</c:v>
                  </c:pt>
                  <c:pt idx="14">
                    <c:v>Goods</c:v>
                  </c:pt>
                  <c:pt idx="15">
                    <c:v>Sundries</c:v>
                  </c:pt>
                  <c:pt idx="16">
                    <c:v>Gr. Earnings</c:v>
                  </c:pt>
                  <c:pt idx="19">
                    <c:v>Indices for Originating Earnings </c:v>
                  </c:pt>
                  <c:pt idx="21">
                    <c:v>No. of orig. passng (Million)</c:v>
                  </c:pt>
                  <c:pt idx="22">
                    <c:v>PRS pass</c:v>
                  </c:pt>
                  <c:pt idx="23">
                    <c:v>Non PRS pass</c:v>
                  </c:pt>
                  <c:pt idx="24">
                    <c:v>Orig Loading (MT)</c:v>
                  </c:pt>
                  <c:pt idx="25">
                    <c:v>Wagon Turn round       (days)</c:v>
                  </c:pt>
                  <c:pt idx="26">
                    <c:v>Wagon km / day</c:v>
                  </c:pt>
                  <c:pt idx="27">
                    <c:v>NTKM/wagon day</c:v>
                  </c:pt>
                  <c:pt idx="29">
                    <c:v>Orig. Frt.Lead (km)</c:v>
                  </c:pt>
                  <c:pt idx="30">
                    <c:v>Orig. NTKM</c:v>
                  </c:pt>
                  <c:pt idx="31">
                    <c:v>Avg. Frt. Rate </c:v>
                  </c:pt>
                  <c:pt idx="33">
                    <c:v>Commodity-wise </c:v>
                  </c:pt>
                  <c:pt idx="34">
                    <c:v>Commodity</c:v>
                  </c:pt>
                  <c:pt idx="35">
                    <c:v>Cement</c:v>
                  </c:pt>
                  <c:pt idx="36">
                    <c:v>F. Grains</c:v>
                  </c:pt>
                  <c:pt idx="37">
                    <c:v>Fertilisers</c:v>
                  </c:pt>
                  <c:pt idx="38">
                    <c:v>P.O.L.</c:v>
                  </c:pt>
                  <c:pt idx="39">
                    <c:v>Container</c:v>
                  </c:pt>
                  <c:pt idx="40">
                    <c:v>Others</c:v>
                  </c:pt>
                  <c:pt idx="41">
                    <c:v>Total Loading</c:v>
                  </c:pt>
                  <c:pt idx="44">
                    <c:v>Commodity</c:v>
                  </c:pt>
                  <c:pt idx="45">
                    <c:v>Cement</c:v>
                  </c:pt>
                  <c:pt idx="46">
                    <c:v>F. Grains</c:v>
                  </c:pt>
                  <c:pt idx="47">
                    <c:v>Fertilisers</c:v>
                  </c:pt>
                  <c:pt idx="48">
                    <c:v>P.O.L.</c:v>
                  </c:pt>
                  <c:pt idx="49">
                    <c:v>Container</c:v>
                  </c:pt>
                  <c:pt idx="50">
                    <c:v>Others</c:v>
                  </c:pt>
                  <c:pt idx="51">
                    <c:v>Total </c:v>
                  </c:pt>
                  <c:pt idx="53">
                    <c:v>Passenger Earning  </c:v>
                  </c:pt>
                  <c:pt idx="55">
                    <c:v>Goods Earning</c:v>
                  </c:pt>
                </c:lvl>
              </c:multiLvlStrCache>
            </c:multiLvlStrRef>
          </c:cat>
          <c:val>
            <c:numRef>
              <c:f>'[2]May-20 earning'!$AC$3:$AC$59</c:f>
              <c:numCache>
                <c:formatCode>General</c:formatCode>
                <c:ptCount val="57"/>
                <c:pt idx="52">
                  <c:v>0</c:v>
                </c:pt>
                <c:pt idx="53">
                  <c:v>17.350000000000001</c:v>
                </c:pt>
                <c:pt idx="54">
                  <c:v>0</c:v>
                </c:pt>
                <c:pt idx="55">
                  <c:v>15.88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D2-4718-BD76-0EB2FCF8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64225964550246"/>
          <c:y val="0.13869036981277921"/>
          <c:w val="0.59624828132769259"/>
          <c:h val="0.7867796715063255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'[2]May-20 earning'!$B$48:$B$53</c:f>
              <c:strCache>
                <c:ptCount val="6"/>
                <c:pt idx="0">
                  <c:v>Cement</c:v>
                </c:pt>
                <c:pt idx="1">
                  <c:v>F. Grains</c:v>
                </c:pt>
                <c:pt idx="2">
                  <c:v>Fertilisers</c:v>
                </c:pt>
                <c:pt idx="3">
                  <c:v>P.O.L.</c:v>
                </c:pt>
                <c:pt idx="4">
                  <c:v>Container</c:v>
                </c:pt>
                <c:pt idx="5">
                  <c:v>Others</c:v>
                </c:pt>
              </c:strCache>
            </c:strRef>
          </c:cat>
          <c:val>
            <c:numRef>
              <c:f>'[2]May-20 earning'!$J$48:$J$53</c:f>
              <c:numCache>
                <c:formatCode>General</c:formatCode>
                <c:ptCount val="6"/>
                <c:pt idx="0">
                  <c:v>10.18</c:v>
                </c:pt>
                <c:pt idx="1">
                  <c:v>24.83</c:v>
                </c:pt>
                <c:pt idx="2">
                  <c:v>4.9400000000000004</c:v>
                </c:pt>
                <c:pt idx="3">
                  <c:v>123.75</c:v>
                </c:pt>
                <c:pt idx="4">
                  <c:v>24.13</c:v>
                </c:pt>
                <c:pt idx="5">
                  <c:v>12.92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20F-A319-059304F8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/>
            </a:pPr>
            <a:r>
              <a:rPr lang="en-US" sz="1400"/>
              <a:t>Com.-wise Goods Orig earn to end </a:t>
            </a:r>
          </a:p>
        </c:rich>
      </c:tx>
      <c:layout>
        <c:manualLayout>
          <c:xMode val="edge"/>
          <c:yMode val="edge"/>
          <c:x val="0.1157852513281878"/>
          <c:y val="6.67080557238037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924804082163003"/>
          <c:y val="0.21675125007185544"/>
          <c:w val="0.62089232150905993"/>
          <c:h val="0.63297775734243789"/>
        </c:manualLayout>
      </c:layout>
      <c:pie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landscape" horizontalDpi="-3" verticalDpi="-3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8374329299009"/>
          <c:y val="0.20484655234959176"/>
          <c:w val="0.53784733158360065"/>
          <c:h val="0.89797103312185522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'[2]May-20 earning'!$R$67:$R$72</c:f>
              <c:strCache>
                <c:ptCount val="1"/>
                <c:pt idx="0">
                  <c:v>Cement F. Grains Fertilisers P.O.L. Container Others</c:v>
                </c:pt>
              </c:strCache>
            </c:strRef>
          </c:tx>
          <c:val>
            <c:numRef>
              <c:f>'[2]May-20 earning'!$R$73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3-4260-B2E0-1FADB6850D8B}"/>
            </c:ext>
          </c:extLst>
        </c:ser>
        <c:ser>
          <c:idx val="1"/>
          <c:order val="1"/>
          <c:tx>
            <c:strRef>
              <c:f>'[2]May-20 earning'!$T$67:$T$72</c:f>
              <c:strCache>
                <c:ptCount val="1"/>
                <c:pt idx="0">
                  <c:v>69.68 125.66 33.22 71.64 23.34 91.27</c:v>
                </c:pt>
              </c:strCache>
            </c:strRef>
          </c:tx>
          <c:val>
            <c:numRef>
              <c:f>'[2]May-20 earning'!$T$73</c:f>
              <c:numCache>
                <c:formatCode>General</c:formatCode>
                <c:ptCount val="1"/>
                <c:pt idx="0">
                  <c:v>239.02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3-4260-B2E0-1FADB685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'VITAL (Ear.+Exp.) Dec-21'!$A$18</c:f>
              <c:strCache>
                <c:ptCount val="1"/>
                <c:pt idx="0">
                  <c:v>ORG. LEAD</c:v>
                </c:pt>
              </c:strCache>
            </c:strRef>
          </c:tx>
          <c:invertIfNegative val="0"/>
          <c:cat>
            <c:strRef>
              <c:f>'VITAL (Ear.+Exp.) Dec-21'!$B$17:$D$17</c:f>
              <c:strCache>
                <c:ptCount val="3"/>
                <c:pt idx="0">
                  <c:v>Actual Up 12/20</c:v>
                </c:pt>
                <c:pt idx="1">
                  <c:v>Target upto 12/21</c:v>
                </c:pt>
                <c:pt idx="2">
                  <c:v>Actual Up to 12/21</c:v>
                </c:pt>
              </c:strCache>
            </c:strRef>
          </c:cat>
          <c:val>
            <c:numRef>
              <c:f>'VITAL (Ear.+Exp.) Dec-21'!$B$18:$D$18</c:f>
              <c:numCache>
                <c:formatCode>0.00</c:formatCode>
                <c:ptCount val="3"/>
                <c:pt idx="0">
                  <c:v>659</c:v>
                </c:pt>
                <c:pt idx="1">
                  <c:v>0</c:v>
                </c:pt>
                <c:pt idx="2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2CA-B3A6-E253A77EC754}"/>
            </c:ext>
          </c:extLst>
        </c:ser>
        <c:ser>
          <c:idx val="1"/>
          <c:order val="1"/>
          <c:tx>
            <c:strRef>
              <c:f>'VITAL (Ear.+Exp.) Dec-21'!$A$19</c:f>
              <c:strCache>
                <c:ptCount val="1"/>
                <c:pt idx="0">
                  <c:v>ORG. NTKM</c:v>
                </c:pt>
              </c:strCache>
            </c:strRef>
          </c:tx>
          <c:invertIfNegative val="0"/>
          <c:cat>
            <c:strRef>
              <c:f>'VITAL (Ear.+Exp.) Dec-21'!$B$17:$D$17</c:f>
              <c:strCache>
                <c:ptCount val="3"/>
                <c:pt idx="0">
                  <c:v>Actual Up 12/20</c:v>
                </c:pt>
                <c:pt idx="1">
                  <c:v>Target upto 12/21</c:v>
                </c:pt>
                <c:pt idx="2">
                  <c:v>Actual Up to 12/21</c:v>
                </c:pt>
              </c:strCache>
            </c:strRef>
          </c:cat>
          <c:val>
            <c:numRef>
              <c:f>'VITAL (Ear.+Exp.) Dec-21'!$B$19:$D$19</c:f>
              <c:numCache>
                <c:formatCode>0.00</c:formatCode>
                <c:ptCount val="3"/>
                <c:pt idx="0">
                  <c:v>7789.74</c:v>
                </c:pt>
                <c:pt idx="1">
                  <c:v>0</c:v>
                </c:pt>
                <c:pt idx="2">
                  <c:v>8966.42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5-42CA-B3A6-E253A77EC754}"/>
            </c:ext>
          </c:extLst>
        </c:ser>
        <c:ser>
          <c:idx val="2"/>
          <c:order val="2"/>
          <c:tx>
            <c:strRef>
              <c:f>'VITAL (Ear.+Exp.) Dec-21'!$A$20</c:f>
              <c:strCache>
                <c:ptCount val="1"/>
                <c:pt idx="0">
                  <c:v>ORG.PASS</c:v>
                </c:pt>
              </c:strCache>
            </c:strRef>
          </c:tx>
          <c:invertIfNegative val="0"/>
          <c:cat>
            <c:strRef>
              <c:f>'VITAL (Ear.+Exp.) Dec-21'!$B$17:$D$17</c:f>
              <c:strCache>
                <c:ptCount val="3"/>
                <c:pt idx="0">
                  <c:v>Actual Up 12/20</c:v>
                </c:pt>
                <c:pt idx="1">
                  <c:v>Target upto 12/21</c:v>
                </c:pt>
                <c:pt idx="2">
                  <c:v>Actual Up to 12/21</c:v>
                </c:pt>
              </c:strCache>
            </c:strRef>
          </c:cat>
          <c:val>
            <c:numRef>
              <c:f>'VITAL (Ear.+Exp.) Dec-21'!$B$20:$D$20</c:f>
              <c:numCache>
                <c:formatCode>0.00</c:formatCode>
                <c:ptCount val="3"/>
                <c:pt idx="0">
                  <c:v>8.3000000000000007</c:v>
                </c:pt>
                <c:pt idx="1">
                  <c:v>0</c:v>
                </c:pt>
                <c:pt idx="2">
                  <c:v>40.44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5-42CA-B3A6-E253A77E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81120"/>
        <c:axId val="133391104"/>
      </c:barChart>
      <c:catAx>
        <c:axId val="13338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1104"/>
        <c:crosses val="autoZero"/>
        <c:auto val="1"/>
        <c:lblAlgn val="ctr"/>
        <c:lblOffset val="100"/>
        <c:noMultiLvlLbl val="0"/>
      </c:catAx>
      <c:valAx>
        <c:axId val="133391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3811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6.5735935182015384E-2"/>
          <c:y val="5.5555555555555455E-2"/>
          <c:w val="0.89171653543307083"/>
          <c:h val="0.167434383202113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41921508721763"/>
          <c:y val="0.25337698626914856"/>
          <c:w val="0.48032705060252417"/>
          <c:h val="0.696053074889249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28471883944144"/>
          <c:y val="0.31058337707790939"/>
          <c:w val="0.34403902224547955"/>
          <c:h val="0.6834906969962087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'MOD-II (EARNING) Dec-21'!$B$15:$B$18</c:f>
              <c:strCache>
                <c:ptCount val="4"/>
                <c:pt idx="0">
                  <c:v>Passenger</c:v>
                </c:pt>
                <c:pt idx="1">
                  <c:v>Other Coaching</c:v>
                </c:pt>
                <c:pt idx="2">
                  <c:v>Goods</c:v>
                </c:pt>
                <c:pt idx="3">
                  <c:v>Sundries</c:v>
                </c:pt>
              </c:strCache>
            </c:strRef>
          </c:cat>
          <c:val>
            <c:numRef>
              <c:f>'MOD-II (EARNING) Dec-21'!$E$15:$E$18</c:f>
              <c:numCache>
                <c:formatCode>0.00</c:formatCode>
                <c:ptCount val="4"/>
                <c:pt idx="0">
                  <c:v>1290.99</c:v>
                </c:pt>
                <c:pt idx="1">
                  <c:v>111.59</c:v>
                </c:pt>
                <c:pt idx="2">
                  <c:v>1455.79</c:v>
                </c:pt>
                <c:pt idx="3">
                  <c:v>118.11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9-49E5-BB5F-15B43E4F7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75269331187796"/>
          <c:y val="0.26947516962913781"/>
          <c:w val="0.38664189880090138"/>
          <c:h val="0.61692165235522156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'MOD-II (EARNING) Dec-21'!$R$15:$R$18</c:f>
              <c:strCache>
                <c:ptCount val="4"/>
                <c:pt idx="0">
                  <c:v>Passenger</c:v>
                </c:pt>
                <c:pt idx="1">
                  <c:v>Other Coaching</c:v>
                </c:pt>
                <c:pt idx="2">
                  <c:v>Goods</c:v>
                </c:pt>
                <c:pt idx="3">
                  <c:v>Sundries</c:v>
                </c:pt>
              </c:strCache>
            </c:strRef>
          </c:cat>
          <c:val>
            <c:numRef>
              <c:f>'MOD-II (EARNING) Dec-21'!$U$15:$U$18</c:f>
              <c:numCache>
                <c:formatCode>0.00</c:formatCode>
                <c:ptCount val="4"/>
                <c:pt idx="0">
                  <c:v>2893.76</c:v>
                </c:pt>
                <c:pt idx="1">
                  <c:v>124.18</c:v>
                </c:pt>
                <c:pt idx="2">
                  <c:v>7454.69</c:v>
                </c:pt>
                <c:pt idx="3">
                  <c:v>118.11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3-4FBF-AB5A-CD15B2BA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42529406047946"/>
          <c:y val="0.26822157434402338"/>
          <c:w val="0.53472222222222221"/>
          <c:h val="0.67346938775510201"/>
        </c:manualLayout>
      </c:layout>
      <c:pieChart>
        <c:varyColors val="1"/>
        <c:ser>
          <c:idx val="0"/>
          <c:order val="0"/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0-A138-494A-A869-BCD149A8FA3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'MOD-II (EARNING) Dec-21'!$B$48:$B$53</c:f>
              <c:strCache>
                <c:ptCount val="6"/>
                <c:pt idx="0">
                  <c:v>Cement</c:v>
                </c:pt>
                <c:pt idx="1">
                  <c:v>F. Grains</c:v>
                </c:pt>
                <c:pt idx="2">
                  <c:v>Fertilisers</c:v>
                </c:pt>
                <c:pt idx="3">
                  <c:v>P.O.L.</c:v>
                </c:pt>
                <c:pt idx="4">
                  <c:v>Container</c:v>
                </c:pt>
                <c:pt idx="5">
                  <c:v>Others</c:v>
                </c:pt>
              </c:strCache>
            </c:strRef>
          </c:cat>
          <c:val>
            <c:numRef>
              <c:f>'MOD-II (EARNING) Dec-21'!$J$48:$J$53</c:f>
              <c:numCache>
                <c:formatCode>0.00</c:formatCode>
                <c:ptCount val="6"/>
                <c:pt idx="0">
                  <c:v>113.36</c:v>
                </c:pt>
                <c:pt idx="1">
                  <c:v>217.22</c:v>
                </c:pt>
                <c:pt idx="2">
                  <c:v>25.45</c:v>
                </c:pt>
                <c:pt idx="3">
                  <c:v>671.94</c:v>
                </c:pt>
                <c:pt idx="4">
                  <c:v>247.35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2-40F2-B8FA-F8BF41A1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04791822987901"/>
          <c:y val="0.17295105758838974"/>
          <c:w val="0.65595813023486982"/>
          <c:h val="0.78743121815655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'MOD-II (EARNING) Dec-21'!$C$56</c:f>
              <c:strCache>
                <c:ptCount val="1"/>
                <c:pt idx="0">
                  <c:v>2020-21</c:v>
                </c:pt>
              </c:strCache>
            </c:strRef>
          </c:tx>
          <c:invertIfNegative val="0"/>
          <c:cat>
            <c:strRef>
              <c:f>'MOD-II (EARNING) Dec-21'!$D$55:$O$55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'MOD-II (EARNING) Dec-21'!$D$56:$O$56</c:f>
              <c:numCache>
                <c:formatCode>0.00</c:formatCode>
                <c:ptCount val="12"/>
                <c:pt idx="0">
                  <c:v>-56.66</c:v>
                </c:pt>
                <c:pt idx="1">
                  <c:v>17.54</c:v>
                </c:pt>
                <c:pt idx="2">
                  <c:v>43.1</c:v>
                </c:pt>
                <c:pt idx="3">
                  <c:v>90.1</c:v>
                </c:pt>
                <c:pt idx="4">
                  <c:v>146.68</c:v>
                </c:pt>
                <c:pt idx="5">
                  <c:v>178.05</c:v>
                </c:pt>
                <c:pt idx="6">
                  <c:v>222.97</c:v>
                </c:pt>
                <c:pt idx="7">
                  <c:v>204.7</c:v>
                </c:pt>
                <c:pt idx="8">
                  <c:v>265.24</c:v>
                </c:pt>
                <c:pt idx="9">
                  <c:v>313.41000000000003</c:v>
                </c:pt>
                <c:pt idx="10">
                  <c:v>331.91</c:v>
                </c:pt>
                <c:pt idx="11">
                  <c:v>313.83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3-4D5F-AEF8-247BBF391A06}"/>
            </c:ext>
          </c:extLst>
        </c:ser>
        <c:ser>
          <c:idx val="1"/>
          <c:order val="1"/>
          <c:tx>
            <c:strRef>
              <c:f>'MOD-II (EARNING) Dec-21'!$C$57</c:f>
              <c:strCache>
                <c:ptCount val="1"/>
                <c:pt idx="0">
                  <c:v>2021-22</c:v>
                </c:pt>
              </c:strCache>
            </c:strRef>
          </c:tx>
          <c:invertIfNegative val="0"/>
          <c:cat>
            <c:strRef>
              <c:f>'MOD-II (EARNING) Dec-21'!$D$55:$O$55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'MOD-II (EARNING) Dec-21'!$D$57:$O$57</c:f>
              <c:numCache>
                <c:formatCode>0.00</c:formatCode>
                <c:ptCount val="12"/>
                <c:pt idx="0">
                  <c:v>147.99</c:v>
                </c:pt>
                <c:pt idx="1">
                  <c:v>106.03</c:v>
                </c:pt>
                <c:pt idx="2">
                  <c:v>303.19</c:v>
                </c:pt>
                <c:pt idx="3">
                  <c:v>360.41</c:v>
                </c:pt>
                <c:pt idx="4">
                  <c:v>384.82</c:v>
                </c:pt>
                <c:pt idx="5">
                  <c:v>402.09</c:v>
                </c:pt>
                <c:pt idx="6">
                  <c:v>417.12</c:v>
                </c:pt>
                <c:pt idx="7">
                  <c:v>398.03</c:v>
                </c:pt>
                <c:pt idx="8">
                  <c:v>374.08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3-4D5F-AEF8-247BBF39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70368"/>
        <c:axId val="134984448"/>
      </c:barChart>
      <c:catAx>
        <c:axId val="13497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984448"/>
        <c:crosses val="autoZero"/>
        <c:auto val="1"/>
        <c:lblAlgn val="ctr"/>
        <c:lblOffset val="100"/>
        <c:noMultiLvlLbl val="0"/>
      </c:catAx>
      <c:valAx>
        <c:axId val="134984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4970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31079486624864"/>
          <c:y val="0.14527169807776691"/>
          <c:w val="0.63763846950324365"/>
          <c:h val="0.74801195710364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'MOD-II (EARNING) Dec-21'!$C$58</c:f>
              <c:strCache>
                <c:ptCount val="1"/>
                <c:pt idx="0">
                  <c:v>2020-21</c:v>
                </c:pt>
              </c:strCache>
            </c:strRef>
          </c:tx>
          <c:invertIfNegative val="0"/>
          <c:cat>
            <c:strRef>
              <c:f>'MOD-II (EARNING) Dec-21'!$D$55:$O$55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'MOD-II (EARNING) Dec-21'!$D$58:$O$58</c:f>
              <c:numCache>
                <c:formatCode>0.00</c:formatCode>
                <c:ptCount val="12"/>
                <c:pt idx="0">
                  <c:v>281.32</c:v>
                </c:pt>
                <c:pt idx="1">
                  <c:v>371.34</c:v>
                </c:pt>
                <c:pt idx="2">
                  <c:v>533.41999999999996</c:v>
                </c:pt>
                <c:pt idx="3">
                  <c:v>518.67999999999995</c:v>
                </c:pt>
                <c:pt idx="4">
                  <c:v>598.32000000000005</c:v>
                </c:pt>
                <c:pt idx="5">
                  <c:v>762.78</c:v>
                </c:pt>
                <c:pt idx="6">
                  <c:v>708.36</c:v>
                </c:pt>
                <c:pt idx="7">
                  <c:v>657.94</c:v>
                </c:pt>
                <c:pt idx="8">
                  <c:v>736.16</c:v>
                </c:pt>
                <c:pt idx="9">
                  <c:v>802.16</c:v>
                </c:pt>
                <c:pt idx="10">
                  <c:v>735.93</c:v>
                </c:pt>
                <c:pt idx="11">
                  <c:v>868.26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C-42CB-830F-81E48902A44C}"/>
            </c:ext>
          </c:extLst>
        </c:ser>
        <c:ser>
          <c:idx val="1"/>
          <c:order val="1"/>
          <c:tx>
            <c:strRef>
              <c:f>'MOD-II (EARNING) Dec-21'!$C$59</c:f>
              <c:strCache>
                <c:ptCount val="1"/>
                <c:pt idx="0">
                  <c:v>2021-22</c:v>
                </c:pt>
              </c:strCache>
            </c:strRef>
          </c:tx>
          <c:invertIfNegative val="0"/>
          <c:cat>
            <c:strRef>
              <c:f>'MOD-II (EARNING) Dec-21'!$D$55:$O$55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'MOD-II (EARNING) Dec-21'!$D$59:$O$59</c:f>
              <c:numCache>
                <c:formatCode>0.00</c:formatCode>
                <c:ptCount val="12"/>
                <c:pt idx="0">
                  <c:v>759.14</c:v>
                </c:pt>
                <c:pt idx="1">
                  <c:v>840.33</c:v>
                </c:pt>
                <c:pt idx="2">
                  <c:v>730.84</c:v>
                </c:pt>
                <c:pt idx="3">
                  <c:v>805.66</c:v>
                </c:pt>
                <c:pt idx="4">
                  <c:v>785.23</c:v>
                </c:pt>
                <c:pt idx="5">
                  <c:v>827.39</c:v>
                </c:pt>
                <c:pt idx="6">
                  <c:v>973.89</c:v>
                </c:pt>
                <c:pt idx="7">
                  <c:v>851.79</c:v>
                </c:pt>
                <c:pt idx="8">
                  <c:v>880.42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C-42CB-830F-81E48902A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29120"/>
        <c:axId val="135030656"/>
      </c:barChart>
      <c:catAx>
        <c:axId val="1350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030656"/>
        <c:crosses val="autoZero"/>
        <c:auto val="1"/>
        <c:lblAlgn val="ctr"/>
        <c:lblOffset val="100"/>
        <c:noMultiLvlLbl val="0"/>
      </c:catAx>
      <c:valAx>
        <c:axId val="135030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0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48855121255575"/>
          <c:y val="0.25613178615830873"/>
          <c:w val="0.5484047220374445"/>
          <c:h val="0.5368595109821806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'MOD-II (EARNING) Dec-21'!$S$67:$S$73</c:f>
              <c:strCache>
                <c:ptCount val="7"/>
                <c:pt idx="0">
                  <c:v>Cement</c:v>
                </c:pt>
                <c:pt idx="1">
                  <c:v>F. Grains</c:v>
                </c:pt>
                <c:pt idx="2">
                  <c:v>Fertilisers</c:v>
                </c:pt>
                <c:pt idx="3">
                  <c:v>P.O.L.</c:v>
                </c:pt>
                <c:pt idx="4">
                  <c:v>Container</c:v>
                </c:pt>
                <c:pt idx="5">
                  <c:v>Others</c:v>
                </c:pt>
                <c:pt idx="6">
                  <c:v>Coal</c:v>
                </c:pt>
              </c:strCache>
            </c:strRef>
          </c:cat>
          <c:val>
            <c:numRef>
              <c:f>'MOD-II (EARNING) Dec-21'!$U$67:$U$73</c:f>
              <c:numCache>
                <c:formatCode>0.00</c:formatCode>
                <c:ptCount val="7"/>
                <c:pt idx="0">
                  <c:v>506.9</c:v>
                </c:pt>
                <c:pt idx="1">
                  <c:v>439.82</c:v>
                </c:pt>
                <c:pt idx="2">
                  <c:v>156.30000000000001</c:v>
                </c:pt>
                <c:pt idx="3">
                  <c:v>389.54</c:v>
                </c:pt>
                <c:pt idx="4">
                  <c:v>345.53</c:v>
                </c:pt>
                <c:pt idx="5" formatCode="General">
                  <c:v>944.35</c:v>
                </c:pt>
                <c:pt idx="6" formatCode="General">
                  <c:v>2925.19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5-4C10-AEA0-6B1C7B07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'VITAL (Ear.+Exp.) Dec-21'!$O$18:$O$19</c:f>
              <c:strCache>
                <c:ptCount val="2"/>
                <c:pt idx="0">
                  <c:v>Actual to end</c:v>
                </c:pt>
                <c:pt idx="1">
                  <c:v>Dec-20</c:v>
                </c:pt>
              </c:strCache>
            </c:strRef>
          </c:tx>
          <c:invertIfNegative val="0"/>
          <c:cat>
            <c:strRef>
              <c:f>'VITAL (Ear.+Exp.) Dec-21'!$N$20:$N$24</c:f>
              <c:strCache>
                <c:ptCount val="5"/>
                <c:pt idx="0">
                  <c:v>1</c:v>
                </c:pt>
                <c:pt idx="1">
                  <c:v>Passenger</c:v>
                </c:pt>
                <c:pt idx="2">
                  <c:v>Other Coaching</c:v>
                </c:pt>
                <c:pt idx="3">
                  <c:v>Goods</c:v>
                </c:pt>
                <c:pt idx="4">
                  <c:v>Sundries</c:v>
                </c:pt>
              </c:strCache>
            </c:strRef>
          </c:cat>
          <c:val>
            <c:numRef>
              <c:f>'VITAL (Ear.+Exp.) Dec-21'!$O$20:$O$24</c:f>
              <c:numCache>
                <c:formatCode>0.00</c:formatCode>
                <c:ptCount val="5"/>
                <c:pt idx="0" formatCode="General">
                  <c:v>2</c:v>
                </c:pt>
                <c:pt idx="1">
                  <c:v>1111.73</c:v>
                </c:pt>
                <c:pt idx="2">
                  <c:v>52.31</c:v>
                </c:pt>
                <c:pt idx="3">
                  <c:v>5168.32</c:v>
                </c:pt>
                <c:pt idx="4">
                  <c:v>111.79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4-4F65-AD58-08BE44E86CB7}"/>
            </c:ext>
          </c:extLst>
        </c:ser>
        <c:ser>
          <c:idx val="1"/>
          <c:order val="1"/>
          <c:tx>
            <c:strRef>
              <c:f>'VITAL (Ear.+Exp.) Dec-21'!$P$18:$P$19</c:f>
              <c:strCache>
                <c:ptCount val="2"/>
                <c:pt idx="0">
                  <c:v>RG  2021-22</c:v>
                </c:pt>
              </c:strCache>
            </c:strRef>
          </c:tx>
          <c:invertIfNegative val="0"/>
          <c:cat>
            <c:strRef>
              <c:f>'VITAL (Ear.+Exp.) Dec-21'!$N$20:$N$24</c:f>
              <c:strCache>
                <c:ptCount val="5"/>
                <c:pt idx="0">
                  <c:v>1</c:v>
                </c:pt>
                <c:pt idx="1">
                  <c:v>Passenger</c:v>
                </c:pt>
                <c:pt idx="2">
                  <c:v>Other Coaching</c:v>
                </c:pt>
                <c:pt idx="3">
                  <c:v>Goods</c:v>
                </c:pt>
                <c:pt idx="4">
                  <c:v>Sundries</c:v>
                </c:pt>
              </c:strCache>
            </c:strRef>
          </c:cat>
          <c:val>
            <c:numRef>
              <c:f>'VITAL (Ear.+Exp.) Dec-21'!$P$20:$P$24</c:f>
              <c:numCache>
                <c:formatCode>0.00</c:formatCode>
                <c:ptCount val="5"/>
                <c:pt idx="0" formatCode="General">
                  <c:v>3</c:v>
                </c:pt>
                <c:pt idx="1">
                  <c:v>4584.01</c:v>
                </c:pt>
                <c:pt idx="2">
                  <c:v>169.45</c:v>
                </c:pt>
                <c:pt idx="3">
                  <c:v>10484.08</c:v>
                </c:pt>
                <c:pt idx="4">
                  <c:v>233.08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4-4F65-AD58-08BE44E86CB7}"/>
            </c:ext>
          </c:extLst>
        </c:ser>
        <c:ser>
          <c:idx val="2"/>
          <c:order val="2"/>
          <c:tx>
            <c:strRef>
              <c:f>'VITAL (Ear.+Exp.) Dec-21'!$Q$18:$Q$19</c:f>
              <c:strCache>
                <c:ptCount val="2"/>
                <c:pt idx="0">
                  <c:v> Target to end</c:v>
                </c:pt>
                <c:pt idx="1">
                  <c:v>Dec-21</c:v>
                </c:pt>
              </c:strCache>
            </c:strRef>
          </c:tx>
          <c:invertIfNegative val="0"/>
          <c:cat>
            <c:strRef>
              <c:f>'VITAL (Ear.+Exp.) Dec-21'!$N$20:$N$24</c:f>
              <c:strCache>
                <c:ptCount val="5"/>
                <c:pt idx="0">
                  <c:v>1</c:v>
                </c:pt>
                <c:pt idx="1">
                  <c:v>Passenger</c:v>
                </c:pt>
                <c:pt idx="2">
                  <c:v>Other Coaching</c:v>
                </c:pt>
                <c:pt idx="3">
                  <c:v>Goods</c:v>
                </c:pt>
                <c:pt idx="4">
                  <c:v>Sundries</c:v>
                </c:pt>
              </c:strCache>
            </c:strRef>
          </c:cat>
          <c:val>
            <c:numRef>
              <c:f>'VITAL (Ear.+Exp.) Dec-21'!$Q$20:$Q$24</c:f>
              <c:numCache>
                <c:formatCode>0.00</c:formatCode>
                <c:ptCount val="5"/>
                <c:pt idx="0" formatCode="General">
                  <c:v>4</c:v>
                </c:pt>
                <c:pt idx="1">
                  <c:v>4157.62</c:v>
                </c:pt>
                <c:pt idx="2">
                  <c:v>166.86</c:v>
                </c:pt>
                <c:pt idx="3">
                  <c:v>5968.58</c:v>
                </c:pt>
                <c:pt idx="4">
                  <c:v>181.94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4-4F65-AD58-08BE44E86CB7}"/>
            </c:ext>
          </c:extLst>
        </c:ser>
        <c:ser>
          <c:idx val="3"/>
          <c:order val="3"/>
          <c:tx>
            <c:strRef>
              <c:f>'VITAL (Ear.+Exp.) Dec-21'!$R$18:$R$19</c:f>
              <c:strCache>
                <c:ptCount val="2"/>
                <c:pt idx="0">
                  <c:v>Actual to end </c:v>
                </c:pt>
                <c:pt idx="1">
                  <c:v>Dec-21</c:v>
                </c:pt>
              </c:strCache>
            </c:strRef>
          </c:tx>
          <c:invertIfNegative val="0"/>
          <c:cat>
            <c:strRef>
              <c:f>'VITAL (Ear.+Exp.) Dec-21'!$N$20:$N$24</c:f>
              <c:strCache>
                <c:ptCount val="5"/>
                <c:pt idx="0">
                  <c:v>1</c:v>
                </c:pt>
                <c:pt idx="1">
                  <c:v>Passenger</c:v>
                </c:pt>
                <c:pt idx="2">
                  <c:v>Other Coaching</c:v>
                </c:pt>
                <c:pt idx="3">
                  <c:v>Goods</c:v>
                </c:pt>
                <c:pt idx="4">
                  <c:v>Sundries</c:v>
                </c:pt>
              </c:strCache>
            </c:strRef>
          </c:cat>
          <c:val>
            <c:numRef>
              <c:f>'VITAL (Ear.+Exp.) Dec-21'!$R$20:$R$24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2893.76</c:v>
                </c:pt>
                <c:pt idx="2">
                  <c:v>124.18</c:v>
                </c:pt>
                <c:pt idx="3">
                  <c:v>7454.69</c:v>
                </c:pt>
                <c:pt idx="4">
                  <c:v>118.11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4-4F65-AD58-08BE44E8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27200"/>
        <c:axId val="133428736"/>
      </c:barChart>
      <c:catAx>
        <c:axId val="1334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28736"/>
        <c:crosses val="autoZero"/>
        <c:auto val="1"/>
        <c:lblAlgn val="ctr"/>
        <c:lblOffset val="100"/>
        <c:noMultiLvlLbl val="0"/>
      </c:catAx>
      <c:valAx>
        <c:axId val="1334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272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6.5847179469736922E-2"/>
          <c:y val="3.9603960396039611E-2"/>
          <c:w val="0.85390656621486061"/>
          <c:h val="0.228817338426756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1997610888209"/>
          <c:y val="0.16282294517874757"/>
          <c:w val="0.71871613625831265"/>
          <c:h val="0.71934726190483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'MOD-I (EARNING) Dec-21'!$B$47</c:f>
              <c:strCache>
                <c:ptCount val="1"/>
                <c:pt idx="0">
                  <c:v>2020-21</c:v>
                </c:pt>
              </c:strCache>
            </c:strRef>
          </c:tx>
          <c:invertIfNegative val="0"/>
          <c:cat>
            <c:strRef>
              <c:f>'MOD-I (EARNING) Dec-21'!$C$46:$N$46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'MOD-I (EARNING) Dec-21'!$C$47:$N$47</c:f>
              <c:numCache>
                <c:formatCode>0.00</c:formatCode>
                <c:ptCount val="12"/>
                <c:pt idx="0">
                  <c:v>-56.66</c:v>
                </c:pt>
                <c:pt idx="1">
                  <c:v>17.54</c:v>
                </c:pt>
                <c:pt idx="2">
                  <c:v>43.1</c:v>
                </c:pt>
                <c:pt idx="3">
                  <c:v>90.1</c:v>
                </c:pt>
                <c:pt idx="4">
                  <c:v>146.68</c:v>
                </c:pt>
                <c:pt idx="5">
                  <c:v>178.05</c:v>
                </c:pt>
                <c:pt idx="6">
                  <c:v>222.97</c:v>
                </c:pt>
                <c:pt idx="7">
                  <c:v>204.7</c:v>
                </c:pt>
                <c:pt idx="8">
                  <c:v>265.24</c:v>
                </c:pt>
                <c:pt idx="9">
                  <c:v>313.41000000000003</c:v>
                </c:pt>
                <c:pt idx="10">
                  <c:v>331.91</c:v>
                </c:pt>
                <c:pt idx="11">
                  <c:v>313.83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6-444F-8FDE-9FA436516F64}"/>
            </c:ext>
          </c:extLst>
        </c:ser>
        <c:ser>
          <c:idx val="1"/>
          <c:order val="1"/>
          <c:tx>
            <c:strRef>
              <c:f>'MOD-I (EARNING) Dec-21'!$B$48</c:f>
              <c:strCache>
                <c:ptCount val="1"/>
                <c:pt idx="0">
                  <c:v>2021-22</c:v>
                </c:pt>
              </c:strCache>
            </c:strRef>
          </c:tx>
          <c:invertIfNegative val="0"/>
          <c:cat>
            <c:strRef>
              <c:f>'MOD-I (EARNING) Dec-21'!$C$46:$N$46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'MOD-I (EARNING) Dec-21'!$C$48:$N$48</c:f>
              <c:numCache>
                <c:formatCode>0.00</c:formatCode>
                <c:ptCount val="12"/>
                <c:pt idx="0">
                  <c:v>147.99</c:v>
                </c:pt>
                <c:pt idx="1">
                  <c:v>106.03</c:v>
                </c:pt>
                <c:pt idx="2">
                  <c:v>303.19</c:v>
                </c:pt>
                <c:pt idx="3">
                  <c:v>360.41</c:v>
                </c:pt>
                <c:pt idx="4">
                  <c:v>384.82</c:v>
                </c:pt>
                <c:pt idx="5">
                  <c:v>402.09</c:v>
                </c:pt>
                <c:pt idx="6">
                  <c:v>417.12</c:v>
                </c:pt>
                <c:pt idx="7">
                  <c:v>398.03</c:v>
                </c:pt>
                <c:pt idx="8">
                  <c:v>374.08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6-444F-8FDE-9FA43651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33408"/>
        <c:axId val="134034944"/>
      </c:barChart>
      <c:catAx>
        <c:axId val="1340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034944"/>
        <c:crosses val="autoZero"/>
        <c:auto val="1"/>
        <c:lblAlgn val="ctr"/>
        <c:lblOffset val="100"/>
        <c:noMultiLvlLbl val="0"/>
      </c:catAx>
      <c:valAx>
        <c:axId val="134034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40334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6962249954828086"/>
          <c:y val="2.8220863439908438E-2"/>
          <c:w val="0.26583206335147613"/>
          <c:h val="0.21204645702246547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324073660645141E-2"/>
          <c:y val="0.14085149224947124"/>
          <c:w val="0.94147788132451615"/>
          <c:h val="0.7465976293079545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84096"/>
        <c:axId val="134085632"/>
      </c:barChart>
      <c:catAx>
        <c:axId val="1340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4085632"/>
        <c:crosses val="autoZero"/>
        <c:auto val="1"/>
        <c:lblAlgn val="ctr"/>
        <c:lblOffset val="100"/>
        <c:noMultiLvlLbl val="0"/>
      </c:catAx>
      <c:valAx>
        <c:axId val="134085632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one"/>
        <c:crossAx val="13408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Originating earnings to end</a:t>
            </a:r>
          </a:p>
        </c:rich>
      </c:tx>
      <c:layout>
        <c:manualLayout>
          <c:xMode val="edge"/>
          <c:yMode val="edge"/>
          <c:x val="0.29879247971290951"/>
          <c:y val="1.25022929073932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175498402004938"/>
          <c:y val="0.22018972490902383"/>
          <c:w val="0.43545762941228988"/>
          <c:h val="0.64451493599559362"/>
        </c:manualLayout>
      </c:layout>
      <c:pie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Apportioned earnings to end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839978529501618"/>
          <c:y val="0.19938184509826914"/>
          <c:w val="0.43305056559488647"/>
          <c:h val="0.68124576587046959"/>
        </c:manualLayout>
      </c:layout>
      <c:pie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527777777778438"/>
          <c:y val="0.22453703703704544"/>
          <c:w val="0.44284003449273529"/>
          <c:h val="0.68488501662294243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Originating earnings to end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415474313166988"/>
          <c:y val="0.22338180263993782"/>
          <c:w val="0.41729564033120076"/>
          <c:h val="0.6356805151749656"/>
        </c:manualLayout>
      </c:layout>
      <c:pieChart>
        <c:varyColors val="1"/>
        <c:ser>
          <c:idx val="1"/>
          <c:order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'MOD-I (EARNING) Dec-21'!$A$14:$A$17</c:f>
              <c:strCache>
                <c:ptCount val="4"/>
                <c:pt idx="0">
                  <c:v>Passenger</c:v>
                </c:pt>
                <c:pt idx="1">
                  <c:v>Other Coaching</c:v>
                </c:pt>
                <c:pt idx="2">
                  <c:v>Goods</c:v>
                </c:pt>
                <c:pt idx="3">
                  <c:v>Sundries</c:v>
                </c:pt>
              </c:strCache>
            </c:strRef>
          </c:cat>
          <c:val>
            <c:numRef>
              <c:f>'MOD-I (EARNING) Dec-21'!$D$14:$D$17</c:f>
              <c:numCache>
                <c:formatCode>0.00</c:formatCode>
                <c:ptCount val="4"/>
                <c:pt idx="0">
                  <c:v>1290.99</c:v>
                </c:pt>
                <c:pt idx="1">
                  <c:v>111.59</c:v>
                </c:pt>
                <c:pt idx="2">
                  <c:v>1455.79</c:v>
                </c:pt>
                <c:pt idx="3">
                  <c:v>118.11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8-4AF3-ACD6-A212761B422C}"/>
            </c:ext>
          </c:extLst>
        </c:ser>
        <c:ser>
          <c:idx val="0"/>
          <c:order val="0"/>
          <c:tx>
            <c:strRef>
              <c:f>'[1]June-20(Earning'!$U$14</c:f>
              <c:strCache>
                <c:ptCount val="1"/>
                <c:pt idx="0">
                  <c:v>Actual upto June'20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'[1]June-20(Earning'!$R$15:$R$18</c:f>
              <c:strCache>
                <c:ptCount val="4"/>
                <c:pt idx="0">
                  <c:v>Passenger</c:v>
                </c:pt>
                <c:pt idx="1">
                  <c:v>Other Coaching</c:v>
                </c:pt>
                <c:pt idx="2">
                  <c:v>Goods</c:v>
                </c:pt>
                <c:pt idx="3">
                  <c:v>Sundries</c:v>
                </c:pt>
              </c:strCache>
            </c:strRef>
          </c:cat>
          <c:val>
            <c:numRef>
              <c:f>'[1]June-20(Earning'!$U$15:$U$18</c:f>
              <c:numCache>
                <c:formatCode>General</c:formatCode>
                <c:ptCount val="4"/>
                <c:pt idx="0">
                  <c:v>3.99</c:v>
                </c:pt>
                <c:pt idx="1">
                  <c:v>5.05</c:v>
                </c:pt>
                <c:pt idx="2">
                  <c:v>1186.08</c:v>
                </c:pt>
                <c:pt idx="3">
                  <c:v>13.91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0-49A7-A6E0-49DD529DDB5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400051</xdr:rowOff>
    </xdr:from>
    <xdr:to>
      <xdr:col>13</xdr:col>
      <xdr:colOff>9525</xdr:colOff>
      <xdr:row>14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190500</xdr:rowOff>
    </xdr:from>
    <xdr:to>
      <xdr:col>13</xdr:col>
      <xdr:colOff>0</xdr:colOff>
      <xdr:row>20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971550</xdr:colOff>
      <xdr:row>21</xdr:row>
      <xdr:rowOff>219075</xdr:rowOff>
    </xdr:from>
    <xdr:to>
      <xdr:col>13</xdr:col>
      <xdr:colOff>9525</xdr:colOff>
      <xdr:row>33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0.06682</cdr:x>
      <cdr:y>0.02941</cdr:y>
    </cdr:from>
    <cdr:to>
      <cdr:x>0.92396</cdr:x>
      <cdr:y>0.13971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6226" y="76200"/>
          <a:ext cx="3543299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Apportioned Earning  (Rs</a:t>
          </a:r>
          <a:r>
            <a:rPr lang="en-US" sz="1400" b="1" baseline="0"/>
            <a:t> in Crore ) to end  Dec-2021</a:t>
          </a:r>
          <a:endParaRPr lang="en-US" sz="14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0.00667</cdr:x>
      <cdr:y>0.03394</cdr:y>
    </cdr:from>
    <cdr:to>
      <cdr:x>1</cdr:x>
      <cdr:y>0.13105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123825"/>
          <a:ext cx="4257675" cy="354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Com.wise Goods Originating  (Rs in Crore) to end</a:t>
          </a:r>
          <a:r>
            <a:rPr lang="en-US" sz="1400" b="1" baseline="0"/>
            <a:t>  Dec-2021</a:t>
          </a:r>
          <a:endParaRPr lang="en-US" sz="14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0.15288</cdr:x>
      <cdr:y>0.04651</cdr:y>
    </cdr:from>
    <cdr:to>
      <cdr:x>0.80219</cdr:x>
      <cdr:y>0.1437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64356" y="114300"/>
          <a:ext cx="4095800" cy="238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Passenger</a:t>
          </a:r>
          <a:r>
            <a:rPr lang="en-US" sz="1400" b="1" baseline="0"/>
            <a:t> Appor. Earning  (Rs in Crores</a:t>
          </a:r>
          <a:r>
            <a:rPr lang="en-US" sz="1100" baseline="0"/>
            <a:t>) </a:t>
          </a:r>
          <a:r>
            <a:rPr lang="en-US" sz="1400" b="1" baseline="0">
              <a:latin typeface="+mn-lt"/>
              <a:ea typeface="+mn-ea"/>
              <a:cs typeface="+mn-cs"/>
            </a:rPr>
            <a:t>to end  Dec-2021</a:t>
          </a:r>
          <a:endParaRPr lang="en-US" sz="14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0.06341</cdr:x>
      <cdr:y>0.00917</cdr:y>
    </cdr:from>
    <cdr:to>
      <cdr:x>0.90036</cdr:x>
      <cdr:y>0.13456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75" y="28575"/>
          <a:ext cx="44005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    Goods Appor. Earning</a:t>
          </a:r>
          <a:r>
            <a:rPr lang="en-US" sz="1400" b="1" baseline="0"/>
            <a:t>  (Rs in Crore ) to end  Dec-2021</a:t>
          </a:r>
          <a:endParaRPr lang="en-US" sz="14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0.10027</cdr:x>
      <cdr:y>0.05882</cdr:y>
    </cdr:from>
    <cdr:to>
      <cdr:x>0.46612</cdr:x>
      <cdr:y>0.34759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2424" y="209550"/>
          <a:ext cx="1285875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0.03531</cdr:y>
    </cdr:from>
    <cdr:to>
      <cdr:x>1</cdr:x>
      <cdr:y>0.17647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11734"/>
          <a:ext cx="4361351" cy="446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Com</a:t>
          </a:r>
          <a:r>
            <a:rPr lang="en-US" sz="1200" b="1"/>
            <a:t>.</a:t>
          </a:r>
          <a:r>
            <a:rPr lang="en-US" sz="1200" b="1" baseline="0"/>
            <a:t> </a:t>
          </a:r>
          <a:r>
            <a:rPr lang="en-US" sz="1400" b="1" baseline="0"/>
            <a:t>wise Goods carried Earning (Rs. in Crore) to end  Dec-2021</a:t>
          </a:r>
          <a:endParaRPr lang="en-US" sz="1400" b="1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409574</xdr:colOff>
      <xdr:row>3</xdr:row>
      <xdr:rowOff>133350</xdr:rowOff>
    </xdr:from>
    <xdr:ext cx="2409825" cy="2190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753599" y="952500"/>
          <a:ext cx="2409825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1400" b="1"/>
        </a:p>
      </xdr:txBody>
    </xdr:sp>
    <xdr:clientData/>
  </xdr:oneCellAnchor>
  <xdr:twoCellAnchor>
    <xdr:from>
      <xdr:col>16</xdr:col>
      <xdr:colOff>116417</xdr:colOff>
      <xdr:row>20</xdr:row>
      <xdr:rowOff>21167</xdr:rowOff>
    </xdr:from>
    <xdr:to>
      <xdr:col>21</xdr:col>
      <xdr:colOff>761998</xdr:colOff>
      <xdr:row>29</xdr:row>
      <xdr:rowOff>370416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74083</xdr:colOff>
      <xdr:row>30</xdr:row>
      <xdr:rowOff>31750</xdr:rowOff>
    </xdr:from>
    <xdr:to>
      <xdr:col>26</xdr:col>
      <xdr:colOff>21167</xdr:colOff>
      <xdr:row>43</xdr:row>
      <xdr:rowOff>211667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459441</xdr:colOff>
      <xdr:row>3</xdr:row>
      <xdr:rowOff>112059</xdr:rowOff>
    </xdr:from>
    <xdr:ext cx="184731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803466" y="931209"/>
          <a:ext cx="1847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400" b="1"/>
        </a:p>
      </xdr:txBody>
    </xdr:sp>
    <xdr:clientData/>
  </xdr:oneCellAnchor>
  <xdr:twoCellAnchor>
    <xdr:from>
      <xdr:col>10</xdr:col>
      <xdr:colOff>74084</xdr:colOff>
      <xdr:row>3</xdr:row>
      <xdr:rowOff>63500</xdr:rowOff>
    </xdr:from>
    <xdr:to>
      <xdr:col>16</xdr:col>
      <xdr:colOff>0</xdr:colOff>
      <xdr:row>14</xdr:row>
      <xdr:rowOff>113740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95251</xdr:colOff>
      <xdr:row>13</xdr:row>
      <xdr:rowOff>148166</xdr:rowOff>
    </xdr:from>
    <xdr:to>
      <xdr:col>15</xdr:col>
      <xdr:colOff>666751</xdr:colOff>
      <xdr:row>25</xdr:row>
      <xdr:rowOff>27454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10584</xdr:colOff>
      <xdr:row>22</xdr:row>
      <xdr:rowOff>148168</xdr:rowOff>
    </xdr:from>
    <xdr:to>
      <xdr:col>16</xdr:col>
      <xdr:colOff>10147</xdr:colOff>
      <xdr:row>33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3</xdr:row>
      <xdr:rowOff>201082</xdr:rowOff>
    </xdr:from>
    <xdr:to>
      <xdr:col>15</xdr:col>
      <xdr:colOff>709083</xdr:colOff>
      <xdr:row>13</xdr:row>
      <xdr:rowOff>10580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74084</xdr:colOff>
      <xdr:row>13</xdr:row>
      <xdr:rowOff>137582</xdr:rowOff>
    </xdr:from>
    <xdr:to>
      <xdr:col>15</xdr:col>
      <xdr:colOff>613832</xdr:colOff>
      <xdr:row>22</xdr:row>
      <xdr:rowOff>116414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84667</xdr:colOff>
      <xdr:row>32</xdr:row>
      <xdr:rowOff>179916</xdr:rowOff>
    </xdr:from>
    <xdr:to>
      <xdr:col>26</xdr:col>
      <xdr:colOff>21165</xdr:colOff>
      <xdr:row>44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52917</xdr:colOff>
      <xdr:row>24</xdr:row>
      <xdr:rowOff>21165</xdr:rowOff>
    </xdr:from>
    <xdr:to>
      <xdr:col>16</xdr:col>
      <xdr:colOff>21168</xdr:colOff>
      <xdr:row>33</xdr:row>
      <xdr:rowOff>158749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0.21358</cdr:x>
      <cdr:y>0.04294</cdr:y>
    </cdr:from>
    <cdr:to>
      <cdr:x>0.39636</cdr:x>
      <cdr:y>0.38159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457" y="11595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0.23208</cdr:x>
      <cdr:y>0.01534</cdr:y>
    </cdr:from>
    <cdr:to>
      <cdr:x>0.88576</cdr:x>
      <cdr:y>0.38159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96836" y="53109"/>
          <a:ext cx="2807737" cy="1268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Passenger</a:t>
          </a:r>
          <a:r>
            <a:rPr lang="en-US" sz="1400"/>
            <a:t> </a:t>
          </a:r>
          <a:r>
            <a:rPr lang="en-US" sz="1400" b="1"/>
            <a:t>Appor</a:t>
          </a:r>
          <a:r>
            <a:rPr lang="en-US" sz="1400"/>
            <a:t>.</a:t>
          </a:r>
          <a:r>
            <a:rPr lang="en-US" sz="1400" baseline="0"/>
            <a:t> </a:t>
          </a:r>
          <a:r>
            <a:rPr lang="en-US" sz="1400" b="1" baseline="0"/>
            <a:t>Earnings</a:t>
          </a:r>
          <a:r>
            <a:rPr lang="en-US" sz="1400" baseline="0"/>
            <a:t>   (</a:t>
          </a:r>
          <a:r>
            <a:rPr lang="en-US" sz="1400" b="1" baseline="0"/>
            <a:t>Rs</a:t>
          </a:r>
          <a:r>
            <a:rPr lang="en-US" sz="1400" baseline="0"/>
            <a:t> </a:t>
          </a:r>
          <a:r>
            <a:rPr lang="en-US" sz="1400" b="1" baseline="0"/>
            <a:t>in Crore</a:t>
          </a:r>
          <a:r>
            <a:rPr lang="en-US" sz="1400" baseline="0"/>
            <a:t>)</a:t>
          </a:r>
          <a:endParaRPr lang="en-US" sz="14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0.04615</cdr:x>
      <cdr:y>0.01216</cdr:y>
    </cdr:from>
    <cdr:to>
      <cdr:x>0.78923</cdr:x>
      <cdr:y>0.12766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500" y="42333"/>
          <a:ext cx="5111750" cy="402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                              Goods</a:t>
          </a:r>
          <a:r>
            <a:rPr lang="en-US" sz="1400" b="1" baseline="0"/>
            <a:t> Appor.Earnings (Rs in Crores</a:t>
          </a:r>
          <a:r>
            <a:rPr lang="en-US" sz="1100" baseline="0"/>
            <a:t>)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0.16667</cdr:x>
      <cdr:y>0.02614</cdr:y>
    </cdr:from>
    <cdr:to>
      <cdr:x>0.76225</cdr:x>
      <cdr:y>0.11193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000" y="71716"/>
          <a:ext cx="2723029" cy="235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Com.wise  Goods  Orig.</a:t>
          </a:r>
          <a:r>
            <a:rPr lang="en-US" sz="1200" b="1" baseline="0"/>
            <a:t> earn. to end.</a:t>
          </a:r>
          <a:endParaRPr lang="en-US" sz="12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726281</xdr:colOff>
      <xdr:row>39</xdr:row>
      <xdr:rowOff>47626</xdr:rowOff>
    </xdr:from>
    <xdr:to>
      <xdr:col>18</xdr:col>
      <xdr:colOff>762000</xdr:colOff>
      <xdr:row>52</xdr:row>
      <xdr:rowOff>177007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12</xdr:row>
      <xdr:rowOff>104774</xdr:rowOff>
    </xdr:from>
    <xdr:to>
      <xdr:col>16</xdr:col>
      <xdr:colOff>698499</xdr:colOff>
      <xdr:row>20</xdr:row>
      <xdr:rowOff>235322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47624</xdr:colOff>
      <xdr:row>40</xdr:row>
      <xdr:rowOff>83344</xdr:rowOff>
    </xdr:from>
    <xdr:to>
      <xdr:col>16</xdr:col>
      <xdr:colOff>678656</xdr:colOff>
      <xdr:row>50</xdr:row>
      <xdr:rowOff>107156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</xdr:colOff>
      <xdr:row>40</xdr:row>
      <xdr:rowOff>119063</xdr:rowOff>
    </xdr:from>
    <xdr:to>
      <xdr:col>16</xdr:col>
      <xdr:colOff>107155</xdr:colOff>
      <xdr:row>52</xdr:row>
      <xdr:rowOff>119063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</xdr:colOff>
      <xdr:row>39</xdr:row>
      <xdr:rowOff>178593</xdr:rowOff>
    </xdr:from>
    <xdr:to>
      <xdr:col>16</xdr:col>
      <xdr:colOff>764909</xdr:colOff>
      <xdr:row>53</xdr:row>
      <xdr:rowOff>112184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83342</xdr:colOff>
      <xdr:row>39</xdr:row>
      <xdr:rowOff>154780</xdr:rowOff>
    </xdr:from>
    <xdr:to>
      <xdr:col>16</xdr:col>
      <xdr:colOff>201846</xdr:colOff>
      <xdr:row>53</xdr:row>
      <xdr:rowOff>161924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257736</xdr:colOff>
      <xdr:row>39</xdr:row>
      <xdr:rowOff>112058</xdr:rowOff>
    </xdr:from>
    <xdr:to>
      <xdr:col>18</xdr:col>
      <xdr:colOff>694766</xdr:colOff>
      <xdr:row>51</xdr:row>
      <xdr:rowOff>89647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299196</xdr:colOff>
      <xdr:row>38</xdr:row>
      <xdr:rowOff>190500</xdr:rowOff>
    </xdr:from>
    <xdr:to>
      <xdr:col>18</xdr:col>
      <xdr:colOff>1895474</xdr:colOff>
      <xdr:row>52</xdr:row>
      <xdr:rowOff>114863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95249</xdr:colOff>
      <xdr:row>4</xdr:row>
      <xdr:rowOff>166688</xdr:rowOff>
    </xdr:from>
    <xdr:to>
      <xdr:col>17</xdr:col>
      <xdr:colOff>23811</xdr:colOff>
      <xdr:row>13</xdr:row>
      <xdr:rowOff>238125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95249</xdr:colOff>
      <xdr:row>13</xdr:row>
      <xdr:rowOff>202407</xdr:rowOff>
    </xdr:from>
    <xdr:to>
      <xdr:col>16</xdr:col>
      <xdr:colOff>1012030</xdr:colOff>
      <xdr:row>22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95248</xdr:colOff>
      <xdr:row>39</xdr:row>
      <xdr:rowOff>83344</xdr:rowOff>
    </xdr:from>
    <xdr:to>
      <xdr:col>16</xdr:col>
      <xdr:colOff>273843</xdr:colOff>
      <xdr:row>52</xdr:row>
      <xdr:rowOff>178593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256442</xdr:colOff>
      <xdr:row>22</xdr:row>
      <xdr:rowOff>317500</xdr:rowOff>
    </xdr:from>
    <xdr:to>
      <xdr:col>17</xdr:col>
      <xdr:colOff>9524</xdr:colOff>
      <xdr:row>30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47625</xdr:colOff>
      <xdr:row>30</xdr:row>
      <xdr:rowOff>142876</xdr:rowOff>
    </xdr:from>
    <xdr:to>
      <xdr:col>17</xdr:col>
      <xdr:colOff>0</xdr:colOff>
      <xdr:row>38</xdr:row>
      <xdr:rowOff>171451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329712</xdr:colOff>
      <xdr:row>39</xdr:row>
      <xdr:rowOff>0</xdr:rowOff>
    </xdr:from>
    <xdr:to>
      <xdr:col>19</xdr:col>
      <xdr:colOff>48846</xdr:colOff>
      <xdr:row>52</xdr:row>
      <xdr:rowOff>134327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0.02247</cdr:x>
      <cdr:y>0.05112</cdr:y>
    </cdr:from>
    <cdr:to>
      <cdr:x>0.32959</cdr:x>
      <cdr:y>0.39617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300" y="152399"/>
          <a:ext cx="1562100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0.05111</cdr:x>
      <cdr:y>0.01169</cdr:y>
    </cdr:from>
    <cdr:to>
      <cdr:x>0.66222</cdr:x>
      <cdr:y>0.14057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9075" y="28576"/>
          <a:ext cx="2619375" cy="315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0.02663</cdr:x>
      <cdr:y>0.03896</cdr:y>
    </cdr:from>
    <cdr:to>
      <cdr:x>0.38107</cdr:x>
      <cdr:y>0.48831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156" y="107156"/>
          <a:ext cx="1426369" cy="1235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0.02959</cdr:x>
      <cdr:y>0.03463</cdr:y>
    </cdr:from>
    <cdr:to>
      <cdr:x>0.34556</cdr:x>
      <cdr:y>0.51429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062" y="95250"/>
          <a:ext cx="1271588" cy="13192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0.03683</cdr:x>
      <cdr:y>0.00507</cdr:y>
    </cdr:from>
    <cdr:to>
      <cdr:x>0.26701</cdr:x>
      <cdr:y>0.35052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9185" y="17009"/>
          <a:ext cx="994821" cy="1159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6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0.14221</cdr:x>
      <cdr:y>0.11255</cdr:y>
    </cdr:from>
    <cdr:to>
      <cdr:x>0.35892</cdr:x>
      <cdr:y>0.52814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0076" y="2476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0.06546</cdr:x>
      <cdr:y>0.03896</cdr:y>
    </cdr:from>
    <cdr:to>
      <cdr:x>0.96163</cdr:x>
      <cdr:y>0.17749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6227" y="85723"/>
          <a:ext cx="3781424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0.08126</cdr:x>
      <cdr:y>0.03896</cdr:y>
    </cdr:from>
    <cdr:to>
      <cdr:x>0.94131</cdr:x>
      <cdr:y>0.18615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2900" y="85725"/>
          <a:ext cx="36290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0.11964</cdr:x>
      <cdr:y>0.04762</cdr:y>
    </cdr:from>
    <cdr:to>
      <cdr:x>0.88939</cdr:x>
      <cdr:y>0.49784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4825" y="104774"/>
          <a:ext cx="3248025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0.18736</cdr:x>
      <cdr:y>0.12554</cdr:y>
    </cdr:from>
    <cdr:to>
      <cdr:x>0.40406</cdr:x>
      <cdr:y>0.54113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90576" y="2762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0.04966</cdr:x>
      <cdr:y>0</cdr:y>
    </cdr:from>
    <cdr:to>
      <cdr:x>0.89391</cdr:x>
      <cdr:y>0.18615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09551" y="0"/>
          <a:ext cx="3562350" cy="409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 Originating</a:t>
          </a:r>
          <a:r>
            <a:rPr lang="en-US" sz="1400" b="1" baseline="0"/>
            <a:t> Earning (Rs. in Crore) to end  Dec-2021</a:t>
          </a:r>
          <a:endParaRPr lang="en-US" sz="14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D%20June'20%20Part-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D%202020-21\MOD%20Ap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-20(Exp)"/>
      <sheetName val="June-20(Earning"/>
      <sheetName val="Summary"/>
    </sheetNames>
    <sheetDataSet>
      <sheetData sheetId="0"/>
      <sheetData sheetId="1">
        <row r="14">
          <cell r="E14" t="str">
            <v>Actual upto June'20</v>
          </cell>
          <cell r="U14" t="str">
            <v>Actual upto June'20</v>
          </cell>
        </row>
        <row r="15">
          <cell r="R15" t="str">
            <v>Passenger</v>
          </cell>
          <cell r="U15">
            <v>3.99</v>
          </cell>
        </row>
        <row r="16">
          <cell r="R16" t="str">
            <v>Other Coaching</v>
          </cell>
          <cell r="U16">
            <v>5.05</v>
          </cell>
        </row>
        <row r="17">
          <cell r="R17" t="str">
            <v>Goods</v>
          </cell>
          <cell r="U17">
            <v>1186.08</v>
          </cell>
        </row>
        <row r="18">
          <cell r="R18" t="str">
            <v>Sundries</v>
          </cell>
          <cell r="U18">
            <v>13.91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-18"/>
      <sheetName val="May-18"/>
      <sheetName val="June-18"/>
      <sheetName val="July-18"/>
      <sheetName val="April'19 F"/>
      <sheetName val="May'19"/>
      <sheetName val="June'19"/>
      <sheetName val="July'19 earn "/>
      <sheetName val="July'19 exp"/>
      <sheetName val="Aug'19 ern"/>
      <sheetName val="Aug'19 exp"/>
      <sheetName val="Sep'19 earn"/>
      <sheetName val="Sep'19 exp"/>
      <sheetName val="Sheet1"/>
      <sheetName val="Oct'19 Earning"/>
      <sheetName val="Oct'19 Exp"/>
      <sheetName val="Nov'19 earning"/>
      <sheetName val="Nov'19 Exp"/>
      <sheetName val="Dec'19 earning"/>
      <sheetName val="Dec'19 Exp"/>
      <sheetName val="Jan'20 earning"/>
      <sheetName val="Jan'20 Exp"/>
      <sheetName val="Feb-20 Exp"/>
      <sheetName val="May'20 Exp."/>
      <sheetName val="May-20 earning"/>
      <sheetName val="Apr-20 exp"/>
      <sheetName val="Apr-20 Ear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X2" t="str">
            <v>Part-II</v>
          </cell>
          <cell r="Y2" t="str">
            <v>22.06.2020</v>
          </cell>
        </row>
        <row r="3">
          <cell r="L3" t="str">
            <v xml:space="preserve">KEY STATISTICS TO END OF </v>
          </cell>
          <cell r="P3">
            <v>43952</v>
          </cell>
        </row>
        <row r="4">
          <cell r="B4" t="str">
            <v>Originating Earnings (Rs. In crore)</v>
          </cell>
          <cell r="F4" t="str">
            <v xml:space="preserve">FOR THE MONTH </v>
          </cell>
          <cell r="L4" t="str">
            <v>GRAPH</v>
          </cell>
          <cell r="R4" t="str">
            <v>Apportioned Earnings (Rs. In crore)</v>
          </cell>
          <cell r="V4" t="str">
            <v xml:space="preserve">FOR THE MONTH </v>
          </cell>
        </row>
        <row r="5">
          <cell r="B5" t="str">
            <v>Segment</v>
          </cell>
          <cell r="C5" t="str">
            <v>Actual      2019-20</v>
          </cell>
          <cell r="D5" t="str">
            <v>Target      2020-21</v>
          </cell>
          <cell r="E5" t="str">
            <v>Target Growth</v>
          </cell>
          <cell r="F5" t="str">
            <v>Actual May'19</v>
          </cell>
          <cell r="G5" t="str">
            <v>BP May'20</v>
          </cell>
          <cell r="H5" t="str">
            <v>Actual May'20</v>
          </cell>
          <cell r="I5" t="str">
            <v xml:space="preserve"> Var over BP </v>
          </cell>
          <cell r="J5" t="str">
            <v>Actual Growth (%)</v>
          </cell>
          <cell r="K5" t="str">
            <v xml:space="preserve">% of Target </v>
          </cell>
          <cell r="S5" t="str">
            <v>Actual               2019-20</v>
          </cell>
          <cell r="T5" t="str">
            <v>Target          2020-21</v>
          </cell>
          <cell r="U5" t="str">
            <v>Target Growth</v>
          </cell>
          <cell r="V5" t="str">
            <v>Actual May'19</v>
          </cell>
          <cell r="W5" t="str">
            <v>BP May'20</v>
          </cell>
          <cell r="X5" t="str">
            <v>Actual May'20</v>
          </cell>
          <cell r="Y5" t="str">
            <v xml:space="preserve"> Var over BP </v>
          </cell>
          <cell r="Z5" t="str">
            <v>Actual Growth (%)</v>
          </cell>
          <cell r="AA5" t="str">
            <v xml:space="preserve">% of Target </v>
          </cell>
        </row>
        <row r="6">
          <cell r="B6" t="str">
            <v>Passenger</v>
          </cell>
          <cell r="C6">
            <v>2156.14</v>
          </cell>
          <cell r="D6">
            <v>0</v>
          </cell>
          <cell r="E6">
            <v>-1</v>
          </cell>
          <cell r="F6">
            <v>200.17</v>
          </cell>
          <cell r="G6">
            <v>0</v>
          </cell>
          <cell r="H6">
            <v>-10.17</v>
          </cell>
          <cell r="I6">
            <v>-10.17</v>
          </cell>
          <cell r="J6">
            <v>-1.0508068142079232</v>
          </cell>
          <cell r="K6" t="e">
            <v>#DIV/0!</v>
          </cell>
          <cell r="R6" t="str">
            <v>Passenger</v>
          </cell>
          <cell r="S6">
            <v>4773.84</v>
          </cell>
          <cell r="T6">
            <v>5971.31</v>
          </cell>
          <cell r="U6">
            <v>0.25083999463744078</v>
          </cell>
          <cell r="V6">
            <v>428.69</v>
          </cell>
          <cell r="W6">
            <v>538.22</v>
          </cell>
          <cell r="X6">
            <v>17.54</v>
          </cell>
          <cell r="Y6">
            <v>-520.68000000000006</v>
          </cell>
          <cell r="Z6">
            <v>-0.95908465324593528</v>
          </cell>
          <cell r="AA6">
            <v>2.9373789001073463E-3</v>
          </cell>
        </row>
        <row r="7">
          <cell r="B7" t="str">
            <v>Other Coaching</v>
          </cell>
          <cell r="C7">
            <v>174.05</v>
          </cell>
          <cell r="D7">
            <v>0</v>
          </cell>
          <cell r="E7">
            <v>-1</v>
          </cell>
          <cell r="F7">
            <v>13.77</v>
          </cell>
          <cell r="G7">
            <v>0</v>
          </cell>
          <cell r="H7">
            <v>1.39</v>
          </cell>
          <cell r="I7">
            <v>1.39</v>
          </cell>
          <cell r="J7">
            <v>-0.89905591866376178</v>
          </cell>
          <cell r="K7" t="e">
            <v>#DIV/0!</v>
          </cell>
          <cell r="R7" t="str">
            <v>Other Coaching</v>
          </cell>
          <cell r="S7">
            <v>171.99</v>
          </cell>
          <cell r="T7">
            <v>216.1</v>
          </cell>
          <cell r="U7">
            <v>0.25646839932554211</v>
          </cell>
          <cell r="V7">
            <v>10.69</v>
          </cell>
          <cell r="W7">
            <v>18.55</v>
          </cell>
          <cell r="X7">
            <v>1.62</v>
          </cell>
          <cell r="Y7">
            <v>-16.93</v>
          </cell>
          <cell r="Z7">
            <v>-0.84845650140318063</v>
          </cell>
          <cell r="AA7">
            <v>7.4965293845441934E-3</v>
          </cell>
        </row>
        <row r="8">
          <cell r="B8" t="str">
            <v>Goods</v>
          </cell>
          <cell r="C8">
            <v>1356.96</v>
          </cell>
          <cell r="D8">
            <v>0</v>
          </cell>
          <cell r="E8">
            <v>-1</v>
          </cell>
          <cell r="F8">
            <v>122.49</v>
          </cell>
          <cell r="G8">
            <v>0</v>
          </cell>
          <cell r="H8">
            <v>118</v>
          </cell>
          <cell r="I8">
            <v>118</v>
          </cell>
          <cell r="J8">
            <v>-3.665605355539224E-2</v>
          </cell>
          <cell r="K8" t="e">
            <v>#DIV/0!</v>
          </cell>
          <cell r="R8" t="str">
            <v>Goods</v>
          </cell>
          <cell r="S8">
            <v>8048.32</v>
          </cell>
          <cell r="T8">
            <v>12699.9</v>
          </cell>
          <cell r="U8">
            <v>0.57795664188302653</v>
          </cell>
          <cell r="V8">
            <v>654.5</v>
          </cell>
          <cell r="W8">
            <v>968.19</v>
          </cell>
          <cell r="X8">
            <v>371.34</v>
          </cell>
          <cell r="Y8">
            <v>-596.85000000000014</v>
          </cell>
          <cell r="Z8">
            <v>-0.43263559969442328</v>
          </cell>
          <cell r="AA8">
            <v>2.9239600311813479E-2</v>
          </cell>
        </row>
        <row r="9">
          <cell r="B9" t="str">
            <v>Sundries</v>
          </cell>
          <cell r="C9">
            <v>213.82</v>
          </cell>
          <cell r="D9">
            <v>0</v>
          </cell>
          <cell r="E9">
            <v>-1</v>
          </cell>
          <cell r="F9">
            <v>22.99</v>
          </cell>
          <cell r="G9">
            <v>0</v>
          </cell>
          <cell r="H9">
            <v>4.2</v>
          </cell>
          <cell r="I9">
            <v>4.2</v>
          </cell>
          <cell r="J9">
            <v>-0.81731187472814271</v>
          </cell>
          <cell r="K9" t="e">
            <v>#DIV/0!</v>
          </cell>
          <cell r="R9" t="str">
            <v>Sundries</v>
          </cell>
          <cell r="S9">
            <v>213.82</v>
          </cell>
          <cell r="T9">
            <v>342.61</v>
          </cell>
          <cell r="U9">
            <v>0.60232906182770563</v>
          </cell>
          <cell r="V9">
            <v>22.99</v>
          </cell>
          <cell r="W9">
            <v>28.55</v>
          </cell>
          <cell r="X9">
            <v>4.2</v>
          </cell>
          <cell r="Y9">
            <v>-24.35</v>
          </cell>
          <cell r="Z9">
            <v>-0.81731187472814271</v>
          </cell>
          <cell r="AA9">
            <v>1.2258836578033332E-2</v>
          </cell>
        </row>
        <row r="10">
          <cell r="B10" t="str">
            <v>Gr. Earnings</v>
          </cell>
          <cell r="C10">
            <v>3900.9700000000003</v>
          </cell>
          <cell r="D10">
            <v>0</v>
          </cell>
          <cell r="E10">
            <v>-1</v>
          </cell>
          <cell r="F10">
            <v>359.42</v>
          </cell>
          <cell r="G10">
            <v>0</v>
          </cell>
          <cell r="H10">
            <v>113.42</v>
          </cell>
          <cell r="I10">
            <v>113.42</v>
          </cell>
          <cell r="J10">
            <v>-0.68443603583551271</v>
          </cell>
          <cell r="K10" t="e">
            <v>#DIV/0!</v>
          </cell>
          <cell r="R10" t="str">
            <v>Gr. Earnings</v>
          </cell>
          <cell r="S10">
            <v>13207.97</v>
          </cell>
          <cell r="T10">
            <v>19229.920000000002</v>
          </cell>
          <cell r="U10">
            <v>0.45593304648632627</v>
          </cell>
          <cell r="V10">
            <v>1116.8700000000001</v>
          </cell>
          <cell r="W10">
            <v>1553.51</v>
          </cell>
          <cell r="X10">
            <v>394.7</v>
          </cell>
          <cell r="Y10">
            <v>-1158.81</v>
          </cell>
          <cell r="Z10">
            <v>-0.6466016635776769</v>
          </cell>
          <cell r="AA10">
            <v>2.0525306397530512E-2</v>
          </cell>
        </row>
        <row r="11">
          <cell r="R11" t="str">
            <v>Suspense</v>
          </cell>
          <cell r="S11">
            <v>-6.27</v>
          </cell>
          <cell r="T11">
            <v>7</v>
          </cell>
          <cell r="U11">
            <v>-2.1164274322169061</v>
          </cell>
          <cell r="V11">
            <v>-18.86</v>
          </cell>
          <cell r="W11">
            <v>0</v>
          </cell>
          <cell r="X11">
            <v>-16.21</v>
          </cell>
          <cell r="Y11">
            <v>-16.21</v>
          </cell>
          <cell r="Z11">
            <v>-0.14050901378578995</v>
          </cell>
          <cell r="AA11">
            <v>-2.3157142857142858</v>
          </cell>
        </row>
        <row r="12">
          <cell r="R12" t="str">
            <v>Gross  Receipts</v>
          </cell>
          <cell r="S12">
            <v>13201.699999999999</v>
          </cell>
          <cell r="T12">
            <v>19236.920000000002</v>
          </cell>
          <cell r="U12">
            <v>0.45715476037177055</v>
          </cell>
          <cell r="V12">
            <v>1098.0100000000002</v>
          </cell>
          <cell r="W12">
            <v>1553.51</v>
          </cell>
          <cell r="X12">
            <v>378.49</v>
          </cell>
          <cell r="Y12">
            <v>-1175.02</v>
          </cell>
          <cell r="Z12">
            <v>-0.65529457837360316</v>
          </cell>
          <cell r="AA12">
            <v>1.9675187088161721E-2</v>
          </cell>
        </row>
        <row r="13">
          <cell r="B13" t="str">
            <v>Originating Earnings (Rs. In crore)</v>
          </cell>
          <cell r="F13" t="str">
            <v xml:space="preserve">UPTO THE MONTH </v>
          </cell>
          <cell r="I13" t="str">
            <v>Avg. Daily Earning</v>
          </cell>
          <cell r="S13" t="str">
            <v xml:space="preserve">UPTO THE MONTH </v>
          </cell>
          <cell r="Y13" t="str">
            <v>Avg. Daily Earning</v>
          </cell>
        </row>
        <row r="14">
          <cell r="B14" t="str">
            <v>Segment</v>
          </cell>
          <cell r="C14" t="str">
            <v>Actual upto May'19</v>
          </cell>
          <cell r="D14" t="str">
            <v>BP upto May'20</v>
          </cell>
          <cell r="E14" t="str">
            <v>Actual upto May'20</v>
          </cell>
          <cell r="F14" t="str">
            <v xml:space="preserve"> Var over BP </v>
          </cell>
          <cell r="G14" t="str">
            <v>Actual Growth (%)</v>
          </cell>
          <cell r="H14" t="str">
            <v xml:space="preserve">% of Target </v>
          </cell>
          <cell r="I14" t="str">
            <v>Target 2019-20</v>
          </cell>
          <cell r="J14" t="str">
            <v>Actual upto Mar'19</v>
          </cell>
          <cell r="K14" t="str">
            <v>Actual upto Mar'20</v>
          </cell>
          <cell r="S14" t="str">
            <v>Actual upto May'19</v>
          </cell>
          <cell r="T14" t="str">
            <v>BP upto May'20</v>
          </cell>
          <cell r="U14" t="str">
            <v>Actual upto May'20</v>
          </cell>
          <cell r="V14" t="str">
            <v xml:space="preserve"> Var over BP </v>
          </cell>
          <cell r="W14" t="str">
            <v>Actual Growth (%)</v>
          </cell>
          <cell r="X14" t="str">
            <v xml:space="preserve">% of Target </v>
          </cell>
          <cell r="Y14" t="str">
            <v>Target     2019-20</v>
          </cell>
          <cell r="Z14" t="str">
            <v>Actual upto May'19</v>
          </cell>
          <cell r="AA14" t="str">
            <v>Actual upto May'20</v>
          </cell>
        </row>
        <row r="15">
          <cell r="B15" t="str">
            <v>Passenger</v>
          </cell>
          <cell r="C15">
            <v>378.95</v>
          </cell>
          <cell r="D15">
            <v>0</v>
          </cell>
          <cell r="E15">
            <v>-24.23</v>
          </cell>
          <cell r="F15">
            <v>-24.23</v>
          </cell>
          <cell r="G15">
            <v>-1.0639398337511545</v>
          </cell>
          <cell r="H15" t="e">
            <v>#DIV/0!</v>
          </cell>
          <cell r="I15">
            <v>0</v>
          </cell>
          <cell r="J15">
            <v>6.2122950819672127</v>
          </cell>
          <cell r="K15">
            <v>-0.39721311475409837</v>
          </cell>
          <cell r="R15" t="str">
            <v>Passenger</v>
          </cell>
          <cell r="S15">
            <v>837.9</v>
          </cell>
          <cell r="T15">
            <v>1029.46</v>
          </cell>
          <cell r="U15">
            <v>-39.11</v>
          </cell>
          <cell r="V15">
            <v>-1068.57</v>
          </cell>
          <cell r="W15">
            <v>-1.0466762143453874</v>
          </cell>
          <cell r="X15">
            <v>-6.549651583990782E-3</v>
          </cell>
          <cell r="Y15">
            <v>97.890327868852467</v>
          </cell>
          <cell r="Z15">
            <v>13.736065573770491</v>
          </cell>
          <cell r="AA15">
            <v>-0.6411475409836066</v>
          </cell>
        </row>
        <row r="16">
          <cell r="B16" t="str">
            <v>Other Coaching</v>
          </cell>
          <cell r="C16">
            <v>26.28</v>
          </cell>
          <cell r="D16">
            <v>0</v>
          </cell>
          <cell r="E16">
            <v>1.89</v>
          </cell>
          <cell r="F16">
            <v>1.89</v>
          </cell>
          <cell r="G16">
            <v>-0.92808219178082185</v>
          </cell>
          <cell r="H16" t="e">
            <v>#DIV/0!</v>
          </cell>
          <cell r="I16">
            <v>0</v>
          </cell>
          <cell r="J16">
            <v>0.43081967213114758</v>
          </cell>
          <cell r="K16">
            <v>3.0983606557377048E-2</v>
          </cell>
          <cell r="R16" t="str">
            <v>Other Coaching</v>
          </cell>
          <cell r="S16">
            <v>24.75</v>
          </cell>
          <cell r="T16">
            <v>38.880000000000003</v>
          </cell>
          <cell r="U16">
            <v>1.95</v>
          </cell>
          <cell r="V16">
            <v>-36.93</v>
          </cell>
          <cell r="W16">
            <v>-0.92121212121212126</v>
          </cell>
          <cell r="X16">
            <v>9.023600185099491E-3</v>
          </cell>
          <cell r="Y16">
            <v>3.542622950819672</v>
          </cell>
          <cell r="Z16">
            <v>0.40573770491803279</v>
          </cell>
          <cell r="AA16">
            <v>3.1967213114754096E-2</v>
          </cell>
        </row>
        <row r="17">
          <cell r="B17" t="str">
            <v>Goods</v>
          </cell>
          <cell r="C17">
            <v>226.86</v>
          </cell>
          <cell r="D17">
            <v>0</v>
          </cell>
          <cell r="E17">
            <v>204.18</v>
          </cell>
          <cell r="F17">
            <v>204.18</v>
          </cell>
          <cell r="G17">
            <v>-9.997355197037823E-2</v>
          </cell>
          <cell r="H17" t="e">
            <v>#DIV/0!</v>
          </cell>
          <cell r="I17">
            <v>0</v>
          </cell>
          <cell r="J17">
            <v>3.7190163934426232</v>
          </cell>
          <cell r="K17">
            <v>3.3472131147540987</v>
          </cell>
          <cell r="R17" t="str">
            <v>Goods</v>
          </cell>
          <cell r="S17">
            <v>1307.1300000000001</v>
          </cell>
          <cell r="T17">
            <v>1905.7</v>
          </cell>
          <cell r="U17">
            <v>652.66</v>
          </cell>
          <cell r="V17">
            <v>-1253.04</v>
          </cell>
          <cell r="W17">
            <v>-0.5006923565368403</v>
          </cell>
          <cell r="X17">
            <v>5.1390955834297904E-2</v>
          </cell>
          <cell r="Y17">
            <v>208.1950819672131</v>
          </cell>
          <cell r="Z17">
            <v>21.428360655737706</v>
          </cell>
          <cell r="AA17">
            <v>10.699344262295082</v>
          </cell>
        </row>
        <row r="18">
          <cell r="B18" t="str">
            <v>Sundries</v>
          </cell>
          <cell r="C18">
            <v>35.69</v>
          </cell>
          <cell r="D18">
            <v>0</v>
          </cell>
          <cell r="E18">
            <v>6.97</v>
          </cell>
          <cell r="F18">
            <v>6.97</v>
          </cell>
          <cell r="G18">
            <v>-0.80470720089660974</v>
          </cell>
          <cell r="H18" t="e">
            <v>#DIV/0!</v>
          </cell>
          <cell r="I18">
            <v>0</v>
          </cell>
          <cell r="J18">
            <v>0.58508196721311467</v>
          </cell>
          <cell r="K18">
            <v>0.11426229508196721</v>
          </cell>
          <cell r="R18" t="str">
            <v>Sundries</v>
          </cell>
          <cell r="S18">
            <v>35.69</v>
          </cell>
          <cell r="T18">
            <v>57.1</v>
          </cell>
          <cell r="U18">
            <v>6.97</v>
          </cell>
          <cell r="V18">
            <v>-50.13</v>
          </cell>
          <cell r="W18">
            <v>-0.80470720089660974</v>
          </cell>
          <cell r="X18">
            <v>2.0343831178307695E-2</v>
          </cell>
          <cell r="Y18">
            <v>5.6165573770491806</v>
          </cell>
          <cell r="Z18">
            <v>0.58508196721311467</v>
          </cell>
          <cell r="AA18">
            <v>0.11426229508196721</v>
          </cell>
        </row>
        <row r="19">
          <cell r="B19" t="str">
            <v>Gr. Earnings</v>
          </cell>
          <cell r="C19">
            <v>667.78</v>
          </cell>
          <cell r="D19">
            <v>0</v>
          </cell>
          <cell r="E19">
            <v>188.81</v>
          </cell>
          <cell r="F19">
            <v>188.81</v>
          </cell>
          <cell r="G19">
            <v>-0.7172571805085507</v>
          </cell>
          <cell r="H19" t="e">
            <v>#DIV/0!</v>
          </cell>
          <cell r="I19">
            <v>0</v>
          </cell>
          <cell r="J19">
            <v>10.947213114754097</v>
          </cell>
          <cell r="K19">
            <v>3.0952459016393443</v>
          </cell>
          <cell r="R19" t="str">
            <v>Gr. Earnings</v>
          </cell>
          <cell r="S19">
            <v>2205.4700000000003</v>
          </cell>
          <cell r="T19">
            <v>3031.14</v>
          </cell>
          <cell r="U19">
            <v>622.47</v>
          </cell>
          <cell r="V19">
            <v>-2408.67</v>
          </cell>
          <cell r="W19">
            <v>-0.71776084009304142</v>
          </cell>
          <cell r="X19">
            <v>3.2369869453435063E-2</v>
          </cell>
          <cell r="Y19">
            <v>315.24459016393445</v>
          </cell>
          <cell r="Z19">
            <v>36.155245901639347</v>
          </cell>
          <cell r="AA19">
            <v>10.204426229508197</v>
          </cell>
        </row>
        <row r="20">
          <cell r="R20" t="str">
            <v>Suspense</v>
          </cell>
          <cell r="S20">
            <v>-30.57</v>
          </cell>
          <cell r="T20">
            <v>7</v>
          </cell>
          <cell r="U20">
            <v>-27.82</v>
          </cell>
          <cell r="V20">
            <v>-34.82</v>
          </cell>
          <cell r="W20">
            <v>-8.9957474648348051E-2</v>
          </cell>
          <cell r="X20">
            <v>-3.9742857142857142</v>
          </cell>
        </row>
        <row r="21">
          <cell r="R21" t="str">
            <v>Gross  Receipts</v>
          </cell>
          <cell r="S21">
            <v>2174.9</v>
          </cell>
          <cell r="T21">
            <v>3038.14</v>
          </cell>
          <cell r="U21">
            <v>594.65</v>
          </cell>
          <cell r="V21">
            <v>-2443.4899999999998</v>
          </cell>
          <cell r="W21">
            <v>-0.72658513035082073</v>
          </cell>
          <cell r="X21">
            <v>3.0911913133703312E-2</v>
          </cell>
        </row>
        <row r="22">
          <cell r="B22" t="str">
            <v xml:space="preserve">Indices for Originating Earnings </v>
          </cell>
          <cell r="R22" t="str">
            <v xml:space="preserve">Indices for apport.  earnings </v>
          </cell>
          <cell r="X22" t="str">
            <v xml:space="preserve">Apportionment shares (Rs. In crore) </v>
          </cell>
        </row>
        <row r="23">
          <cell r="C23" t="str">
            <v>Actual         2019-20</v>
          </cell>
          <cell r="D23" t="str">
            <v>Target        2020-21</v>
          </cell>
          <cell r="E23" t="str">
            <v>Target Growth</v>
          </cell>
          <cell r="F23" t="str">
            <v>Actual upto May'19</v>
          </cell>
          <cell r="G23" t="str">
            <v>BP upto May'20</v>
          </cell>
          <cell r="H23" t="str">
            <v>Actual upto May'20</v>
          </cell>
          <cell r="I23" t="str">
            <v xml:space="preserve"> Var over BP </v>
          </cell>
          <cell r="J23" t="str">
            <v>Actual Growth (%)</v>
          </cell>
          <cell r="R23" t="str">
            <v/>
          </cell>
          <cell r="S23" t="str">
            <v>Actual                 2019-20</v>
          </cell>
          <cell r="T23" t="str">
            <v>Actual upto May'19</v>
          </cell>
          <cell r="U23" t="str">
            <v>Actual upto May'20</v>
          </cell>
          <cell r="V23" t="str">
            <v>Actual Growth (%)</v>
          </cell>
          <cell r="Y23" t="str">
            <v>Actual upto May'19</v>
          </cell>
          <cell r="Z23" t="str">
            <v>Actual upto May'20</v>
          </cell>
          <cell r="AA23" t="str">
            <v>Actual Growth (%)</v>
          </cell>
        </row>
        <row r="24">
          <cell r="B24" t="str">
            <v>No. of orig. passng (Million)</v>
          </cell>
          <cell r="C24">
            <v>157.21</v>
          </cell>
          <cell r="D24">
            <v>0</v>
          </cell>
          <cell r="E24">
            <v>-1</v>
          </cell>
          <cell r="F24">
            <v>27.92</v>
          </cell>
          <cell r="G24">
            <v>0</v>
          </cell>
          <cell r="H24">
            <v>-0.32</v>
          </cell>
          <cell r="I24">
            <v>-0.32</v>
          </cell>
          <cell r="J24">
            <v>88.25</v>
          </cell>
          <cell r="R24" t="str">
            <v>No. of carried Paseng (million)</v>
          </cell>
          <cell r="S24">
            <v>362.04</v>
          </cell>
          <cell r="T24">
            <v>30.55</v>
          </cell>
          <cell r="U24">
            <v>-2.36</v>
          </cell>
          <cell r="V24">
            <v>-1.0772504091653028</v>
          </cell>
          <cell r="X24" t="str">
            <v xml:space="preserve">Goods </v>
          </cell>
        </row>
        <row r="25">
          <cell r="B25" t="str">
            <v>PRS pass</v>
          </cell>
          <cell r="C25">
            <v>23.41</v>
          </cell>
          <cell r="D25" t="str">
            <v>-</v>
          </cell>
          <cell r="E25" t="str">
            <v>-</v>
          </cell>
          <cell r="F25">
            <v>3.95</v>
          </cell>
          <cell r="G25" t="str">
            <v>NA</v>
          </cell>
          <cell r="H25">
            <v>-0.5</v>
          </cell>
          <cell r="J25">
            <v>8.9</v>
          </cell>
          <cell r="R25" t="str">
            <v>PKM (million)</v>
          </cell>
          <cell r="S25">
            <v>88637.119999999995</v>
          </cell>
          <cell r="T25">
            <v>7474.57</v>
          </cell>
          <cell r="U25">
            <v>-884.13</v>
          </cell>
          <cell r="V25">
            <v>-1.1182850652278324</v>
          </cell>
          <cell r="X25" t="str">
            <v xml:space="preserve">Inward </v>
          </cell>
          <cell r="Y25">
            <v>1201.2</v>
          </cell>
          <cell r="Z25">
            <v>586.22</v>
          </cell>
          <cell r="AA25">
            <v>-0.51197136197136195</v>
          </cell>
        </row>
        <row r="26">
          <cell r="B26" t="str">
            <v>Non PRS pass</v>
          </cell>
          <cell r="C26">
            <v>14.75</v>
          </cell>
          <cell r="D26" t="str">
            <v>-</v>
          </cell>
          <cell r="F26">
            <v>23.97</v>
          </cell>
          <cell r="G26" t="str">
            <v>NA</v>
          </cell>
          <cell r="H26">
            <v>0.18</v>
          </cell>
          <cell r="J26">
            <v>-132.16666666666666</v>
          </cell>
          <cell r="R26" t="str">
            <v>No. of Mail/Exp trains</v>
          </cell>
          <cell r="S26">
            <v>121342</v>
          </cell>
          <cell r="T26" t="str">
            <v>N.A</v>
          </cell>
          <cell r="U26" t="str">
            <v>N.A</v>
          </cell>
          <cell r="V26" t="e">
            <v>#VALUE!</v>
          </cell>
          <cell r="X26" t="str">
            <v xml:space="preserve">Outward </v>
          </cell>
          <cell r="Y26">
            <v>134.72</v>
          </cell>
          <cell r="Z26">
            <v>134.57</v>
          </cell>
          <cell r="AA26">
            <v>-1.1134204275534865E-3</v>
          </cell>
        </row>
        <row r="27">
          <cell r="B27" t="str">
            <v>Orig Loading (MT)</v>
          </cell>
          <cell r="C27">
            <v>14.75</v>
          </cell>
          <cell r="D27">
            <v>0</v>
          </cell>
          <cell r="E27">
            <v>-1</v>
          </cell>
          <cell r="F27">
            <v>2.63</v>
          </cell>
          <cell r="G27">
            <v>0</v>
          </cell>
          <cell r="H27">
            <v>1.79</v>
          </cell>
          <cell r="I27">
            <v>1.79</v>
          </cell>
          <cell r="J27">
            <v>-0.46927374301675967</v>
          </cell>
          <cell r="R27" t="str">
            <v>No. of Pass. trains</v>
          </cell>
          <cell r="S27">
            <v>76031</v>
          </cell>
          <cell r="T27" t="str">
            <v>N.A</v>
          </cell>
          <cell r="U27" t="str">
            <v>N.A</v>
          </cell>
          <cell r="V27" t="e">
            <v>#VALUE!</v>
          </cell>
          <cell r="X27" t="str">
            <v xml:space="preserve">Net </v>
          </cell>
          <cell r="Y27">
            <v>1066.48</v>
          </cell>
          <cell r="Z27">
            <v>451.65000000000003</v>
          </cell>
          <cell r="AA27">
            <v>-0.57650401320231037</v>
          </cell>
        </row>
        <row r="28">
          <cell r="B28" t="str">
            <v>Wagon Turn round       (days)</v>
          </cell>
          <cell r="C28">
            <v>1.94</v>
          </cell>
          <cell r="D28">
            <v>2.5</v>
          </cell>
          <cell r="E28">
            <v>0.28865979381443302</v>
          </cell>
          <cell r="F28">
            <v>1.92</v>
          </cell>
          <cell r="G28">
            <v>0</v>
          </cell>
          <cell r="H28">
            <v>2.93</v>
          </cell>
          <cell r="I28">
            <v>2.93</v>
          </cell>
          <cell r="J28">
            <v>0.52604166666666685</v>
          </cell>
          <cell r="R28" t="str">
            <v>No. of trains diverted</v>
          </cell>
          <cell r="S28">
            <v>2272</v>
          </cell>
          <cell r="T28" t="str">
            <v>N.A</v>
          </cell>
          <cell r="U28" t="str">
            <v>N.A</v>
          </cell>
          <cell r="V28" t="e">
            <v>#VALUE!</v>
          </cell>
          <cell r="X28" t="str">
            <v>Passenger</v>
          </cell>
        </row>
        <row r="29">
          <cell r="B29" t="str">
            <v>Wagon km / day</v>
          </cell>
          <cell r="C29">
            <v>254</v>
          </cell>
          <cell r="D29">
            <v>250</v>
          </cell>
          <cell r="E29">
            <v>-1.5748031496062992E-2</v>
          </cell>
          <cell r="F29">
            <v>268</v>
          </cell>
          <cell r="G29">
            <v>0</v>
          </cell>
          <cell r="H29">
            <v>152</v>
          </cell>
          <cell r="J29">
            <v>-0.43283582089552236</v>
          </cell>
          <cell r="R29" t="str">
            <v>Carried Tonnes (MT)</v>
          </cell>
          <cell r="S29">
            <v>144.71</v>
          </cell>
          <cell r="T29">
            <v>12.08</v>
          </cell>
          <cell r="U29">
            <v>5.49</v>
          </cell>
          <cell r="V29">
            <v>-0.54552980132450335</v>
          </cell>
          <cell r="X29" t="str">
            <v>Inward</v>
          </cell>
          <cell r="Y29">
            <v>596.96</v>
          </cell>
          <cell r="Z29">
            <v>-36.700000000000003</v>
          </cell>
          <cell r="AA29">
            <v>-1.0614781559903512</v>
          </cell>
        </row>
        <row r="30">
          <cell r="B30" t="str">
            <v>NTKM/wagon day</v>
          </cell>
          <cell r="C30">
            <v>9003</v>
          </cell>
          <cell r="D30">
            <v>8500</v>
          </cell>
          <cell r="E30">
            <v>-5.5870265467066534E-2</v>
          </cell>
          <cell r="F30">
            <v>9619</v>
          </cell>
          <cell r="G30" t="str">
            <v>NA</v>
          </cell>
          <cell r="H30">
            <v>4308</v>
          </cell>
          <cell r="I30" t="e">
            <v>#VALUE!</v>
          </cell>
          <cell r="J30">
            <v>-0.55213639671483528</v>
          </cell>
          <cell r="R30" t="str">
            <v>Through Tonnage (MT)</v>
          </cell>
          <cell r="S30">
            <v>86.87</v>
          </cell>
          <cell r="T30">
            <v>7.38</v>
          </cell>
          <cell r="U30">
            <v>2.99</v>
          </cell>
          <cell r="V30">
            <v>-0.59485094850948506</v>
          </cell>
          <cell r="X30" t="str">
            <v>Outward</v>
          </cell>
          <cell r="Y30">
            <v>136.82</v>
          </cell>
          <cell r="Z30">
            <v>-20.5</v>
          </cell>
          <cell r="AA30">
            <v>-1.1498318959216489</v>
          </cell>
        </row>
        <row r="31">
          <cell r="C31" t="str">
            <v>Actual        2019-20</v>
          </cell>
          <cell r="D31" t="str">
            <v>Actual upto May'19</v>
          </cell>
          <cell r="E31" t="str">
            <v>Actual upto May'20</v>
          </cell>
          <cell r="F31" t="str">
            <v>Actual Growth (%)</v>
          </cell>
          <cell r="R31" t="str">
            <v xml:space="preserve">Loaded receipts </v>
          </cell>
          <cell r="S31">
            <v>6663</v>
          </cell>
          <cell r="T31">
            <v>6899</v>
          </cell>
          <cell r="U31">
            <v>3038</v>
          </cell>
          <cell r="V31">
            <v>-0.55964632555442817</v>
          </cell>
          <cell r="X31" t="str">
            <v xml:space="preserve">Net </v>
          </cell>
          <cell r="Y31">
            <v>460.14000000000004</v>
          </cell>
          <cell r="Z31">
            <v>-16.200000000000003</v>
          </cell>
          <cell r="AA31">
            <v>-1.0352066762289738</v>
          </cell>
        </row>
        <row r="32">
          <cell r="B32" t="str">
            <v>Orig. Frt.Lead (km)</v>
          </cell>
          <cell r="C32">
            <v>617</v>
          </cell>
          <cell r="D32">
            <v>571</v>
          </cell>
          <cell r="E32">
            <v>668</v>
          </cell>
          <cell r="F32">
            <v>0.16987740805604204</v>
          </cell>
          <cell r="R32" t="str">
            <v>Carried Lead (km)</v>
          </cell>
          <cell r="S32">
            <v>368</v>
          </cell>
          <cell r="T32">
            <v>368</v>
          </cell>
          <cell r="U32">
            <v>350</v>
          </cell>
          <cell r="V32">
            <v>-4.8913043478260872E-2</v>
          </cell>
        </row>
        <row r="33">
          <cell r="B33" t="str">
            <v>Orig. NTKM</v>
          </cell>
          <cell r="C33">
            <v>9093.3799999999992</v>
          </cell>
          <cell r="D33">
            <v>1502.3</v>
          </cell>
          <cell r="E33">
            <v>1195.42</v>
          </cell>
          <cell r="F33">
            <v>-0.20427344738068287</v>
          </cell>
          <cell r="R33" t="str">
            <v>Carried NTKM</v>
          </cell>
          <cell r="S33">
            <v>53274</v>
          </cell>
          <cell r="T33">
            <v>4446.4799999999996</v>
          </cell>
          <cell r="U33">
            <v>1920.55</v>
          </cell>
          <cell r="V33">
            <v>-0.56807407207498961</v>
          </cell>
        </row>
        <row r="34">
          <cell r="B34" t="str">
            <v xml:space="preserve">Avg. Frt. Rate </v>
          </cell>
          <cell r="C34">
            <v>157.21</v>
          </cell>
          <cell r="D34">
            <v>27.92</v>
          </cell>
          <cell r="E34">
            <v>-0.32</v>
          </cell>
          <cell r="F34">
            <v>-1.0114613180515759</v>
          </cell>
          <cell r="R34" t="str">
            <v>Throughput ( trains/day)</v>
          </cell>
          <cell r="S34">
            <v>419</v>
          </cell>
          <cell r="T34">
            <v>432</v>
          </cell>
          <cell r="U34">
            <v>193</v>
          </cell>
          <cell r="V34">
            <v>-0.5532407407407407</v>
          </cell>
        </row>
        <row r="35">
          <cell r="R35" t="str">
            <v>Throughput (8W /day)</v>
          </cell>
          <cell r="S35">
            <v>20680</v>
          </cell>
          <cell r="T35">
            <v>21477</v>
          </cell>
          <cell r="U35">
            <v>9128</v>
          </cell>
          <cell r="V35">
            <v>-0.57498719560460032</v>
          </cell>
        </row>
        <row r="36">
          <cell r="B36" t="str">
            <v xml:space="preserve">Commodity-wise </v>
          </cell>
          <cell r="C36" t="str">
            <v>Loading (MT)</v>
          </cell>
          <cell r="T36" t="str">
            <v>Details of Traffic Suspense</v>
          </cell>
        </row>
        <row r="37">
          <cell r="B37" t="str">
            <v>Commodity</v>
          </cell>
          <cell r="C37" t="str">
            <v>Actual 2019-20</v>
          </cell>
          <cell r="D37" t="str">
            <v>Target 2020-21</v>
          </cell>
          <cell r="E37" t="str">
            <v>Target Growth</v>
          </cell>
          <cell r="F37" t="str">
            <v>Actual upto May'19</v>
          </cell>
          <cell r="G37" t="str">
            <v>BP upto May'20</v>
          </cell>
          <cell r="H37" t="str">
            <v>Actual upto May'20</v>
          </cell>
          <cell r="I37" t="str">
            <v xml:space="preserve"> Var over BP </v>
          </cell>
          <cell r="J37" t="str">
            <v>Actual Growth (%)</v>
          </cell>
          <cell r="T37" t="str">
            <v xml:space="preserve">Item </v>
          </cell>
          <cell r="U37" t="str">
            <v>Opening Bal. on 1.4.20</v>
          </cell>
          <cell r="V37" t="str">
            <v>Target      2020-21</v>
          </cell>
          <cell r="W37" t="str">
            <v>As on April'19</v>
          </cell>
          <cell r="X37" t="str">
            <v>As on Mar'20</v>
          </cell>
          <cell r="Y37" t="str">
            <v>As on April'20</v>
          </cell>
          <cell r="Z37" t="str">
            <v xml:space="preserve">Var over prev. month </v>
          </cell>
          <cell r="AA37" t="str">
            <v>Var over COPPY</v>
          </cell>
          <cell r="AB37" t="str">
            <v>Var over OB (March'19)</v>
          </cell>
        </row>
        <row r="38">
          <cell r="B38" t="str">
            <v>Cement</v>
          </cell>
          <cell r="C38">
            <v>2.61</v>
          </cell>
          <cell r="D38">
            <v>0</v>
          </cell>
          <cell r="E38">
            <v>-1</v>
          </cell>
          <cell r="F38">
            <v>0.5</v>
          </cell>
          <cell r="G38">
            <v>0</v>
          </cell>
          <cell r="H38">
            <v>0.2</v>
          </cell>
          <cell r="I38">
            <v>0.2</v>
          </cell>
          <cell r="J38">
            <v>-0.6</v>
          </cell>
          <cell r="T38" t="str">
            <v>Freight O/s</v>
          </cell>
          <cell r="U38">
            <v>1.63</v>
          </cell>
          <cell r="V38">
            <v>0</v>
          </cell>
          <cell r="W38">
            <v>0.01</v>
          </cell>
          <cell r="X38">
            <v>1.0900000000000001</v>
          </cell>
          <cell r="Y38">
            <v>1.0900000000000001</v>
          </cell>
          <cell r="Z38">
            <v>0</v>
          </cell>
          <cell r="AA38">
            <v>1.08</v>
          </cell>
          <cell r="AB38">
            <v>-0.53999999999999981</v>
          </cell>
        </row>
        <row r="39">
          <cell r="B39" t="str">
            <v>F. Grains</v>
          </cell>
          <cell r="C39">
            <v>0.98</v>
          </cell>
          <cell r="D39">
            <v>0</v>
          </cell>
          <cell r="E39">
            <v>-1</v>
          </cell>
          <cell r="F39">
            <v>0.15</v>
          </cell>
          <cell r="G39">
            <v>0</v>
          </cell>
          <cell r="H39">
            <v>0.18</v>
          </cell>
          <cell r="I39">
            <v>0.18</v>
          </cell>
          <cell r="J39">
            <v>0.2</v>
          </cell>
          <cell r="T39" t="str">
            <v>Admitted Debit</v>
          </cell>
          <cell r="U39">
            <v>1.02</v>
          </cell>
          <cell r="V39">
            <v>0</v>
          </cell>
          <cell r="W39">
            <v>1.02</v>
          </cell>
          <cell r="X39">
            <v>1.67</v>
          </cell>
          <cell r="Y39">
            <v>1.63</v>
          </cell>
          <cell r="Z39">
            <v>-4.0000000000000036E-2</v>
          </cell>
          <cell r="AA39">
            <v>0.60999999999999988</v>
          </cell>
          <cell r="AB39">
            <v>0.60999999999999988</v>
          </cell>
        </row>
        <row r="40">
          <cell r="B40" t="str">
            <v>Fertilisers</v>
          </cell>
          <cell r="C40">
            <v>0.71</v>
          </cell>
          <cell r="D40">
            <v>0</v>
          </cell>
          <cell r="E40">
            <v>-1</v>
          </cell>
          <cell r="F40">
            <v>0.12</v>
          </cell>
          <cell r="G40">
            <v>0</v>
          </cell>
          <cell r="H40">
            <v>0.09</v>
          </cell>
          <cell r="I40">
            <v>0.09</v>
          </cell>
          <cell r="J40">
            <v>-0.25</v>
          </cell>
          <cell r="T40" t="str">
            <v>Objected Debit</v>
          </cell>
          <cell r="U40">
            <v>2.4</v>
          </cell>
          <cell r="V40">
            <v>0</v>
          </cell>
          <cell r="W40">
            <v>2.3199999999999998</v>
          </cell>
          <cell r="X40">
            <v>2.39</v>
          </cell>
          <cell r="Y40">
            <v>2.41</v>
          </cell>
          <cell r="Z40">
            <v>2.0000000000000018E-2</v>
          </cell>
          <cell r="AA40">
            <v>9.0000000000000302E-2</v>
          </cell>
          <cell r="AB40">
            <v>1.0000000000000231E-2</v>
          </cell>
        </row>
        <row r="41">
          <cell r="B41" t="str">
            <v>P.O.L.</v>
          </cell>
          <cell r="C41">
            <v>6.07</v>
          </cell>
          <cell r="D41">
            <v>0</v>
          </cell>
          <cell r="E41">
            <v>-1</v>
          </cell>
          <cell r="F41">
            <v>1.0900000000000001</v>
          </cell>
          <cell r="G41">
            <v>0</v>
          </cell>
          <cell r="H41">
            <v>0.91</v>
          </cell>
          <cell r="I41">
            <v>0.91</v>
          </cell>
          <cell r="J41">
            <v>-0.16513761467889912</v>
          </cell>
          <cell r="T41" t="str">
            <v>Wharf/Demmur.</v>
          </cell>
          <cell r="U41">
            <v>4.51</v>
          </cell>
          <cell r="V41">
            <v>0</v>
          </cell>
          <cell r="W41">
            <v>6.54</v>
          </cell>
          <cell r="X41">
            <v>7.51</v>
          </cell>
          <cell r="Y41">
            <v>8.5399999999999991</v>
          </cell>
          <cell r="Z41">
            <v>1.0299999999999994</v>
          </cell>
          <cell r="AA41">
            <v>1.9999999999999991</v>
          </cell>
          <cell r="AB41">
            <v>4.0299999999999994</v>
          </cell>
        </row>
        <row r="42">
          <cell r="B42" t="str">
            <v>Container</v>
          </cell>
          <cell r="C42">
            <v>2.21</v>
          </cell>
          <cell r="D42">
            <v>0</v>
          </cell>
          <cell r="E42">
            <v>-1</v>
          </cell>
          <cell r="F42">
            <v>0.37</v>
          </cell>
          <cell r="G42">
            <v>0</v>
          </cell>
          <cell r="H42">
            <v>0.21</v>
          </cell>
          <cell r="I42">
            <v>0.21</v>
          </cell>
          <cell r="J42">
            <v>-0.43243243243243246</v>
          </cell>
          <cell r="T42" t="str">
            <v xml:space="preserve">Siding/Shunting </v>
          </cell>
          <cell r="U42">
            <v>1.1499999999999999</v>
          </cell>
          <cell r="V42">
            <v>0</v>
          </cell>
          <cell r="W42">
            <v>1.76</v>
          </cell>
          <cell r="X42">
            <v>1.87</v>
          </cell>
          <cell r="Y42">
            <v>2.35</v>
          </cell>
          <cell r="Z42">
            <v>0.48</v>
          </cell>
          <cell r="AA42">
            <v>0.59000000000000008</v>
          </cell>
          <cell r="AB42">
            <v>1.2000000000000002</v>
          </cell>
        </row>
        <row r="43">
          <cell r="B43" t="str">
            <v>Others</v>
          </cell>
          <cell r="C43">
            <v>2.17</v>
          </cell>
          <cell r="D43">
            <v>0</v>
          </cell>
          <cell r="E43">
            <v>-1</v>
          </cell>
          <cell r="F43">
            <v>0.4</v>
          </cell>
          <cell r="G43">
            <v>0</v>
          </cell>
          <cell r="H43">
            <v>0.2</v>
          </cell>
          <cell r="I43">
            <v>0.2</v>
          </cell>
          <cell r="J43">
            <v>-0.5</v>
          </cell>
          <cell r="T43" t="str">
            <v>Other Charges</v>
          </cell>
          <cell r="U43">
            <v>0.54</v>
          </cell>
          <cell r="V43">
            <v>0</v>
          </cell>
          <cell r="W43">
            <v>1</v>
          </cell>
          <cell r="X43">
            <v>3.79</v>
          </cell>
          <cell r="Y43">
            <v>3.9299999999999997</v>
          </cell>
          <cell r="Z43">
            <v>0.13999999999999968</v>
          </cell>
          <cell r="AA43">
            <v>2.9299999999999997</v>
          </cell>
          <cell r="AB43">
            <v>3.3899999999999997</v>
          </cell>
        </row>
        <row r="44">
          <cell r="B44" t="str">
            <v>Total Loading</v>
          </cell>
          <cell r="C44">
            <v>14.750000000000002</v>
          </cell>
          <cell r="D44">
            <v>0</v>
          </cell>
          <cell r="E44">
            <v>-1</v>
          </cell>
          <cell r="F44">
            <v>2.63</v>
          </cell>
          <cell r="G44">
            <v>0</v>
          </cell>
          <cell r="H44">
            <v>1.7899999999999998</v>
          </cell>
          <cell r="I44">
            <v>1.7899999999999998</v>
          </cell>
          <cell r="J44">
            <v>-0.31939163498098866</v>
          </cell>
          <cell r="T44" t="str">
            <v>Total Station O/S</v>
          </cell>
          <cell r="U44">
            <v>11.25</v>
          </cell>
          <cell r="V44">
            <v>0</v>
          </cell>
          <cell r="W44">
            <v>12.65</v>
          </cell>
          <cell r="X44">
            <v>18.32</v>
          </cell>
          <cell r="Y44">
            <v>19.95</v>
          </cell>
          <cell r="Z44">
            <v>1.629999999999999</v>
          </cell>
          <cell r="AA44">
            <v>7.2999999999999989</v>
          </cell>
          <cell r="AB44">
            <v>8.6999999999999993</v>
          </cell>
        </row>
        <row r="45">
          <cell r="T45" t="str">
            <v>Cash in Transit</v>
          </cell>
          <cell r="U45">
            <v>0</v>
          </cell>
          <cell r="V45">
            <v>0</v>
          </cell>
          <cell r="W45">
            <v>0.44</v>
          </cell>
          <cell r="X45">
            <v>0</v>
          </cell>
          <cell r="Y45">
            <v>5.08</v>
          </cell>
          <cell r="Z45">
            <v>5.08</v>
          </cell>
          <cell r="AA45">
            <v>4.6399999999999997</v>
          </cell>
          <cell r="AB45">
            <v>5.08</v>
          </cell>
        </row>
        <row r="46">
          <cell r="C46" t="str">
            <v>Avg Lead</v>
          </cell>
          <cell r="F46" t="str">
            <v xml:space="preserve">Avg. Rate </v>
          </cell>
          <cell r="I46" t="str">
            <v xml:space="preserve">Orig. Earning </v>
          </cell>
          <cell r="T46" t="str">
            <v xml:space="preserve">Vouch. in transit </v>
          </cell>
          <cell r="U46">
            <v>0</v>
          </cell>
          <cell r="V46">
            <v>0</v>
          </cell>
          <cell r="W46">
            <v>5.1100000000000003</v>
          </cell>
          <cell r="X46">
            <v>0</v>
          </cell>
          <cell r="Y46">
            <v>4.2</v>
          </cell>
          <cell r="Z46">
            <v>4.2</v>
          </cell>
          <cell r="AA46">
            <v>-0.91000000000000014</v>
          </cell>
          <cell r="AB46">
            <v>4.2</v>
          </cell>
        </row>
        <row r="47">
          <cell r="B47" t="str">
            <v>Commodity</v>
          </cell>
          <cell r="C47" t="str">
            <v>Actual upto May'19</v>
          </cell>
          <cell r="D47" t="str">
            <v>Actual upto May'20</v>
          </cell>
          <cell r="E47" t="str">
            <v xml:space="preserve">Growth </v>
          </cell>
          <cell r="F47" t="str">
            <v>Actual upto May'19</v>
          </cell>
          <cell r="G47" t="str">
            <v>Actual upto May'20</v>
          </cell>
          <cell r="H47" t="str">
            <v xml:space="preserve">Growth </v>
          </cell>
          <cell r="I47" t="str">
            <v>Actual upto May'19</v>
          </cell>
          <cell r="J47" t="str">
            <v>Actual upto May'20</v>
          </cell>
          <cell r="K47" t="str">
            <v xml:space="preserve">Growth </v>
          </cell>
          <cell r="T47" t="str">
            <v>AOB</v>
          </cell>
          <cell r="U47">
            <v>0</v>
          </cell>
          <cell r="V47">
            <v>0</v>
          </cell>
          <cell r="W47">
            <v>0.45</v>
          </cell>
          <cell r="X47">
            <v>0</v>
          </cell>
          <cell r="Y47">
            <v>0.02</v>
          </cell>
          <cell r="Z47">
            <v>0.02</v>
          </cell>
          <cell r="AA47">
            <v>-0.43</v>
          </cell>
          <cell r="AB47">
            <v>0.02</v>
          </cell>
        </row>
        <row r="48">
          <cell r="B48" t="str">
            <v>Cement</v>
          </cell>
          <cell r="C48">
            <v>322</v>
          </cell>
          <cell r="D48">
            <v>321</v>
          </cell>
          <cell r="E48">
            <v>-3.105590062111801E-3</v>
          </cell>
          <cell r="F48">
            <v>1.72</v>
          </cell>
          <cell r="G48">
            <v>1.58</v>
          </cell>
          <cell r="H48">
            <v>-8.1395348837209253E-2</v>
          </cell>
          <cell r="I48">
            <v>27.72</v>
          </cell>
          <cell r="J48">
            <v>10.18</v>
          </cell>
          <cell r="K48">
            <v>-0.63275613275613274</v>
          </cell>
          <cell r="T48" t="str">
            <v>Demands Recov.</v>
          </cell>
          <cell r="U48">
            <v>11.27</v>
          </cell>
          <cell r="V48">
            <v>0</v>
          </cell>
          <cell r="W48">
            <v>12.59</v>
          </cell>
          <cell r="X48">
            <v>10.47</v>
          </cell>
          <cell r="Y48">
            <v>10.47</v>
          </cell>
          <cell r="Z48">
            <v>0</v>
          </cell>
          <cell r="AA48">
            <v>-2.1199999999999992</v>
          </cell>
          <cell r="AB48">
            <v>-0.79999999999999893</v>
          </cell>
        </row>
        <row r="49">
          <cell r="B49" t="str">
            <v>F. Grains</v>
          </cell>
          <cell r="C49">
            <v>1474</v>
          </cell>
          <cell r="D49">
            <v>1143</v>
          </cell>
          <cell r="E49">
            <v>-0.22455902306648576</v>
          </cell>
          <cell r="F49">
            <v>1.42</v>
          </cell>
          <cell r="G49">
            <v>1.21</v>
          </cell>
          <cell r="H49">
            <v>-0.14788732394366194</v>
          </cell>
          <cell r="I49">
            <v>31.34</v>
          </cell>
          <cell r="J49">
            <v>24.83</v>
          </cell>
          <cell r="K49">
            <v>-0.20772176132737721</v>
          </cell>
          <cell r="T49" t="str">
            <v xml:space="preserve">Total </v>
          </cell>
          <cell r="U49">
            <v>22.52</v>
          </cell>
          <cell r="V49">
            <v>15.52</v>
          </cell>
          <cell r="W49">
            <v>31.24</v>
          </cell>
          <cell r="X49">
            <v>28.79</v>
          </cell>
          <cell r="Y49">
            <v>39.72</v>
          </cell>
          <cell r="Z49">
            <v>10.93</v>
          </cell>
          <cell r="AA49">
            <v>8.48</v>
          </cell>
          <cell r="AB49">
            <v>17.2</v>
          </cell>
        </row>
        <row r="50">
          <cell r="B50" t="str">
            <v>Fertilisers</v>
          </cell>
          <cell r="C50">
            <v>410</v>
          </cell>
          <cell r="D50">
            <v>383</v>
          </cell>
          <cell r="E50">
            <v>-6.5853658536585369E-2</v>
          </cell>
          <cell r="F50">
            <v>1.65</v>
          </cell>
          <cell r="G50">
            <v>1.43</v>
          </cell>
          <cell r="H50">
            <v>-0.13333333333333333</v>
          </cell>
          <cell r="I50">
            <v>8.1199999999999992</v>
          </cell>
          <cell r="J50">
            <v>4.9400000000000004</v>
          </cell>
          <cell r="K50">
            <v>-0.39162561576354671</v>
          </cell>
        </row>
        <row r="51">
          <cell r="B51" t="str">
            <v>P.O.L.</v>
          </cell>
          <cell r="C51">
            <v>496</v>
          </cell>
          <cell r="D51">
            <v>659</v>
          </cell>
          <cell r="E51">
            <v>0.3286290322580645</v>
          </cell>
          <cell r="F51">
            <v>2.12</v>
          </cell>
          <cell r="G51">
            <v>2.06</v>
          </cell>
          <cell r="H51">
            <v>-2.8301886792452855E-2</v>
          </cell>
          <cell r="I51">
            <v>114.3</v>
          </cell>
          <cell r="J51">
            <v>123.75</v>
          </cell>
          <cell r="K51">
            <v>8.2677165354330742E-2</v>
          </cell>
        </row>
        <row r="52">
          <cell r="B52" t="str">
            <v>Container</v>
          </cell>
          <cell r="C52">
            <v>1001</v>
          </cell>
          <cell r="D52">
            <v>977</v>
          </cell>
          <cell r="E52">
            <v>-2.3976023976023976E-2</v>
          </cell>
          <cell r="F52">
            <v>0.22</v>
          </cell>
          <cell r="G52">
            <v>1.18</v>
          </cell>
          <cell r="H52">
            <v>4.3636363636363633</v>
          </cell>
          <cell r="I52">
            <v>8.15</v>
          </cell>
          <cell r="J52">
            <v>24.13</v>
          </cell>
          <cell r="K52">
            <v>1.9607361963190182</v>
          </cell>
        </row>
        <row r="53">
          <cell r="B53" t="str">
            <v>Others</v>
          </cell>
          <cell r="C53">
            <v>400</v>
          </cell>
          <cell r="D53">
            <v>431</v>
          </cell>
          <cell r="E53">
            <v>7.7499999999999999E-2</v>
          </cell>
          <cell r="F53">
            <v>1.75</v>
          </cell>
          <cell r="G53">
            <v>1.5</v>
          </cell>
          <cell r="H53">
            <v>-0.14285714285714285</v>
          </cell>
          <cell r="I53">
            <v>28</v>
          </cell>
          <cell r="J53">
            <v>12.92</v>
          </cell>
          <cell r="K53">
            <v>-0.53857142857142859</v>
          </cell>
        </row>
        <row r="54">
          <cell r="B54" t="str">
            <v xml:space="preserve">Total </v>
          </cell>
          <cell r="C54">
            <v>571</v>
          </cell>
          <cell r="D54">
            <v>668</v>
          </cell>
          <cell r="E54">
            <v>0.16987740805604204</v>
          </cell>
          <cell r="F54">
            <v>1.45</v>
          </cell>
          <cell r="G54">
            <v>1.68</v>
          </cell>
          <cell r="H54">
            <v>0.1586206896551724</v>
          </cell>
          <cell r="I54">
            <v>217.63000000000002</v>
          </cell>
          <cell r="J54">
            <v>200.75</v>
          </cell>
          <cell r="K54">
            <v>-7.7562836006065436E-2</v>
          </cell>
          <cell r="V54" t="str">
            <v xml:space="preserve">   NCR / Allahabad</v>
          </cell>
        </row>
        <row r="55">
          <cell r="D55" t="str">
            <v>APR</v>
          </cell>
          <cell r="E55" t="str">
            <v>MAY</v>
          </cell>
          <cell r="F55" t="str">
            <v>JUN</v>
          </cell>
          <cell r="G55" t="str">
            <v>JUL</v>
          </cell>
          <cell r="H55" t="str">
            <v>Aug</v>
          </cell>
          <cell r="I55" t="str">
            <v>Sep</v>
          </cell>
          <cell r="J55" t="str">
            <v>OCT</v>
          </cell>
          <cell r="K55" t="str">
            <v>NOV</v>
          </cell>
          <cell r="L55" t="str">
            <v>DEC</v>
          </cell>
          <cell r="R55" t="str">
            <v>APR</v>
          </cell>
          <cell r="S55" t="str">
            <v>MAY</v>
          </cell>
          <cell r="T55" t="str">
            <v>JUN</v>
          </cell>
          <cell r="U55" t="str">
            <v>JUL</v>
          </cell>
          <cell r="V55" t="str">
            <v>Aug</v>
          </cell>
          <cell r="W55" t="str">
            <v>Sep</v>
          </cell>
          <cell r="X55" t="str">
            <v>OCT</v>
          </cell>
          <cell r="Y55" t="str">
            <v>NOV</v>
          </cell>
          <cell r="Z55" t="str">
            <v>DEC</v>
          </cell>
          <cell r="AA55" t="str">
            <v>JAN</v>
          </cell>
          <cell r="AB55" t="str">
            <v>FEB</v>
          </cell>
          <cell r="AC55" t="str">
            <v>MAR</v>
          </cell>
        </row>
        <row r="56">
          <cell r="B56" t="str">
            <v xml:space="preserve">Passenger Earning  </v>
          </cell>
          <cell r="C56" t="str">
            <v>2019-20</v>
          </cell>
          <cell r="D56">
            <v>409.22</v>
          </cell>
          <cell r="E56">
            <v>428.68</v>
          </cell>
          <cell r="F56">
            <v>443.4</v>
          </cell>
          <cell r="G56">
            <v>478.05</v>
          </cell>
          <cell r="H56">
            <v>415</v>
          </cell>
          <cell r="I56">
            <v>392.3</v>
          </cell>
          <cell r="J56">
            <v>344.65</v>
          </cell>
          <cell r="K56">
            <v>449.89</v>
          </cell>
          <cell r="L56">
            <v>396.82</v>
          </cell>
          <cell r="P56" t="str">
            <v>Other Coach.</v>
          </cell>
          <cell r="Q56" t="str">
            <v>2019-20</v>
          </cell>
          <cell r="R56">
            <v>14.07</v>
          </cell>
          <cell r="S56">
            <v>10.69</v>
          </cell>
          <cell r="T56">
            <v>14.36</v>
          </cell>
          <cell r="U56">
            <v>8.9499999999999993</v>
          </cell>
          <cell r="V56">
            <v>27.68</v>
          </cell>
          <cell r="W56">
            <v>2.44</v>
          </cell>
          <cell r="X56">
            <v>23.88</v>
          </cell>
          <cell r="Y56">
            <v>-6.549651583990782E-3</v>
          </cell>
          <cell r="Z56">
            <v>8.4</v>
          </cell>
          <cell r="AA56">
            <v>18.05</v>
          </cell>
          <cell r="AB56">
            <v>18.43</v>
          </cell>
          <cell r="AC56">
            <v>17.350000000000001</v>
          </cell>
        </row>
        <row r="57">
          <cell r="C57" t="str">
            <v>2020-21</v>
          </cell>
          <cell r="D57">
            <v>-56.66</v>
          </cell>
          <cell r="E57">
            <v>17.54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Q57" t="str">
            <v>2020-21</v>
          </cell>
          <cell r="R57">
            <v>0.33</v>
          </cell>
          <cell r="S57">
            <v>1.62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B58" t="str">
            <v>Goods Earning</v>
          </cell>
          <cell r="C58" t="str">
            <v>2019-20</v>
          </cell>
          <cell r="D58">
            <v>652.63</v>
          </cell>
          <cell r="E58">
            <v>654.5</v>
          </cell>
          <cell r="F58">
            <v>676.55</v>
          </cell>
          <cell r="G58">
            <v>740.98</v>
          </cell>
          <cell r="H58">
            <v>628.20000000000005</v>
          </cell>
          <cell r="I58">
            <v>604.94000000000005</v>
          </cell>
          <cell r="J58">
            <v>665.11</v>
          </cell>
          <cell r="K58">
            <v>658.27</v>
          </cell>
          <cell r="L58">
            <v>769.5</v>
          </cell>
          <cell r="P58" t="str">
            <v>Sundry</v>
          </cell>
          <cell r="Q58" t="str">
            <v>2019-20</v>
          </cell>
          <cell r="R58">
            <v>10.11</v>
          </cell>
          <cell r="S58">
            <v>12.1</v>
          </cell>
          <cell r="T58">
            <v>13.97</v>
          </cell>
          <cell r="U58">
            <v>14.62</v>
          </cell>
          <cell r="V58">
            <v>17.52</v>
          </cell>
          <cell r="W58">
            <v>11.24</v>
          </cell>
          <cell r="X58">
            <v>9.94</v>
          </cell>
          <cell r="Y58">
            <v>6.46</v>
          </cell>
          <cell r="Z58">
            <v>16.05</v>
          </cell>
          <cell r="AA58">
            <v>21.33</v>
          </cell>
          <cell r="AB58">
            <v>18.55</v>
          </cell>
          <cell r="AC58">
            <v>15.88</v>
          </cell>
        </row>
        <row r="59">
          <cell r="C59" t="str">
            <v>2020-21</v>
          </cell>
          <cell r="D59">
            <v>281.32</v>
          </cell>
          <cell r="E59">
            <v>371.34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Q59" t="str">
            <v>2020-21</v>
          </cell>
          <cell r="R59">
            <v>2.77</v>
          </cell>
          <cell r="S59">
            <v>4.2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7">
          <cell r="R67" t="str">
            <v>Cement</v>
          </cell>
          <cell r="T67">
            <v>69.680000000000007</v>
          </cell>
        </row>
        <row r="68">
          <cell r="R68" t="str">
            <v>F. Grains</v>
          </cell>
          <cell r="T68">
            <v>125.66</v>
          </cell>
        </row>
        <row r="69">
          <cell r="R69" t="str">
            <v>Fertilisers</v>
          </cell>
          <cell r="T69">
            <v>33.22</v>
          </cell>
        </row>
        <row r="70">
          <cell r="R70" t="str">
            <v>P.O.L.</v>
          </cell>
          <cell r="T70">
            <v>71.64</v>
          </cell>
        </row>
        <row r="71">
          <cell r="R71" t="str">
            <v>Container</v>
          </cell>
          <cell r="T71">
            <v>23.34</v>
          </cell>
        </row>
        <row r="72">
          <cell r="R72" t="str">
            <v>Others</v>
          </cell>
          <cell r="T72">
            <v>91.27</v>
          </cell>
        </row>
        <row r="73">
          <cell r="R73" t="str">
            <v>Coal</v>
          </cell>
          <cell r="T73">
            <v>239.02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view="pageBreakPreview" topLeftCell="N25" zoomScale="70" zoomScaleNormal="100" zoomScaleSheetLayoutView="70" workbookViewId="0">
      <selection activeCell="R12" sqref="R12"/>
    </sheetView>
  </sheetViews>
  <sheetFormatPr defaultColWidth="9.140625" defaultRowHeight="15" x14ac:dyDescent="0.2"/>
  <cols>
    <col min="1" max="1" width="17.140625" style="476" customWidth="1"/>
    <col min="2" max="2" width="11.140625" style="476" customWidth="1"/>
    <col min="3" max="3" width="10.28515625" style="522" customWidth="1"/>
    <col min="4" max="4" width="10.85546875" style="476" customWidth="1"/>
    <col min="5" max="5" width="11.28515625" style="476" customWidth="1"/>
    <col min="6" max="6" width="11" style="476" customWidth="1"/>
    <col min="7" max="7" width="15.85546875" style="476" customWidth="1"/>
    <col min="8" max="8" width="16" style="476" customWidth="1"/>
    <col min="9" max="9" width="13.42578125" style="476" customWidth="1"/>
    <col min="10" max="10" width="10.28515625" style="476" customWidth="1"/>
    <col min="11" max="11" width="9.85546875" style="476" customWidth="1"/>
    <col min="12" max="12" width="7.7109375" style="476" customWidth="1"/>
    <col min="13" max="13" width="12.5703125" style="476" customWidth="1"/>
    <col min="14" max="14" width="17.7109375" style="476" customWidth="1"/>
    <col min="15" max="15" width="14.42578125" style="476" customWidth="1"/>
    <col min="16" max="16" width="12.42578125" style="476" customWidth="1"/>
    <col min="17" max="17" width="14" style="476" customWidth="1"/>
    <col min="18" max="18" width="12.5703125" style="476" customWidth="1"/>
    <col min="19" max="19" width="11.7109375" style="476" bestFit="1" customWidth="1"/>
    <col min="20" max="20" width="10.42578125" style="476" customWidth="1"/>
    <col min="21" max="21" width="30.7109375" style="476" customWidth="1"/>
    <col min="22" max="22" width="10.7109375" style="523" customWidth="1"/>
    <col min="23" max="23" width="12" style="476" bestFit="1" customWidth="1"/>
    <col min="24" max="24" width="10.28515625" style="476" customWidth="1"/>
    <col min="25" max="25" width="10.5703125" style="524" customWidth="1"/>
    <col min="26" max="26" width="11" style="476" customWidth="1"/>
    <col min="27" max="27" width="9.7109375" style="476" customWidth="1"/>
    <col min="28" max="28" width="8.85546875" style="476" customWidth="1"/>
    <col min="29" max="29" width="8.85546875" style="519" customWidth="1"/>
    <col min="30" max="30" width="37.85546875" style="476" customWidth="1"/>
    <col min="31" max="31" width="14.85546875" style="476" customWidth="1"/>
    <col min="32" max="32" width="11.5703125" style="476" bestFit="1" customWidth="1"/>
    <col min="33" max="33" width="9.7109375" style="476" customWidth="1"/>
    <col min="34" max="34" width="10.85546875" style="476" customWidth="1"/>
    <col min="35" max="35" width="11.85546875" style="476" customWidth="1"/>
    <col min="36" max="36" width="9.5703125" style="476" customWidth="1"/>
    <col min="37" max="37" width="10.7109375" style="476" customWidth="1"/>
    <col min="38" max="38" width="11" style="476" customWidth="1"/>
    <col min="39" max="39" width="10.85546875" style="475" customWidth="1"/>
    <col min="40" max="40" width="16.28515625" style="476" customWidth="1"/>
    <col min="41" max="41" width="13.85546875" style="476" customWidth="1"/>
    <col min="42" max="42" width="43" style="476" customWidth="1"/>
    <col min="43" max="43" width="13.140625" style="476" customWidth="1"/>
    <col min="44" max="44" width="13.85546875" style="476" customWidth="1"/>
    <col min="45" max="45" width="11.5703125" style="476" customWidth="1"/>
    <col min="46" max="46" width="18.42578125" style="476" bestFit="1" customWidth="1"/>
    <col min="47" max="16384" width="9.140625" style="476"/>
  </cols>
  <sheetData>
    <row r="1" spans="1:46" ht="16.5" thickBot="1" x14ac:dyDescent="0.3">
      <c r="A1" s="865" t="s">
        <v>0</v>
      </c>
      <c r="B1" s="866"/>
      <c r="C1" s="866"/>
      <c r="D1" s="866"/>
      <c r="E1" s="866"/>
      <c r="F1" s="866"/>
      <c r="G1" s="866"/>
      <c r="H1" s="866"/>
      <c r="I1" s="866"/>
      <c r="J1" s="866"/>
      <c r="K1" s="866"/>
      <c r="L1" s="866"/>
      <c r="M1" s="866"/>
      <c r="N1" s="866"/>
      <c r="O1" s="866"/>
      <c r="P1" s="866"/>
      <c r="Q1" s="866"/>
      <c r="R1" s="866"/>
      <c r="S1" s="866"/>
      <c r="T1" s="870"/>
      <c r="U1" s="876" t="str">
        <f>+A2</f>
        <v xml:space="preserve">KEY STATISTICS TO END OF Dec-2021 (Actual.) </v>
      </c>
      <c r="V1" s="871"/>
      <c r="W1" s="871"/>
      <c r="X1" s="871"/>
      <c r="Y1" s="871"/>
      <c r="Z1" s="871"/>
      <c r="AA1" s="871"/>
      <c r="AB1" s="871"/>
      <c r="AC1" s="871"/>
      <c r="AD1" s="871"/>
      <c r="AE1" s="871"/>
      <c r="AF1" s="871"/>
      <c r="AG1" s="871"/>
      <c r="AH1" s="871"/>
      <c r="AI1" s="871"/>
      <c r="AJ1" s="871"/>
      <c r="AK1" s="871"/>
      <c r="AL1" s="877"/>
      <c r="AO1" s="857" t="s">
        <v>294</v>
      </c>
      <c r="AP1" s="796"/>
      <c r="AQ1" s="796"/>
      <c r="AR1" s="796"/>
      <c r="AS1" s="796"/>
    </row>
    <row r="2" spans="1:46" ht="16.5" thickBot="1" x14ac:dyDescent="0.3">
      <c r="A2" s="878" t="s">
        <v>431</v>
      </c>
      <c r="B2" s="815"/>
      <c r="C2" s="815"/>
      <c r="D2" s="815"/>
      <c r="E2" s="815"/>
      <c r="F2" s="815"/>
      <c r="G2" s="815"/>
      <c r="H2" s="815"/>
      <c r="I2" s="815"/>
      <c r="J2" s="815"/>
      <c r="K2" s="815"/>
      <c r="L2" s="815"/>
      <c r="M2" s="815"/>
      <c r="N2" s="815"/>
      <c r="O2" s="815"/>
      <c r="P2" s="815"/>
      <c r="Q2" s="815"/>
      <c r="R2" s="815"/>
      <c r="S2" s="815"/>
      <c r="T2" s="849"/>
      <c r="U2" s="865" t="s">
        <v>168</v>
      </c>
      <c r="V2" s="866"/>
      <c r="W2" s="866"/>
      <c r="X2" s="879" t="str">
        <f>+R4</f>
        <v>Dec-21 (Actual.)</v>
      </c>
      <c r="Y2" s="879"/>
      <c r="Z2" s="879"/>
      <c r="AA2" s="375" t="s">
        <v>169</v>
      </c>
      <c r="AB2" s="348"/>
      <c r="AC2" s="382"/>
      <c r="AD2" s="383"/>
      <c r="AE2" s="383"/>
      <c r="AF2" s="383"/>
      <c r="AG2" s="383"/>
      <c r="AH2" s="383"/>
      <c r="AI2" s="383"/>
      <c r="AJ2" s="383"/>
      <c r="AK2" s="383"/>
      <c r="AL2" s="384"/>
      <c r="AO2" s="858" t="s">
        <v>295</v>
      </c>
      <c r="AP2" s="858"/>
      <c r="AQ2" s="477" t="str">
        <f>+AH4</f>
        <v xml:space="preserve">  Upto 'Dec-21 (Actual.)</v>
      </c>
      <c r="AR2" s="478"/>
      <c r="AS2" s="478"/>
    </row>
    <row r="3" spans="1:46" ht="16.5" thickBot="1" x14ac:dyDescent="0.3">
      <c r="A3" s="865" t="s">
        <v>113</v>
      </c>
      <c r="B3" s="866"/>
      <c r="C3" s="866"/>
      <c r="D3" s="866"/>
      <c r="E3" s="866"/>
      <c r="F3" s="866"/>
      <c r="G3" s="866"/>
      <c r="H3" s="867" t="s">
        <v>4</v>
      </c>
      <c r="I3" s="868"/>
      <c r="J3" s="868"/>
      <c r="K3" s="868"/>
      <c r="L3" s="868"/>
      <c r="M3" s="869"/>
      <c r="N3" s="866" t="s">
        <v>114</v>
      </c>
      <c r="O3" s="866"/>
      <c r="P3" s="866"/>
      <c r="Q3" s="866"/>
      <c r="R3" s="866"/>
      <c r="S3" s="866"/>
      <c r="T3" s="870"/>
      <c r="U3" s="385"/>
      <c r="V3" s="386"/>
      <c r="W3" s="374"/>
      <c r="X3" s="374"/>
      <c r="Y3" s="673"/>
      <c r="Z3" s="871" t="s">
        <v>170</v>
      </c>
      <c r="AA3" s="871"/>
      <c r="AB3" s="872"/>
      <c r="AC3" s="873" t="s">
        <v>171</v>
      </c>
      <c r="AD3" s="874"/>
      <c r="AE3" s="874"/>
      <c r="AF3" s="874"/>
      <c r="AG3" s="874"/>
      <c r="AH3" s="874"/>
      <c r="AI3" s="874"/>
      <c r="AJ3" s="874"/>
      <c r="AK3" s="874"/>
      <c r="AL3" s="875"/>
      <c r="AS3" s="859" t="s">
        <v>296</v>
      </c>
      <c r="AT3" s="860"/>
    </row>
    <row r="4" spans="1:46" ht="32.25" customHeight="1" thickBot="1" x14ac:dyDescent="0.3">
      <c r="A4" s="881" t="s">
        <v>115</v>
      </c>
      <c r="B4" s="882"/>
      <c r="C4" s="882"/>
      <c r="D4" s="882"/>
      <c r="E4" s="882"/>
      <c r="F4" s="882"/>
      <c r="G4" s="883"/>
      <c r="H4" s="884" t="s">
        <v>115</v>
      </c>
      <c r="I4" s="885"/>
      <c r="J4" s="885"/>
      <c r="K4" s="885"/>
      <c r="L4" s="885"/>
      <c r="M4" s="886"/>
      <c r="N4" s="887" t="s">
        <v>114</v>
      </c>
      <c r="O4" s="888"/>
      <c r="P4" s="888"/>
      <c r="Q4" s="888"/>
      <c r="R4" s="889" t="s">
        <v>407</v>
      </c>
      <c r="S4" s="890"/>
      <c r="T4" s="891"/>
      <c r="U4" s="387" t="s">
        <v>172</v>
      </c>
      <c r="V4" s="388" t="s">
        <v>117</v>
      </c>
      <c r="W4" s="389" t="s">
        <v>117</v>
      </c>
      <c r="X4" s="679" t="s">
        <v>173</v>
      </c>
      <c r="Y4" s="692" t="str">
        <f>+Y23</f>
        <v>Actual</v>
      </c>
      <c r="Z4" s="469" t="s">
        <v>174</v>
      </c>
      <c r="AA4" s="861" t="s">
        <v>175</v>
      </c>
      <c r="AB4" s="861"/>
      <c r="AC4" s="693" t="s">
        <v>117</v>
      </c>
      <c r="AD4" s="647" t="s">
        <v>371</v>
      </c>
      <c r="AE4" s="862" t="s">
        <v>430</v>
      </c>
      <c r="AF4" s="863"/>
      <c r="AG4" s="864"/>
      <c r="AH4" s="861" t="s">
        <v>408</v>
      </c>
      <c r="AI4" s="861"/>
      <c r="AJ4" s="861"/>
      <c r="AK4" s="469" t="s">
        <v>177</v>
      </c>
      <c r="AL4" s="390" t="s">
        <v>178</v>
      </c>
      <c r="AN4" s="479" t="str">
        <f>+V4</f>
        <v>Actual</v>
      </c>
      <c r="AO4" s="480" t="s">
        <v>297</v>
      </c>
      <c r="AP4" s="480" t="s">
        <v>241</v>
      </c>
      <c r="AQ4" s="480" t="str">
        <f>+V23</f>
        <v>RG</v>
      </c>
      <c r="AR4" s="480" t="s">
        <v>298</v>
      </c>
      <c r="AS4" s="480" t="str">
        <f>+Y4</f>
        <v>Actual</v>
      </c>
      <c r="AT4" s="481" t="str">
        <f>+Z4</f>
        <v>Var</v>
      </c>
    </row>
    <row r="5" spans="1:46" ht="31.5" customHeight="1" x14ac:dyDescent="0.25">
      <c r="A5" s="310" t="s">
        <v>58</v>
      </c>
      <c r="B5" s="471" t="s">
        <v>116</v>
      </c>
      <c r="C5" s="482" t="s">
        <v>117</v>
      </c>
      <c r="D5" s="471" t="s">
        <v>116</v>
      </c>
      <c r="E5" s="471" t="s">
        <v>117</v>
      </c>
      <c r="F5" s="471" t="s">
        <v>118</v>
      </c>
      <c r="G5" s="311" t="s">
        <v>119</v>
      </c>
      <c r="H5" s="312"/>
      <c r="I5" s="313"/>
      <c r="J5" s="313"/>
      <c r="K5" s="313"/>
      <c r="L5" s="313"/>
      <c r="M5" s="313"/>
      <c r="N5" s="892" t="s">
        <v>120</v>
      </c>
      <c r="O5" s="893"/>
      <c r="P5" s="893"/>
      <c r="Q5" s="893"/>
      <c r="R5" s="893"/>
      <c r="S5" s="893"/>
      <c r="T5" s="894"/>
      <c r="U5" s="387"/>
      <c r="V5" s="391" t="str">
        <f>+O8</f>
        <v>2020-21</v>
      </c>
      <c r="W5" s="391" t="str">
        <f>+P8</f>
        <v>Dec-20</v>
      </c>
      <c r="X5" s="391" t="str">
        <f>+X24</f>
        <v>Dec-21</v>
      </c>
      <c r="Y5" s="391" t="str">
        <f>X5</f>
        <v>Dec-21</v>
      </c>
      <c r="Z5" s="469" t="s">
        <v>179</v>
      </c>
      <c r="AA5" s="861" t="s">
        <v>180</v>
      </c>
      <c r="AB5" s="861"/>
      <c r="AC5" s="392" t="s">
        <v>100</v>
      </c>
      <c r="AD5" s="469"/>
      <c r="AE5" s="469" t="s">
        <v>181</v>
      </c>
      <c r="AF5" s="573" t="s">
        <v>182</v>
      </c>
      <c r="AG5" s="469" t="s">
        <v>183</v>
      </c>
      <c r="AH5" s="740" t="s">
        <v>181</v>
      </c>
      <c r="AI5" s="740" t="s">
        <v>182</v>
      </c>
      <c r="AJ5" s="469" t="s">
        <v>183</v>
      </c>
      <c r="AK5" s="469" t="s">
        <v>184</v>
      </c>
      <c r="AL5" s="390" t="s">
        <v>185</v>
      </c>
      <c r="AN5" s="483" t="str">
        <f>+V5</f>
        <v>2020-21</v>
      </c>
      <c r="AO5" s="484" t="str">
        <f>+W5</f>
        <v>Dec-20</v>
      </c>
      <c r="AP5" s="485" t="s">
        <v>299</v>
      </c>
      <c r="AQ5" s="484" t="str">
        <f>+V24</f>
        <v>2021-22</v>
      </c>
      <c r="AR5" s="484" t="str">
        <f>+X5</f>
        <v>Dec-21</v>
      </c>
      <c r="AS5" s="485" t="str">
        <f>+Y5</f>
        <v>Dec-21</v>
      </c>
      <c r="AT5" s="486" t="s">
        <v>300</v>
      </c>
    </row>
    <row r="6" spans="1:46" ht="30" x14ac:dyDescent="0.25">
      <c r="A6" s="314"/>
      <c r="B6" s="694" t="s">
        <v>375</v>
      </c>
      <c r="C6" s="487" t="s">
        <v>356</v>
      </c>
      <c r="D6" s="315" t="s">
        <v>409</v>
      </c>
      <c r="E6" s="315" t="s">
        <v>409</v>
      </c>
      <c r="F6" s="311" t="s">
        <v>121</v>
      </c>
      <c r="G6" s="311" t="s">
        <v>122</v>
      </c>
      <c r="H6" s="312"/>
      <c r="I6" s="313"/>
      <c r="J6" s="313"/>
      <c r="K6" s="313"/>
      <c r="L6" s="313"/>
      <c r="M6" s="313"/>
      <c r="N6" s="895" t="s">
        <v>123</v>
      </c>
      <c r="O6" s="471" t="s">
        <v>124</v>
      </c>
      <c r="P6" s="471" t="s">
        <v>117</v>
      </c>
      <c r="Q6" s="311" t="s">
        <v>125</v>
      </c>
      <c r="R6" s="471" t="str">
        <f>+E5</f>
        <v>Actual</v>
      </c>
      <c r="S6" s="843" t="s">
        <v>126</v>
      </c>
      <c r="T6" s="896"/>
      <c r="U6" s="387">
        <v>1</v>
      </c>
      <c r="V6" s="388">
        <v>2</v>
      </c>
      <c r="W6" s="389">
        <v>3</v>
      </c>
      <c r="X6" s="679">
        <v>4</v>
      </c>
      <c r="Y6" s="692">
        <v>5</v>
      </c>
      <c r="Z6" s="469">
        <v>6</v>
      </c>
      <c r="AA6" s="861">
        <v>7</v>
      </c>
      <c r="AB6" s="861"/>
      <c r="AC6" s="658">
        <v>1</v>
      </c>
      <c r="AD6" s="469">
        <v>2</v>
      </c>
      <c r="AE6" s="469">
        <v>3</v>
      </c>
      <c r="AF6" s="469">
        <v>4</v>
      </c>
      <c r="AG6" s="469">
        <v>5</v>
      </c>
      <c r="AH6" s="740">
        <v>6</v>
      </c>
      <c r="AI6" s="740">
        <v>7</v>
      </c>
      <c r="AJ6" s="469">
        <v>8</v>
      </c>
      <c r="AK6" s="469">
        <v>9</v>
      </c>
      <c r="AL6" s="390">
        <v>10</v>
      </c>
      <c r="AN6" s="488">
        <v>1</v>
      </c>
      <c r="AO6" s="489">
        <v>2</v>
      </c>
      <c r="AP6" s="489">
        <v>3</v>
      </c>
      <c r="AQ6" s="489">
        <v>4</v>
      </c>
      <c r="AR6" s="489">
        <v>5</v>
      </c>
      <c r="AS6" s="489">
        <v>6</v>
      </c>
      <c r="AT6" s="490">
        <v>7</v>
      </c>
    </row>
    <row r="7" spans="1:46" ht="15.75" x14ac:dyDescent="0.25">
      <c r="A7" s="316" t="s">
        <v>127</v>
      </c>
      <c r="B7" s="317">
        <v>0</v>
      </c>
      <c r="C7" s="317">
        <v>0</v>
      </c>
      <c r="D7" s="317">
        <v>0</v>
      </c>
      <c r="E7" s="317">
        <v>0</v>
      </c>
      <c r="F7" s="317">
        <f t="shared" ref="F7:F15" si="0">+E7-D7</f>
        <v>0</v>
      </c>
      <c r="G7" s="317">
        <v>0</v>
      </c>
      <c r="H7" s="318"/>
      <c r="I7" s="313"/>
      <c r="J7" s="313"/>
      <c r="K7" s="313"/>
      <c r="L7" s="313"/>
      <c r="M7" s="313"/>
      <c r="N7" s="895"/>
      <c r="O7" s="471"/>
      <c r="P7" s="471" t="s">
        <v>128</v>
      </c>
      <c r="Q7" s="319" t="s">
        <v>128</v>
      </c>
      <c r="R7" s="471" t="s">
        <v>128</v>
      </c>
      <c r="S7" s="471" t="s">
        <v>116</v>
      </c>
      <c r="T7" s="320" t="s">
        <v>129</v>
      </c>
      <c r="U7" s="350" t="s">
        <v>186</v>
      </c>
      <c r="V7" s="393">
        <v>390.85</v>
      </c>
      <c r="W7" s="393">
        <v>30.88</v>
      </c>
      <c r="X7" s="317">
        <v>34.94</v>
      </c>
      <c r="Y7" s="393">
        <v>33.909999999999997</v>
      </c>
      <c r="Z7" s="317">
        <f>+Y7-X7</f>
        <v>-1.0300000000000011</v>
      </c>
      <c r="AA7" s="880">
        <f t="shared" ref="AA7:AA20" si="1">SUM(Y7-W7)/W7*100</f>
        <v>9.8121761658031001</v>
      </c>
      <c r="AB7" s="880">
        <f t="shared" ref="AB7:AB20" si="2">SUM(Y7-W7)/W7*100</f>
        <v>9.8121761658031001</v>
      </c>
      <c r="AC7" s="326">
        <v>3.75</v>
      </c>
      <c r="AD7" s="763" t="s">
        <v>187</v>
      </c>
      <c r="AE7" s="326">
        <v>1.06</v>
      </c>
      <c r="AF7" s="326"/>
      <c r="AG7" s="326">
        <f>AE7-AF7</f>
        <v>1.06</v>
      </c>
      <c r="AH7" s="326">
        <v>0.16</v>
      </c>
      <c r="AI7" s="326"/>
      <c r="AJ7" s="326">
        <f>AH7-AI7</f>
        <v>0.16</v>
      </c>
      <c r="AK7" s="326">
        <f>AE7-AH7</f>
        <v>0.9</v>
      </c>
      <c r="AL7" s="402">
        <f>ROUND(AH7/AE7*100,1)</f>
        <v>15.1</v>
      </c>
      <c r="AN7" s="491">
        <f t="shared" ref="AN7:AN17" si="3">+V7</f>
        <v>390.85</v>
      </c>
      <c r="AO7" s="393">
        <f t="shared" ref="AO7:AO11" si="4">+W25</f>
        <v>304.2</v>
      </c>
      <c r="AP7" s="492" t="s">
        <v>301</v>
      </c>
      <c r="AQ7" s="393">
        <f t="shared" ref="AQ7:AQ11" si="5">+V25</f>
        <v>418.3</v>
      </c>
      <c r="AR7" s="393">
        <f t="shared" ref="AR7:AT11" si="6">+X25</f>
        <v>327.76</v>
      </c>
      <c r="AS7" s="393">
        <f t="shared" si="6"/>
        <v>319.3</v>
      </c>
      <c r="AT7" s="493">
        <f t="shared" si="6"/>
        <v>-8.4599999999999795</v>
      </c>
    </row>
    <row r="8" spans="1:46" ht="15.75" x14ac:dyDescent="0.25">
      <c r="A8" s="316" t="s">
        <v>130</v>
      </c>
      <c r="B8" s="317">
        <v>0</v>
      </c>
      <c r="C8" s="317">
        <v>0</v>
      </c>
      <c r="D8" s="317">
        <v>0</v>
      </c>
      <c r="E8" s="494">
        <v>0</v>
      </c>
      <c r="F8" s="317">
        <f t="shared" si="0"/>
        <v>0</v>
      </c>
      <c r="G8" s="317">
        <v>0</v>
      </c>
      <c r="H8" s="313"/>
      <c r="I8" s="313"/>
      <c r="J8" s="313"/>
      <c r="K8" s="313"/>
      <c r="L8" s="313"/>
      <c r="M8" s="313"/>
      <c r="N8" s="895"/>
      <c r="O8" s="319" t="str">
        <f>+B24</f>
        <v>2020-21</v>
      </c>
      <c r="P8" s="315" t="str">
        <f>+C6</f>
        <v>Dec-20</v>
      </c>
      <c r="Q8" s="315" t="str">
        <f>+D6</f>
        <v>Dec-21</v>
      </c>
      <c r="R8" s="315" t="str">
        <f>+E6</f>
        <v>Dec-21</v>
      </c>
      <c r="S8" s="319" t="s">
        <v>131</v>
      </c>
      <c r="T8" s="320" t="s">
        <v>132</v>
      </c>
      <c r="U8" s="350" t="s">
        <v>188</v>
      </c>
      <c r="V8" s="393">
        <v>951.47</v>
      </c>
      <c r="W8" s="393">
        <v>77.64</v>
      </c>
      <c r="X8" s="317">
        <v>75.95</v>
      </c>
      <c r="Y8" s="393">
        <v>92.16</v>
      </c>
      <c r="Z8" s="317">
        <f t="shared" ref="Z8:Z17" si="7">Y8-X8</f>
        <v>16.209999999999994</v>
      </c>
      <c r="AA8" s="880">
        <f t="shared" si="1"/>
        <v>18.7017001545595</v>
      </c>
      <c r="AB8" s="880">
        <f t="shared" si="2"/>
        <v>18.7017001545595</v>
      </c>
      <c r="AC8" s="326">
        <v>58.09</v>
      </c>
      <c r="AD8" s="763" t="s">
        <v>395</v>
      </c>
      <c r="AE8" s="326">
        <v>300</v>
      </c>
      <c r="AF8" s="326"/>
      <c r="AG8" s="326">
        <f t="shared" ref="AG8:AG19" si="8">AE8-AF8</f>
        <v>300</v>
      </c>
      <c r="AH8" s="326">
        <v>211.87</v>
      </c>
      <c r="AI8" s="326"/>
      <c r="AJ8" s="326">
        <f>AH8-AI8</f>
        <v>211.87</v>
      </c>
      <c r="AK8" s="326">
        <f t="shared" ref="AK8:AK19" si="9">AE8-AH8</f>
        <v>88.13</v>
      </c>
      <c r="AL8" s="402">
        <f t="shared" ref="AL8:AL31" si="10">ROUND(AH8/AE8*100,1)</f>
        <v>70.599999999999994</v>
      </c>
      <c r="AN8" s="491">
        <f t="shared" si="3"/>
        <v>951.47</v>
      </c>
      <c r="AO8" s="393">
        <f t="shared" si="4"/>
        <v>732.15</v>
      </c>
      <c r="AP8" s="492" t="s">
        <v>302</v>
      </c>
      <c r="AQ8" s="393">
        <f t="shared" si="5"/>
        <v>934.5</v>
      </c>
      <c r="AR8" s="393">
        <f t="shared" si="6"/>
        <v>728.5</v>
      </c>
      <c r="AS8" s="393">
        <f t="shared" si="6"/>
        <v>742.01</v>
      </c>
      <c r="AT8" s="493">
        <f t="shared" si="6"/>
        <v>13.509999999999991</v>
      </c>
    </row>
    <row r="9" spans="1:46" ht="15.75" x14ac:dyDescent="0.25">
      <c r="A9" s="316" t="s">
        <v>63</v>
      </c>
      <c r="B9" s="317">
        <v>3.14</v>
      </c>
      <c r="C9" s="317">
        <v>1.6</v>
      </c>
      <c r="D9" s="317">
        <v>2.2599999999999998</v>
      </c>
      <c r="E9" s="317">
        <v>2.17</v>
      </c>
      <c r="F9" s="317">
        <f t="shared" si="0"/>
        <v>-8.9999999999999858E-2</v>
      </c>
      <c r="G9" s="317">
        <v>0</v>
      </c>
      <c r="H9" s="313"/>
      <c r="I9" s="313"/>
      <c r="J9" s="313"/>
      <c r="K9" s="313"/>
      <c r="L9" s="313"/>
      <c r="M9" s="313"/>
      <c r="N9" s="473">
        <v>1</v>
      </c>
      <c r="O9" s="473">
        <v>2</v>
      </c>
      <c r="P9" s="473">
        <v>3</v>
      </c>
      <c r="Q9" s="719">
        <v>4</v>
      </c>
      <c r="R9" s="473">
        <v>5</v>
      </c>
      <c r="S9" s="473">
        <v>6</v>
      </c>
      <c r="T9" s="321">
        <v>7</v>
      </c>
      <c r="U9" s="350" t="s">
        <v>190</v>
      </c>
      <c r="V9" s="393">
        <v>278.83</v>
      </c>
      <c r="W9" s="393">
        <v>29.05</v>
      </c>
      <c r="X9" s="317">
        <v>19.78</v>
      </c>
      <c r="Y9" s="393">
        <v>20.149999999999999</v>
      </c>
      <c r="Z9" s="317">
        <f t="shared" si="7"/>
        <v>0.36999999999999744</v>
      </c>
      <c r="AA9" s="880">
        <f t="shared" si="1"/>
        <v>-30.636833046471608</v>
      </c>
      <c r="AB9" s="880">
        <f t="shared" si="2"/>
        <v>-30.636833046471608</v>
      </c>
      <c r="AC9" s="326">
        <v>163.52000000000001</v>
      </c>
      <c r="AD9" s="763" t="s">
        <v>191</v>
      </c>
      <c r="AE9" s="326">
        <v>950</v>
      </c>
      <c r="AF9" s="326"/>
      <c r="AG9" s="326">
        <f t="shared" si="8"/>
        <v>950</v>
      </c>
      <c r="AH9" s="326">
        <v>720.35</v>
      </c>
      <c r="AI9" s="326">
        <v>0.52</v>
      </c>
      <c r="AJ9" s="326">
        <f t="shared" ref="AJ9:AJ30" si="11">AH9-AI9</f>
        <v>719.83</v>
      </c>
      <c r="AK9" s="326">
        <f t="shared" si="9"/>
        <v>229.64999999999998</v>
      </c>
      <c r="AL9" s="402">
        <f t="shared" si="10"/>
        <v>75.8</v>
      </c>
      <c r="AN9" s="491">
        <f t="shared" si="3"/>
        <v>278.83</v>
      </c>
      <c r="AO9" s="393">
        <f t="shared" si="4"/>
        <v>216.41</v>
      </c>
      <c r="AP9" s="492" t="s">
        <v>303</v>
      </c>
      <c r="AQ9" s="393">
        <f t="shared" si="5"/>
        <v>231</v>
      </c>
      <c r="AR9" s="393">
        <f t="shared" si="6"/>
        <v>188.96</v>
      </c>
      <c r="AS9" s="393">
        <f t="shared" si="6"/>
        <v>199.5</v>
      </c>
      <c r="AT9" s="493">
        <f t="shared" si="6"/>
        <v>10.539999999999992</v>
      </c>
    </row>
    <row r="10" spans="1:46" ht="15.75" x14ac:dyDescent="0.25">
      <c r="A10" s="316" t="s">
        <v>65</v>
      </c>
      <c r="B10" s="317">
        <v>2.13</v>
      </c>
      <c r="C10" s="317">
        <v>1.33</v>
      </c>
      <c r="D10" s="317">
        <v>1.54</v>
      </c>
      <c r="E10" s="317">
        <v>1.34</v>
      </c>
      <c r="F10" s="317">
        <f t="shared" si="0"/>
        <v>-0.19999999999999996</v>
      </c>
      <c r="G10" s="317">
        <f t="shared" ref="G10:G15" si="12">ROUND((E10-C10)/C10*100,2)</f>
        <v>0.75</v>
      </c>
      <c r="H10" s="313"/>
      <c r="I10" s="313"/>
      <c r="J10" s="313"/>
      <c r="K10" s="313"/>
      <c r="L10" s="313"/>
      <c r="M10" s="313"/>
      <c r="N10" s="474" t="s">
        <v>11</v>
      </c>
      <c r="O10" s="322">
        <v>2070.88</v>
      </c>
      <c r="P10" s="323">
        <v>265.24</v>
      </c>
      <c r="Q10" s="317">
        <v>523.74</v>
      </c>
      <c r="R10" s="323">
        <v>374.08</v>
      </c>
      <c r="S10" s="317">
        <f>+R10-Q10</f>
        <v>-149.66000000000003</v>
      </c>
      <c r="T10" s="324">
        <f t="shared" ref="T10:T15" si="13">SUM(R10-P10)/P10*100</f>
        <v>41.034534760971184</v>
      </c>
      <c r="U10" s="350" t="s">
        <v>192</v>
      </c>
      <c r="V10" s="393">
        <v>531.71</v>
      </c>
      <c r="W10" s="393">
        <v>52.81</v>
      </c>
      <c r="X10" s="317">
        <v>39.53</v>
      </c>
      <c r="Y10" s="393">
        <v>38.67</v>
      </c>
      <c r="Z10" s="317">
        <f t="shared" si="7"/>
        <v>-0.85999999999999943</v>
      </c>
      <c r="AA10" s="880">
        <f t="shared" si="1"/>
        <v>-26.775231963643247</v>
      </c>
      <c r="AB10" s="880">
        <f t="shared" si="2"/>
        <v>-26.775231963643247</v>
      </c>
      <c r="AC10" s="326">
        <v>74.86</v>
      </c>
      <c r="AD10" s="763" t="s">
        <v>193</v>
      </c>
      <c r="AE10" s="326">
        <v>129.38</v>
      </c>
      <c r="AF10" s="326"/>
      <c r="AG10" s="326">
        <f t="shared" si="8"/>
        <v>129.38</v>
      </c>
      <c r="AH10" s="326">
        <v>55.69</v>
      </c>
      <c r="AI10" s="326"/>
      <c r="AJ10" s="326">
        <f t="shared" si="11"/>
        <v>55.69</v>
      </c>
      <c r="AK10" s="326">
        <f t="shared" si="9"/>
        <v>73.69</v>
      </c>
      <c r="AL10" s="402">
        <f t="shared" si="10"/>
        <v>43</v>
      </c>
      <c r="AN10" s="491">
        <f t="shared" si="3"/>
        <v>531.71</v>
      </c>
      <c r="AO10" s="393">
        <f t="shared" si="4"/>
        <v>390.39</v>
      </c>
      <c r="AP10" s="492" t="s">
        <v>304</v>
      </c>
      <c r="AQ10" s="393">
        <f t="shared" si="5"/>
        <v>564</v>
      </c>
      <c r="AR10" s="393">
        <f t="shared" si="6"/>
        <v>375.75</v>
      </c>
      <c r="AS10" s="393">
        <f t="shared" si="6"/>
        <v>425.22</v>
      </c>
      <c r="AT10" s="493">
        <f t="shared" si="6"/>
        <v>49.470000000000027</v>
      </c>
    </row>
    <row r="11" spans="1:46" ht="15.75" x14ac:dyDescent="0.25">
      <c r="A11" s="316" t="s">
        <v>67</v>
      </c>
      <c r="B11" s="317">
        <v>0.7</v>
      </c>
      <c r="C11" s="317">
        <v>0.56000000000000005</v>
      </c>
      <c r="D11" s="317">
        <v>0.5</v>
      </c>
      <c r="E11" s="317">
        <v>0.52</v>
      </c>
      <c r="F11" s="317">
        <f t="shared" si="0"/>
        <v>2.0000000000000018E-2</v>
      </c>
      <c r="G11" s="317">
        <f t="shared" si="12"/>
        <v>-7.14</v>
      </c>
      <c r="H11" s="313"/>
      <c r="I11" s="313"/>
      <c r="J11" s="313"/>
      <c r="K11" s="313"/>
      <c r="L11" s="313"/>
      <c r="M11" s="313"/>
      <c r="N11" s="474" t="s">
        <v>12</v>
      </c>
      <c r="O11" s="322">
        <v>81.069999999999993</v>
      </c>
      <c r="P11" s="317">
        <v>10.53</v>
      </c>
      <c r="Q11" s="317">
        <v>17.149999999999999</v>
      </c>
      <c r="R11" s="317">
        <v>17.82</v>
      </c>
      <c r="S11" s="317">
        <f t="shared" ref="S11:S15" si="14">+R11-Q11</f>
        <v>0.67000000000000171</v>
      </c>
      <c r="T11" s="324">
        <f t="shared" si="13"/>
        <v>69.230769230769241</v>
      </c>
      <c r="U11" s="350" t="s">
        <v>194</v>
      </c>
      <c r="V11" s="393">
        <v>569.17999999999995</v>
      </c>
      <c r="W11" s="393">
        <v>47.81</v>
      </c>
      <c r="X11" s="317">
        <v>44.87</v>
      </c>
      <c r="Y11" s="393">
        <v>62.54</v>
      </c>
      <c r="Z11" s="317">
        <f t="shared" si="7"/>
        <v>17.670000000000002</v>
      </c>
      <c r="AA11" s="880">
        <f t="shared" si="1"/>
        <v>30.80945408910269</v>
      </c>
      <c r="AB11" s="880">
        <f t="shared" si="2"/>
        <v>30.80945408910269</v>
      </c>
      <c r="AC11" s="326">
        <v>1.08</v>
      </c>
      <c r="AD11" s="763" t="s">
        <v>195</v>
      </c>
      <c r="AE11" s="326">
        <v>1.06</v>
      </c>
      <c r="AF11" s="326"/>
      <c r="AG11" s="326">
        <f t="shared" si="8"/>
        <v>1.06</v>
      </c>
      <c r="AH11" s="326">
        <v>0.36</v>
      </c>
      <c r="AI11" s="326"/>
      <c r="AJ11" s="326">
        <f t="shared" si="11"/>
        <v>0.36</v>
      </c>
      <c r="AK11" s="326">
        <f t="shared" si="9"/>
        <v>0.70000000000000007</v>
      </c>
      <c r="AL11" s="402">
        <f t="shared" si="10"/>
        <v>34</v>
      </c>
      <c r="AN11" s="491">
        <f t="shared" si="3"/>
        <v>569.17999999999995</v>
      </c>
      <c r="AO11" s="393">
        <f t="shared" si="4"/>
        <v>433.74</v>
      </c>
      <c r="AP11" s="492" t="s">
        <v>305</v>
      </c>
      <c r="AQ11" s="393">
        <f t="shared" si="5"/>
        <v>568.6</v>
      </c>
      <c r="AR11" s="393">
        <f t="shared" si="6"/>
        <v>427.96</v>
      </c>
      <c r="AS11" s="393">
        <f t="shared" si="6"/>
        <v>455.43</v>
      </c>
      <c r="AT11" s="493">
        <f t="shared" si="6"/>
        <v>27.470000000000027</v>
      </c>
    </row>
    <row r="12" spans="1:46" ht="15.75" x14ac:dyDescent="0.25">
      <c r="A12" s="316" t="s">
        <v>69</v>
      </c>
      <c r="B12" s="317">
        <v>7.53</v>
      </c>
      <c r="C12" s="317">
        <v>5.05</v>
      </c>
      <c r="D12" s="317">
        <v>5.44</v>
      </c>
      <c r="E12" s="317">
        <v>5.61</v>
      </c>
      <c r="F12" s="317">
        <f t="shared" si="0"/>
        <v>0.16999999999999993</v>
      </c>
      <c r="G12" s="317">
        <f t="shared" si="12"/>
        <v>11.09</v>
      </c>
      <c r="H12" s="313"/>
      <c r="I12" s="313"/>
      <c r="J12" s="313"/>
      <c r="K12" s="313"/>
      <c r="L12" s="313"/>
      <c r="M12" s="313"/>
      <c r="N12" s="474" t="s">
        <v>13</v>
      </c>
      <c r="O12" s="322">
        <v>7577.66</v>
      </c>
      <c r="P12" s="317">
        <v>736.16</v>
      </c>
      <c r="Q12" s="317">
        <v>768.37</v>
      </c>
      <c r="R12" s="317">
        <v>880.42</v>
      </c>
      <c r="S12" s="317">
        <f t="shared" si="14"/>
        <v>112.04999999999995</v>
      </c>
      <c r="T12" s="324">
        <f t="shared" si="13"/>
        <v>19.596283416648554</v>
      </c>
      <c r="U12" s="350" t="s">
        <v>196</v>
      </c>
      <c r="V12" s="393">
        <v>1005.83</v>
      </c>
      <c r="W12" s="393">
        <v>76.62</v>
      </c>
      <c r="X12" s="317">
        <v>85.17</v>
      </c>
      <c r="Y12" s="393">
        <v>100.31</v>
      </c>
      <c r="Z12" s="317">
        <f t="shared" si="7"/>
        <v>15.14</v>
      </c>
      <c r="AA12" s="880">
        <f t="shared" si="1"/>
        <v>30.918820151396499</v>
      </c>
      <c r="AB12" s="880">
        <f t="shared" si="2"/>
        <v>30.918820151396499</v>
      </c>
      <c r="AC12" s="326">
        <v>8.99</v>
      </c>
      <c r="AD12" s="763" t="s">
        <v>199</v>
      </c>
      <c r="AE12" s="326">
        <v>10.53</v>
      </c>
      <c r="AF12" s="326"/>
      <c r="AG12" s="326">
        <f t="shared" si="8"/>
        <v>10.53</v>
      </c>
      <c r="AH12" s="326">
        <v>9.99</v>
      </c>
      <c r="AI12" s="326">
        <v>10.31</v>
      </c>
      <c r="AJ12" s="326">
        <f t="shared" si="11"/>
        <v>-0.32000000000000028</v>
      </c>
      <c r="AK12" s="326">
        <f t="shared" si="9"/>
        <v>0.53999999999999915</v>
      </c>
      <c r="AL12" s="402">
        <f t="shared" si="10"/>
        <v>94.9</v>
      </c>
      <c r="AN12" s="491">
        <f t="shared" si="3"/>
        <v>1005.83</v>
      </c>
      <c r="AO12" s="393">
        <f>+W30</f>
        <v>754.52</v>
      </c>
      <c r="AP12" s="492" t="s">
        <v>306</v>
      </c>
      <c r="AQ12" s="393">
        <f>+V30</f>
        <v>1094.8</v>
      </c>
      <c r="AR12" s="393">
        <f>+X30</f>
        <v>798.05</v>
      </c>
      <c r="AS12" s="393">
        <f>+Y30</f>
        <v>902.71</v>
      </c>
      <c r="AT12" s="493">
        <f>+Z30</f>
        <v>104.66000000000008</v>
      </c>
    </row>
    <row r="13" spans="1:46" ht="15.75" x14ac:dyDescent="0.25">
      <c r="A13" s="316" t="s">
        <v>71</v>
      </c>
      <c r="B13" s="317">
        <v>3.29</v>
      </c>
      <c r="C13" s="317">
        <v>1.78</v>
      </c>
      <c r="D13" s="317">
        <v>2.36</v>
      </c>
      <c r="E13" s="317">
        <v>2.08</v>
      </c>
      <c r="F13" s="317">
        <f t="shared" si="0"/>
        <v>-0.2799999999999998</v>
      </c>
      <c r="G13" s="317">
        <f t="shared" si="12"/>
        <v>16.850000000000001</v>
      </c>
      <c r="H13" s="313"/>
      <c r="I13" s="313"/>
      <c r="J13" s="313"/>
      <c r="K13" s="313"/>
      <c r="L13" s="313"/>
      <c r="M13" s="313"/>
      <c r="N13" s="474" t="s">
        <v>14</v>
      </c>
      <c r="O13" s="322">
        <v>186.56</v>
      </c>
      <c r="P13" s="317">
        <v>11.63</v>
      </c>
      <c r="Q13" s="317">
        <v>26.21</v>
      </c>
      <c r="R13" s="317">
        <v>7.16</v>
      </c>
      <c r="S13" s="317">
        <f t="shared" si="14"/>
        <v>-19.05</v>
      </c>
      <c r="T13" s="324">
        <f t="shared" si="13"/>
        <v>-38.435081685296652</v>
      </c>
      <c r="U13" s="350" t="s">
        <v>198</v>
      </c>
      <c r="V13" s="393">
        <v>2096.1999999999998</v>
      </c>
      <c r="W13" s="393">
        <v>168.31</v>
      </c>
      <c r="X13" s="317">
        <v>155.72</v>
      </c>
      <c r="Y13" s="393">
        <v>160.99</v>
      </c>
      <c r="Z13" s="317">
        <f t="shared" si="7"/>
        <v>5.2700000000000102</v>
      </c>
      <c r="AA13" s="880">
        <f t="shared" si="1"/>
        <v>-4.3491176994830925</v>
      </c>
      <c r="AB13" s="880">
        <f t="shared" si="2"/>
        <v>-4.3491176994830925</v>
      </c>
      <c r="AC13" s="326">
        <v>83.44</v>
      </c>
      <c r="AD13" s="763" t="s">
        <v>197</v>
      </c>
      <c r="AE13" s="326">
        <v>0</v>
      </c>
      <c r="AF13" s="326"/>
      <c r="AG13" s="326">
        <f t="shared" si="8"/>
        <v>0</v>
      </c>
      <c r="AH13" s="326">
        <v>0</v>
      </c>
      <c r="AI13" s="326"/>
      <c r="AJ13" s="326">
        <f>AH13-AI13</f>
        <v>0</v>
      </c>
      <c r="AK13" s="326">
        <f>AE13-AH13</f>
        <v>0</v>
      </c>
      <c r="AL13" s="402">
        <v>0</v>
      </c>
      <c r="AN13" s="491">
        <f t="shared" si="3"/>
        <v>2096.1999999999998</v>
      </c>
      <c r="AO13" s="393">
        <f>+W32</f>
        <v>2111.5700000000002</v>
      </c>
      <c r="AP13" s="492" t="s">
        <v>307</v>
      </c>
      <c r="AQ13" s="393">
        <f>+V32</f>
        <v>2539.6</v>
      </c>
      <c r="AR13" s="393">
        <f>+X32</f>
        <v>2151.4299999999998</v>
      </c>
      <c r="AS13" s="393">
        <f>+Y32</f>
        <v>2095.11</v>
      </c>
      <c r="AT13" s="493">
        <f>+Z32</f>
        <v>-56.319999999999709</v>
      </c>
    </row>
    <row r="14" spans="1:46" ht="16.5" thickBot="1" x14ac:dyDescent="0.3">
      <c r="A14" s="316" t="s">
        <v>73</v>
      </c>
      <c r="B14" s="317">
        <v>2.8</v>
      </c>
      <c r="C14" s="317">
        <v>1.5</v>
      </c>
      <c r="D14" s="317">
        <v>2.0099999999999998</v>
      </c>
      <c r="E14" s="317">
        <v>2.04</v>
      </c>
      <c r="F14" s="317">
        <f t="shared" si="0"/>
        <v>3.0000000000000249E-2</v>
      </c>
      <c r="G14" s="317">
        <f t="shared" si="12"/>
        <v>36</v>
      </c>
      <c r="H14" s="313"/>
      <c r="I14" s="313"/>
      <c r="J14" s="313"/>
      <c r="K14" s="313"/>
      <c r="L14" s="313"/>
      <c r="M14" s="313"/>
      <c r="N14" s="474" t="s">
        <v>133</v>
      </c>
      <c r="O14" s="325">
        <f>SUM(O10:O13)</f>
        <v>9916.17</v>
      </c>
      <c r="P14" s="326">
        <f>SUM(P10:P13)</f>
        <v>1023.56</v>
      </c>
      <c r="Q14" s="326">
        <f>SUM(Q10:Q13)</f>
        <v>1335.47</v>
      </c>
      <c r="R14" s="326">
        <f>SUM(R10:R13)</f>
        <v>1279.48</v>
      </c>
      <c r="S14" s="326">
        <f t="shared" si="14"/>
        <v>-55.990000000000009</v>
      </c>
      <c r="T14" s="327">
        <f t="shared" si="13"/>
        <v>25.002930946891251</v>
      </c>
      <c r="U14" s="350" t="s">
        <v>200</v>
      </c>
      <c r="V14" s="393">
        <v>941.31</v>
      </c>
      <c r="W14" s="393">
        <v>89.12</v>
      </c>
      <c r="X14" s="317">
        <v>83.32</v>
      </c>
      <c r="Y14" s="393">
        <v>131.69999999999999</v>
      </c>
      <c r="Z14" s="317">
        <f t="shared" si="7"/>
        <v>48.379999999999995</v>
      </c>
      <c r="AA14" s="880">
        <f t="shared" si="1"/>
        <v>47.778276481148993</v>
      </c>
      <c r="AB14" s="880">
        <f t="shared" si="2"/>
        <v>47.778276481148993</v>
      </c>
      <c r="AC14" s="326">
        <v>528.26</v>
      </c>
      <c r="AD14" s="763" t="s">
        <v>201</v>
      </c>
      <c r="AE14" s="326">
        <v>619.73</v>
      </c>
      <c r="AF14" s="326"/>
      <c r="AG14" s="326">
        <f t="shared" si="8"/>
        <v>619.73</v>
      </c>
      <c r="AH14" s="326">
        <v>605.32000000000005</v>
      </c>
      <c r="AI14" s="326"/>
      <c r="AJ14" s="326">
        <f t="shared" si="11"/>
        <v>605.32000000000005</v>
      </c>
      <c r="AK14" s="326">
        <f t="shared" si="9"/>
        <v>14.409999999999968</v>
      </c>
      <c r="AL14" s="402">
        <f t="shared" si="10"/>
        <v>97.7</v>
      </c>
      <c r="AN14" s="491">
        <f t="shared" si="3"/>
        <v>941.31</v>
      </c>
      <c r="AO14" s="393">
        <f>+W34</f>
        <v>676.92</v>
      </c>
      <c r="AP14" s="492" t="s">
        <v>308</v>
      </c>
      <c r="AQ14" s="393">
        <f>+V34</f>
        <v>1290.7</v>
      </c>
      <c r="AR14" s="393">
        <f t="shared" ref="AR14:AT17" si="15">+X34</f>
        <v>706.75</v>
      </c>
      <c r="AS14" s="393">
        <f t="shared" si="15"/>
        <v>1139.5</v>
      </c>
      <c r="AT14" s="493">
        <f t="shared" si="15"/>
        <v>432.75</v>
      </c>
    </row>
    <row r="15" spans="1:46" ht="16.5" thickBot="1" x14ac:dyDescent="0.3">
      <c r="A15" s="316" t="s">
        <v>134</v>
      </c>
      <c r="B15" s="326">
        <f>SUM(B7:B14)</f>
        <v>19.59</v>
      </c>
      <c r="C15" s="326">
        <f>SUM(C7:C14)</f>
        <v>11.819999999999999</v>
      </c>
      <c r="D15" s="326">
        <f>SUM(D7:D14)</f>
        <v>14.11</v>
      </c>
      <c r="E15" s="326">
        <f>SUM(E7:E14)</f>
        <v>13.760000000000002</v>
      </c>
      <c r="F15" s="326">
        <f t="shared" si="0"/>
        <v>-0.34999999999999787</v>
      </c>
      <c r="G15" s="326">
        <f t="shared" si="12"/>
        <v>16.41</v>
      </c>
      <c r="H15" s="868"/>
      <c r="I15" s="868"/>
      <c r="J15" s="868"/>
      <c r="K15" s="868"/>
      <c r="L15" s="868"/>
      <c r="M15" s="868"/>
      <c r="N15" s="474" t="s">
        <v>16</v>
      </c>
      <c r="O15" s="322">
        <v>3.3</v>
      </c>
      <c r="P15" s="317">
        <v>-13.69</v>
      </c>
      <c r="Q15" s="317">
        <v>0</v>
      </c>
      <c r="R15" s="317">
        <v>14.18</v>
      </c>
      <c r="S15" s="317">
        <f t="shared" si="14"/>
        <v>14.18</v>
      </c>
      <c r="T15" s="327">
        <f t="shared" si="13"/>
        <v>-203.57925493060628</v>
      </c>
      <c r="U15" s="350" t="s">
        <v>202</v>
      </c>
      <c r="V15" s="393">
        <v>382.44</v>
      </c>
      <c r="W15" s="393">
        <v>26.11</v>
      </c>
      <c r="X15" s="317">
        <v>27.77</v>
      </c>
      <c r="Y15" s="393">
        <v>30.78</v>
      </c>
      <c r="Z15" s="317">
        <f t="shared" si="7"/>
        <v>3.0100000000000016</v>
      </c>
      <c r="AA15" s="880">
        <f t="shared" si="1"/>
        <v>17.885867483722716</v>
      </c>
      <c r="AB15" s="880">
        <f t="shared" si="2"/>
        <v>17.885867483722716</v>
      </c>
      <c r="AC15" s="326">
        <v>17.47</v>
      </c>
      <c r="AD15" s="763" t="s">
        <v>203</v>
      </c>
      <c r="AE15" s="326">
        <v>9.84</v>
      </c>
      <c r="AF15" s="326"/>
      <c r="AG15" s="326">
        <f t="shared" si="8"/>
        <v>9.84</v>
      </c>
      <c r="AH15" s="326">
        <v>2.02</v>
      </c>
      <c r="AI15" s="326"/>
      <c r="AJ15" s="326">
        <f t="shared" si="11"/>
        <v>2.02</v>
      </c>
      <c r="AK15" s="326">
        <f t="shared" si="9"/>
        <v>7.82</v>
      </c>
      <c r="AL15" s="402">
        <f t="shared" si="10"/>
        <v>20.5</v>
      </c>
      <c r="AN15" s="491">
        <f t="shared" si="3"/>
        <v>382.44</v>
      </c>
      <c r="AO15" s="393">
        <f>+W35</f>
        <v>311.2</v>
      </c>
      <c r="AP15" s="492" t="s">
        <v>309</v>
      </c>
      <c r="AQ15" s="393">
        <f>+V35</f>
        <v>387.4</v>
      </c>
      <c r="AR15" s="393">
        <f t="shared" si="15"/>
        <v>308.27</v>
      </c>
      <c r="AS15" s="393">
        <f t="shared" si="15"/>
        <v>339.13</v>
      </c>
      <c r="AT15" s="493">
        <f t="shared" si="15"/>
        <v>30.860000000000014</v>
      </c>
    </row>
    <row r="16" spans="1:46" ht="15.75" x14ac:dyDescent="0.25">
      <c r="A16" s="813" t="s">
        <v>135</v>
      </c>
      <c r="B16" s="813"/>
      <c r="C16" s="813"/>
      <c r="D16" s="813"/>
      <c r="E16" s="813"/>
      <c r="F16" s="813"/>
      <c r="G16" s="328"/>
      <c r="H16" s="897" t="s">
        <v>135</v>
      </c>
      <c r="I16" s="897"/>
      <c r="J16" s="897"/>
      <c r="K16" s="897"/>
      <c r="L16" s="897"/>
      <c r="M16" s="897"/>
      <c r="N16" s="474" t="s">
        <v>136</v>
      </c>
      <c r="O16" s="325">
        <f>SUM(O14:O15)</f>
        <v>9919.4699999999993</v>
      </c>
      <c r="P16" s="325">
        <f t="shared" ref="P16" si="16">SUM(P14:P15)</f>
        <v>1009.8699999999999</v>
      </c>
      <c r="Q16" s="325">
        <f t="shared" ref="Q16:T16" si="17">SUM(Q14:Q15)</f>
        <v>1335.47</v>
      </c>
      <c r="R16" s="751">
        <f>SUM(R14:R15)</f>
        <v>1293.6600000000001</v>
      </c>
      <c r="S16" s="325">
        <f>SUM(S14:S15)</f>
        <v>-41.810000000000009</v>
      </c>
      <c r="T16" s="325">
        <f t="shared" si="17"/>
        <v>-178.57632398371504</v>
      </c>
      <c r="U16" s="350" t="s">
        <v>204</v>
      </c>
      <c r="V16" s="393">
        <v>422.07</v>
      </c>
      <c r="W16" s="393">
        <v>52.67</v>
      </c>
      <c r="X16" s="317">
        <v>29.56</v>
      </c>
      <c r="Y16" s="393">
        <v>51.92</v>
      </c>
      <c r="Z16" s="317">
        <f t="shared" si="7"/>
        <v>22.360000000000003</v>
      </c>
      <c r="AA16" s="880">
        <f t="shared" si="1"/>
        <v>-1.4239605088285552</v>
      </c>
      <c r="AB16" s="880">
        <f t="shared" si="2"/>
        <v>-1.4239605088285552</v>
      </c>
      <c r="AC16" s="326">
        <v>278.64999999999998</v>
      </c>
      <c r="AD16" s="763" t="s">
        <v>205</v>
      </c>
      <c r="AE16" s="326">
        <v>280.67</v>
      </c>
      <c r="AF16" s="326"/>
      <c r="AG16" s="326">
        <f t="shared" si="8"/>
        <v>280.67</v>
      </c>
      <c r="AH16" s="326">
        <v>147.33000000000001</v>
      </c>
      <c r="AI16" s="326"/>
      <c r="AJ16" s="326">
        <f t="shared" si="11"/>
        <v>147.33000000000001</v>
      </c>
      <c r="AK16" s="326">
        <f t="shared" si="9"/>
        <v>133.34</v>
      </c>
      <c r="AL16" s="402">
        <f t="shared" si="10"/>
        <v>52.5</v>
      </c>
      <c r="AN16" s="491">
        <f t="shared" si="3"/>
        <v>422.07</v>
      </c>
      <c r="AO16" s="393">
        <f>+W36</f>
        <v>328.06</v>
      </c>
      <c r="AP16" s="492" t="s">
        <v>310</v>
      </c>
      <c r="AQ16" s="393">
        <f>+V36</f>
        <v>374.05</v>
      </c>
      <c r="AR16" s="393">
        <f t="shared" si="15"/>
        <v>277.45</v>
      </c>
      <c r="AS16" s="393">
        <f t="shared" si="15"/>
        <v>356.24</v>
      </c>
      <c r="AT16" s="493">
        <f t="shared" si="15"/>
        <v>78.79000000000002</v>
      </c>
    </row>
    <row r="17" spans="1:46" ht="45" x14ac:dyDescent="0.25">
      <c r="A17" s="329"/>
      <c r="B17" s="330" t="s">
        <v>413</v>
      </c>
      <c r="C17" s="495" t="s">
        <v>414</v>
      </c>
      <c r="D17" s="330" t="s">
        <v>415</v>
      </c>
      <c r="E17" s="331" t="s">
        <v>137</v>
      </c>
      <c r="F17" s="331" t="s">
        <v>138</v>
      </c>
      <c r="G17" s="328"/>
      <c r="H17" s="313"/>
      <c r="I17" s="313"/>
      <c r="J17" s="313"/>
      <c r="K17" s="313"/>
      <c r="L17" s="313"/>
      <c r="M17" s="313"/>
      <c r="N17" s="902" t="s">
        <v>410</v>
      </c>
      <c r="O17" s="903"/>
      <c r="P17" s="903"/>
      <c r="Q17" s="903"/>
      <c r="R17" s="903"/>
      <c r="S17" s="903"/>
      <c r="T17" s="904"/>
      <c r="U17" s="350" t="s">
        <v>206</v>
      </c>
      <c r="V17" s="393">
        <v>248.15</v>
      </c>
      <c r="W17" s="393">
        <v>21.06</v>
      </c>
      <c r="X17" s="317">
        <v>23.6</v>
      </c>
      <c r="Y17" s="393">
        <v>22.59</v>
      </c>
      <c r="Z17" s="317">
        <f t="shared" si="7"/>
        <v>-1.0100000000000016</v>
      </c>
      <c r="AA17" s="880">
        <f>SUM(Y17-W17)/W17*100</f>
        <v>7.2649572649572711</v>
      </c>
      <c r="AB17" s="880">
        <f t="shared" si="2"/>
        <v>7.2649572649572711</v>
      </c>
      <c r="AC17" s="326">
        <v>806.72</v>
      </c>
      <c r="AD17" s="763" t="s">
        <v>207</v>
      </c>
      <c r="AE17" s="326">
        <v>829.88</v>
      </c>
      <c r="AF17" s="326">
        <v>38.39</v>
      </c>
      <c r="AG17" s="326">
        <f t="shared" si="8"/>
        <v>791.49</v>
      </c>
      <c r="AH17" s="326">
        <v>640.57000000000005</v>
      </c>
      <c r="AI17" s="326">
        <v>81.66</v>
      </c>
      <c r="AJ17" s="326">
        <f t="shared" si="11"/>
        <v>558.91000000000008</v>
      </c>
      <c r="AK17" s="326">
        <f t="shared" si="9"/>
        <v>189.30999999999995</v>
      </c>
      <c r="AL17" s="402">
        <f t="shared" si="10"/>
        <v>77.2</v>
      </c>
      <c r="AN17" s="491">
        <f t="shared" si="3"/>
        <v>248.15</v>
      </c>
      <c r="AO17" s="393">
        <f>+W37</f>
        <v>206.1</v>
      </c>
      <c r="AP17" s="492" t="s">
        <v>311</v>
      </c>
      <c r="AQ17" s="393">
        <f>+V37</f>
        <v>304.10000000000002</v>
      </c>
      <c r="AR17" s="393">
        <f t="shared" si="15"/>
        <v>224</v>
      </c>
      <c r="AS17" s="393">
        <f t="shared" si="15"/>
        <v>232.68</v>
      </c>
      <c r="AT17" s="493">
        <f t="shared" si="15"/>
        <v>8.6800000000000068</v>
      </c>
    </row>
    <row r="18" spans="1:46" ht="29.25" customHeight="1" x14ac:dyDescent="0.25">
      <c r="A18" s="316" t="s">
        <v>139</v>
      </c>
      <c r="B18" s="574">
        <v>659</v>
      </c>
      <c r="C18" s="741">
        <v>0</v>
      </c>
      <c r="D18" s="764">
        <v>652</v>
      </c>
      <c r="E18" s="317">
        <v>0</v>
      </c>
      <c r="F18" s="332">
        <f>ROUND( (D18-B18)/B18*100,2)</f>
        <v>-1.06</v>
      </c>
      <c r="G18" s="664"/>
      <c r="H18" s="313"/>
      <c r="I18" s="313"/>
      <c r="J18" s="313"/>
      <c r="K18" s="313"/>
      <c r="L18" s="313"/>
      <c r="M18" s="313"/>
      <c r="N18" s="895" t="s">
        <v>123</v>
      </c>
      <c r="O18" s="470" t="s">
        <v>140</v>
      </c>
      <c r="P18" s="898" t="s">
        <v>428</v>
      </c>
      <c r="Q18" s="470" t="s">
        <v>141</v>
      </c>
      <c r="R18" s="470" t="s">
        <v>142</v>
      </c>
      <c r="S18" s="470" t="s">
        <v>143</v>
      </c>
      <c r="T18" s="333" t="s">
        <v>144</v>
      </c>
      <c r="U18" s="350" t="s">
        <v>208</v>
      </c>
      <c r="V18" s="394">
        <f>SUM(V7:V17)</f>
        <v>7818.0399999999981</v>
      </c>
      <c r="W18" s="394">
        <f t="shared" ref="W18" si="18">SUM(W7:W17)</f>
        <v>672.07999999999993</v>
      </c>
      <c r="X18" s="401">
        <f>SUM(X7:X17)</f>
        <v>620.20999999999992</v>
      </c>
      <c r="Y18" s="326">
        <f>SUM(Y7:Y17)</f>
        <v>745.72</v>
      </c>
      <c r="Z18" s="326">
        <f t="shared" ref="Z18" si="19">SUM(Z7:Z17)</f>
        <v>125.51</v>
      </c>
      <c r="AA18" s="900">
        <f t="shared" si="1"/>
        <v>10.957028925127977</v>
      </c>
      <c r="AB18" s="900">
        <f t="shared" si="2"/>
        <v>10.957028925127977</v>
      </c>
      <c r="AC18" s="326">
        <v>24.94</v>
      </c>
      <c r="AD18" s="763" t="s">
        <v>209</v>
      </c>
      <c r="AE18" s="326">
        <v>45.6</v>
      </c>
      <c r="AF18" s="326"/>
      <c r="AG18" s="326">
        <f t="shared" si="8"/>
        <v>45.6</v>
      </c>
      <c r="AH18" s="326">
        <v>10.38</v>
      </c>
      <c r="AI18" s="326"/>
      <c r="AJ18" s="326">
        <f t="shared" si="11"/>
        <v>10.38</v>
      </c>
      <c r="AK18" s="326">
        <f>AE18-AH18</f>
        <v>35.22</v>
      </c>
      <c r="AL18" s="402">
        <f t="shared" si="10"/>
        <v>22.8</v>
      </c>
      <c r="AN18" s="491"/>
      <c r="AO18" s="393"/>
      <c r="AP18" s="492"/>
      <c r="AQ18" s="393"/>
      <c r="AR18" s="393"/>
      <c r="AS18" s="393"/>
      <c r="AT18" s="493"/>
    </row>
    <row r="19" spans="1:46" ht="15.75" x14ac:dyDescent="0.25">
      <c r="A19" s="316" t="s">
        <v>145</v>
      </c>
      <c r="B19" s="574">
        <v>7789.74</v>
      </c>
      <c r="C19" s="741">
        <v>0</v>
      </c>
      <c r="D19" s="764">
        <v>8966.42</v>
      </c>
      <c r="E19" s="317">
        <v>0</v>
      </c>
      <c r="F19" s="317">
        <f>ROUND( (D19-B19)/B19*100,2)</f>
        <v>15.11</v>
      </c>
      <c r="G19" s="332"/>
      <c r="H19" s="313"/>
      <c r="I19" s="313"/>
      <c r="J19" s="313"/>
      <c r="K19" s="313"/>
      <c r="L19" s="313"/>
      <c r="M19" s="313"/>
      <c r="N19" s="895"/>
      <c r="O19" s="334" t="str">
        <f>+C6</f>
        <v>Dec-20</v>
      </c>
      <c r="P19" s="899"/>
      <c r="Q19" s="315" t="str">
        <f>+D6</f>
        <v>Dec-21</v>
      </c>
      <c r="R19" s="319" t="str">
        <f>+Q19</f>
        <v>Dec-21</v>
      </c>
      <c r="S19" s="470" t="s">
        <v>131</v>
      </c>
      <c r="T19" s="333" t="s">
        <v>146</v>
      </c>
      <c r="U19" s="395" t="s">
        <v>16</v>
      </c>
      <c r="V19" s="396">
        <v>-16.73</v>
      </c>
      <c r="W19" s="393">
        <v>-7.09</v>
      </c>
      <c r="X19" s="317">
        <v>0</v>
      </c>
      <c r="Y19" s="393">
        <v>8.68</v>
      </c>
      <c r="Z19" s="317">
        <f>Y19-X19</f>
        <v>8.68</v>
      </c>
      <c r="AA19" s="880">
        <f t="shared" si="1"/>
        <v>-222.42595204513398</v>
      </c>
      <c r="AB19" s="880">
        <f t="shared" si="2"/>
        <v>-222.42595204513398</v>
      </c>
      <c r="AC19" s="326">
        <v>321.19</v>
      </c>
      <c r="AD19" s="763" t="s">
        <v>210</v>
      </c>
      <c r="AE19" s="326">
        <v>318.51</v>
      </c>
      <c r="AF19" s="326"/>
      <c r="AG19" s="326">
        <f t="shared" si="8"/>
        <v>318.51</v>
      </c>
      <c r="AH19" s="326">
        <v>169.98</v>
      </c>
      <c r="AI19" s="326"/>
      <c r="AJ19" s="326">
        <f t="shared" si="11"/>
        <v>169.98</v>
      </c>
      <c r="AK19" s="326">
        <f t="shared" si="9"/>
        <v>148.53</v>
      </c>
      <c r="AL19" s="402">
        <f t="shared" si="10"/>
        <v>53.4</v>
      </c>
      <c r="AN19" s="496">
        <f>+V18</f>
        <v>7818.0399999999981</v>
      </c>
      <c r="AO19" s="401">
        <f>+W38</f>
        <v>6465.2600000000011</v>
      </c>
      <c r="AP19" s="485" t="s">
        <v>312</v>
      </c>
      <c r="AQ19" s="401">
        <f t="shared" ref="AQ19:AQ24" si="20">+V38</f>
        <v>8707.0499999999993</v>
      </c>
      <c r="AR19" s="401">
        <f t="shared" ref="AR19:AT24" si="21">+X38</f>
        <v>6514.88</v>
      </c>
      <c r="AS19" s="401">
        <f t="shared" si="21"/>
        <v>7206.8300000000008</v>
      </c>
      <c r="AT19" s="497">
        <f t="shared" si="21"/>
        <v>691.95000000000073</v>
      </c>
    </row>
    <row r="20" spans="1:46" ht="15.75" x14ac:dyDescent="0.25">
      <c r="A20" s="316" t="s">
        <v>147</v>
      </c>
      <c r="B20" s="574">
        <v>8.3000000000000007</v>
      </c>
      <c r="C20" s="741">
        <v>0</v>
      </c>
      <c r="D20" s="764">
        <v>40.44</v>
      </c>
      <c r="E20" s="317">
        <v>0</v>
      </c>
      <c r="F20" s="317">
        <f>ROUND( (D20-B20)/B20*100,2)</f>
        <v>387.23</v>
      </c>
      <c r="G20" s="332"/>
      <c r="H20" s="313"/>
      <c r="I20" s="313"/>
      <c r="J20" s="313"/>
      <c r="K20" s="313"/>
      <c r="L20" s="313"/>
      <c r="M20" s="313"/>
      <c r="N20" s="335" t="s">
        <v>148</v>
      </c>
      <c r="O20" s="473">
        <v>2</v>
      </c>
      <c r="P20" s="473">
        <v>3</v>
      </c>
      <c r="Q20" s="719">
        <v>4</v>
      </c>
      <c r="R20" s="473">
        <v>5</v>
      </c>
      <c r="S20" s="473">
        <v>6</v>
      </c>
      <c r="T20" s="321">
        <v>7</v>
      </c>
      <c r="U20" s="350" t="s">
        <v>211</v>
      </c>
      <c r="V20" s="394">
        <f>SUM(V18:V19)</f>
        <v>7801.3099999999986</v>
      </c>
      <c r="W20" s="394">
        <f t="shared" ref="W20" si="22">SUM(W18:W19)</f>
        <v>664.9899999999999</v>
      </c>
      <c r="X20" s="326">
        <f>SUM(X18:X19)</f>
        <v>620.20999999999992</v>
      </c>
      <c r="Y20" s="326">
        <f t="shared" ref="Y20:Z20" si="23">SUM(Y18:Y19)</f>
        <v>754.4</v>
      </c>
      <c r="Z20" s="326">
        <f t="shared" si="23"/>
        <v>134.19</v>
      </c>
      <c r="AA20" s="900">
        <f t="shared" si="1"/>
        <v>13.445314967142377</v>
      </c>
      <c r="AB20" s="900">
        <f t="shared" si="2"/>
        <v>13.445314967142377</v>
      </c>
      <c r="AC20" s="787">
        <v>82.12</v>
      </c>
      <c r="AD20" s="397" t="s">
        <v>212</v>
      </c>
      <c r="AE20" s="787">
        <v>88.43</v>
      </c>
      <c r="AF20" s="787"/>
      <c r="AG20" s="787">
        <f>AE20-AF20</f>
        <v>88.43</v>
      </c>
      <c r="AH20" s="787">
        <v>38.619999999999997</v>
      </c>
      <c r="AI20" s="787"/>
      <c r="AJ20" s="787">
        <f t="shared" si="11"/>
        <v>38.619999999999997</v>
      </c>
      <c r="AK20" s="787">
        <f>AE20-AH20</f>
        <v>49.810000000000009</v>
      </c>
      <c r="AL20" s="811">
        <f t="shared" si="10"/>
        <v>43.7</v>
      </c>
      <c r="AN20" s="491">
        <f>+V19</f>
        <v>-16.73</v>
      </c>
      <c r="AO20" s="393">
        <f>+W39</f>
        <v>293.39</v>
      </c>
      <c r="AP20" s="498" t="str">
        <f>+U19</f>
        <v>Suspense</v>
      </c>
      <c r="AQ20" s="393">
        <f t="shared" si="20"/>
        <v>-5.95</v>
      </c>
      <c r="AR20" s="393">
        <f t="shared" si="21"/>
        <v>-5.35</v>
      </c>
      <c r="AS20" s="393">
        <f t="shared" si="21"/>
        <v>330.04</v>
      </c>
      <c r="AT20" s="493">
        <f t="shared" si="21"/>
        <v>335.39000000000004</v>
      </c>
    </row>
    <row r="21" spans="1:46" ht="15.75" x14ac:dyDescent="0.25">
      <c r="A21" s="901">
        <v>1.38</v>
      </c>
      <c r="B21" s="901"/>
      <c r="C21" s="901"/>
      <c r="D21" s="901"/>
      <c r="E21" s="901"/>
      <c r="F21" s="901"/>
      <c r="G21" s="901"/>
      <c r="H21" s="813" t="s">
        <v>149</v>
      </c>
      <c r="I21" s="813"/>
      <c r="J21" s="813"/>
      <c r="K21" s="813"/>
      <c r="L21" s="813"/>
      <c r="M21" s="813"/>
      <c r="N21" s="336" t="s">
        <v>11</v>
      </c>
      <c r="O21" s="317">
        <v>1111.73</v>
      </c>
      <c r="P21" s="317">
        <v>4584.01</v>
      </c>
      <c r="Q21" s="317">
        <v>4157.62</v>
      </c>
      <c r="R21" s="317">
        <v>2893.76</v>
      </c>
      <c r="S21" s="317">
        <f t="shared" ref="S21:S27" si="24">+R21-Q21</f>
        <v>-1263.8599999999997</v>
      </c>
      <c r="T21" s="324">
        <f t="shared" ref="T21:T27" si="25">SUM(R21-O21)/O21*100</f>
        <v>160.29341656697221</v>
      </c>
      <c r="U21" s="878"/>
      <c r="V21" s="815"/>
      <c r="W21" s="815"/>
      <c r="X21" s="815"/>
      <c r="Y21" s="815"/>
      <c r="Z21" s="815"/>
      <c r="AA21" s="815"/>
      <c r="AB21" s="499"/>
      <c r="AC21" s="788"/>
      <c r="AD21" s="397" t="s">
        <v>313</v>
      </c>
      <c r="AE21" s="788"/>
      <c r="AF21" s="788"/>
      <c r="AG21" s="788"/>
      <c r="AH21" s="788"/>
      <c r="AI21" s="788"/>
      <c r="AJ21" s="788"/>
      <c r="AK21" s="788"/>
      <c r="AL21" s="812"/>
      <c r="AN21" s="496">
        <f>+V20</f>
        <v>7801.3099999999986</v>
      </c>
      <c r="AO21" s="401">
        <f>+W40</f>
        <v>6758.6500000000015</v>
      </c>
      <c r="AP21" s="485" t="s">
        <v>314</v>
      </c>
      <c r="AQ21" s="401">
        <f t="shared" si="20"/>
        <v>8701.0999999999985</v>
      </c>
      <c r="AR21" s="401">
        <f t="shared" si="21"/>
        <v>6509.53</v>
      </c>
      <c r="AS21" s="401">
        <f t="shared" si="21"/>
        <v>7536.8700000000008</v>
      </c>
      <c r="AT21" s="497">
        <f t="shared" si="21"/>
        <v>1027.3400000000011</v>
      </c>
    </row>
    <row r="22" spans="1:46" ht="20.25" customHeight="1" x14ac:dyDescent="0.25">
      <c r="A22" s="898" t="s">
        <v>123</v>
      </c>
      <c r="B22" s="667" t="s">
        <v>117</v>
      </c>
      <c r="C22" s="482" t="s">
        <v>124</v>
      </c>
      <c r="D22" s="667" t="s">
        <v>150</v>
      </c>
      <c r="E22" s="667" t="str">
        <f>+E5</f>
        <v>Actual</v>
      </c>
      <c r="F22" s="666" t="s">
        <v>126</v>
      </c>
      <c r="G22" s="337" t="s">
        <v>151</v>
      </c>
      <c r="H22" s="338"/>
      <c r="I22" s="338"/>
      <c r="J22" s="338"/>
      <c r="K22" s="338"/>
      <c r="L22" s="338"/>
      <c r="M22" s="338"/>
      <c r="N22" s="336" t="s">
        <v>12</v>
      </c>
      <c r="O22" s="317">
        <v>52.31</v>
      </c>
      <c r="P22" s="317">
        <v>169.45</v>
      </c>
      <c r="Q22" s="317">
        <v>166.86</v>
      </c>
      <c r="R22" s="317">
        <v>124.18</v>
      </c>
      <c r="S22" s="317">
        <f t="shared" si="24"/>
        <v>-42.680000000000007</v>
      </c>
      <c r="T22" s="324">
        <f t="shared" si="25"/>
        <v>137.39246797935385</v>
      </c>
      <c r="U22" s="912" t="s">
        <v>213</v>
      </c>
      <c r="V22" s="832"/>
      <c r="W22" s="832"/>
      <c r="X22" s="832"/>
      <c r="Y22" s="913" t="str">
        <f>+X2</f>
        <v>Dec-21 (Actual.)</v>
      </c>
      <c r="Z22" s="914"/>
      <c r="AA22" s="914"/>
      <c r="AB22" s="344" t="str">
        <f>+AA2</f>
        <v>(Net)</v>
      </c>
      <c r="AC22" s="326">
        <v>21.89</v>
      </c>
      <c r="AD22" s="763" t="s">
        <v>214</v>
      </c>
      <c r="AE22" s="326">
        <f>56.63-4.77</f>
        <v>51.86</v>
      </c>
      <c r="AF22" s="326"/>
      <c r="AG22" s="326">
        <f t="shared" ref="AG22:AG31" si="26">AE22-AF22</f>
        <v>51.86</v>
      </c>
      <c r="AH22" s="326">
        <v>32.79</v>
      </c>
      <c r="AI22" s="326"/>
      <c r="AJ22" s="326">
        <f t="shared" si="11"/>
        <v>32.79</v>
      </c>
      <c r="AK22" s="326">
        <f t="shared" ref="AK22:AK37" si="27">AE22-AH22</f>
        <v>19.07</v>
      </c>
      <c r="AL22" s="402">
        <f t="shared" si="10"/>
        <v>63.2</v>
      </c>
      <c r="AN22" s="500"/>
      <c r="AO22" s="501"/>
      <c r="AP22" s="498" t="s">
        <v>315</v>
      </c>
      <c r="AQ22" s="501">
        <f t="shared" si="20"/>
        <v>31</v>
      </c>
      <c r="AR22" s="393">
        <f t="shared" si="21"/>
        <v>23.25</v>
      </c>
      <c r="AS22" s="393">
        <f t="shared" si="21"/>
        <v>23.25</v>
      </c>
      <c r="AT22" s="493">
        <f t="shared" si="21"/>
        <v>0</v>
      </c>
    </row>
    <row r="23" spans="1:46" ht="20.25" customHeight="1" x14ac:dyDescent="0.25">
      <c r="A23" s="899"/>
      <c r="B23" s="667"/>
      <c r="C23" s="487" t="s">
        <v>152</v>
      </c>
      <c r="D23" s="315" t="s">
        <v>128</v>
      </c>
      <c r="E23" s="315" t="s">
        <v>128</v>
      </c>
      <c r="F23" s="915" t="s">
        <v>121</v>
      </c>
      <c r="G23" s="917" t="s">
        <v>122</v>
      </c>
      <c r="H23" s="339"/>
      <c r="I23" s="339"/>
      <c r="J23" s="339"/>
      <c r="K23" s="339"/>
      <c r="L23" s="339"/>
      <c r="M23" s="339"/>
      <c r="N23" s="336" t="s">
        <v>13</v>
      </c>
      <c r="O23" s="317">
        <v>5168.32</v>
      </c>
      <c r="P23" s="317">
        <v>10484.08</v>
      </c>
      <c r="Q23" s="317">
        <v>5968.58</v>
      </c>
      <c r="R23" s="317">
        <v>7454.69</v>
      </c>
      <c r="S23" s="317">
        <f t="shared" si="24"/>
        <v>1486.1099999999997</v>
      </c>
      <c r="T23" s="324">
        <f t="shared" si="25"/>
        <v>44.238166367407587</v>
      </c>
      <c r="U23" s="387" t="s">
        <v>172</v>
      </c>
      <c r="V23" s="389" t="s">
        <v>429</v>
      </c>
      <c r="W23" s="389" t="str">
        <f>+W4</f>
        <v>Actual</v>
      </c>
      <c r="X23" s="389" t="str">
        <f>+X4</f>
        <v xml:space="preserve">BP </v>
      </c>
      <c r="Y23" s="389" t="str">
        <f>+R6</f>
        <v>Actual</v>
      </c>
      <c r="Z23" s="389" t="s">
        <v>174</v>
      </c>
      <c r="AA23" s="389" t="s">
        <v>215</v>
      </c>
      <c r="AB23" s="389" t="s">
        <v>216</v>
      </c>
      <c r="AC23" s="326">
        <v>86.04</v>
      </c>
      <c r="AD23" s="763" t="s">
        <v>217</v>
      </c>
      <c r="AE23" s="326">
        <f>489.1-50-5.51</f>
        <v>433.59000000000003</v>
      </c>
      <c r="AF23" s="326"/>
      <c r="AG23" s="326">
        <f t="shared" si="26"/>
        <v>433.59000000000003</v>
      </c>
      <c r="AH23" s="326">
        <v>89.09</v>
      </c>
      <c r="AI23" s="326"/>
      <c r="AJ23" s="326">
        <f t="shared" si="11"/>
        <v>89.09</v>
      </c>
      <c r="AK23" s="326">
        <f t="shared" si="27"/>
        <v>344.5</v>
      </c>
      <c r="AL23" s="402">
        <f t="shared" si="10"/>
        <v>20.5</v>
      </c>
      <c r="AN23" s="500"/>
      <c r="AO23" s="501"/>
      <c r="AP23" s="498" t="s">
        <v>316</v>
      </c>
      <c r="AQ23" s="501">
        <f t="shared" si="20"/>
        <v>2841</v>
      </c>
      <c r="AR23" s="393">
        <f t="shared" si="21"/>
        <v>2130.75</v>
      </c>
      <c r="AS23" s="393">
        <f t="shared" si="21"/>
        <v>2130.75</v>
      </c>
      <c r="AT23" s="493">
        <f t="shared" si="21"/>
        <v>0</v>
      </c>
    </row>
    <row r="24" spans="1:46" ht="16.5" thickBot="1" x14ac:dyDescent="0.3">
      <c r="A24" s="315"/>
      <c r="B24" s="319" t="s">
        <v>100</v>
      </c>
      <c r="C24" s="487" t="str">
        <f>+C6</f>
        <v>Dec-20</v>
      </c>
      <c r="D24" s="315" t="str">
        <f>+D6</f>
        <v>Dec-21</v>
      </c>
      <c r="E24" s="319" t="str">
        <f>+D24</f>
        <v>Dec-21</v>
      </c>
      <c r="F24" s="916"/>
      <c r="G24" s="918"/>
      <c r="H24" s="340"/>
      <c r="I24" s="339"/>
      <c r="J24" s="339"/>
      <c r="K24" s="339"/>
      <c r="L24" s="339"/>
      <c r="M24" s="339"/>
      <c r="N24" s="336" t="s">
        <v>14</v>
      </c>
      <c r="O24" s="317">
        <v>111.79</v>
      </c>
      <c r="P24" s="317">
        <v>233.08</v>
      </c>
      <c r="Q24" s="317">
        <v>181.94</v>
      </c>
      <c r="R24" s="317">
        <v>118.11</v>
      </c>
      <c r="S24" s="317">
        <f t="shared" si="24"/>
        <v>-63.83</v>
      </c>
      <c r="T24" s="324">
        <f t="shared" si="25"/>
        <v>5.6534573754360791</v>
      </c>
      <c r="U24" s="387"/>
      <c r="V24" s="617" t="str">
        <f>+B6</f>
        <v>2021-22</v>
      </c>
      <c r="W24" s="398" t="str">
        <f>+W5</f>
        <v>Dec-20</v>
      </c>
      <c r="X24" s="617" t="str">
        <f>+R8</f>
        <v>Dec-21</v>
      </c>
      <c r="Y24" s="389" t="str">
        <f>+X24</f>
        <v>Dec-21</v>
      </c>
      <c r="Z24" s="389" t="s">
        <v>179</v>
      </c>
      <c r="AA24" s="389" t="s">
        <v>116</v>
      </c>
      <c r="AB24" s="389" t="s">
        <v>218</v>
      </c>
      <c r="AC24" s="787">
        <v>29.85</v>
      </c>
      <c r="AD24" s="397" t="s">
        <v>219</v>
      </c>
      <c r="AE24" s="787">
        <v>23.11</v>
      </c>
      <c r="AF24" s="816"/>
      <c r="AG24" s="809">
        <f>AE24-AF24</f>
        <v>23.11</v>
      </c>
      <c r="AH24" s="787">
        <v>18.989999999999998</v>
      </c>
      <c r="AI24" s="809"/>
      <c r="AJ24" s="809">
        <f>AH24-AI25</f>
        <v>18.989999999999998</v>
      </c>
      <c r="AK24" s="809">
        <f>AE25-AH24</f>
        <v>-18.989999999999998</v>
      </c>
      <c r="AL24" s="811">
        <f t="shared" si="10"/>
        <v>82.2</v>
      </c>
      <c r="AN24" s="502"/>
      <c r="AO24" s="503"/>
      <c r="AP24" s="504" t="s">
        <v>317</v>
      </c>
      <c r="AQ24" s="503">
        <f t="shared" si="20"/>
        <v>11573.099999999999</v>
      </c>
      <c r="AR24" s="505">
        <f t="shared" si="21"/>
        <v>8663.5299999999988</v>
      </c>
      <c r="AS24" s="505">
        <f t="shared" si="21"/>
        <v>9690.8700000000008</v>
      </c>
      <c r="AT24" s="506">
        <f t="shared" si="21"/>
        <v>1027.3400000000011</v>
      </c>
    </row>
    <row r="25" spans="1:46" ht="16.5" thickBot="1" x14ac:dyDescent="0.3">
      <c r="A25" s="667">
        <v>1</v>
      </c>
      <c r="B25" s="667">
        <v>2</v>
      </c>
      <c r="C25" s="482">
        <v>3</v>
      </c>
      <c r="D25" s="667">
        <v>4</v>
      </c>
      <c r="E25" s="667">
        <v>5</v>
      </c>
      <c r="F25" s="667">
        <v>6</v>
      </c>
      <c r="G25" s="665">
        <v>7</v>
      </c>
      <c r="H25" s="339"/>
      <c r="I25" s="339"/>
      <c r="J25" s="339"/>
      <c r="K25" s="339"/>
      <c r="L25" s="339"/>
      <c r="M25" s="339"/>
      <c r="N25" s="336" t="s">
        <v>133</v>
      </c>
      <c r="O25" s="326">
        <f>SUM(O21:O24)</f>
        <v>6444.15</v>
      </c>
      <c r="P25" s="325">
        <f t="shared" ref="P25" si="28">SUM(P21:P24)</f>
        <v>15470.62</v>
      </c>
      <c r="Q25" s="751">
        <f t="shared" ref="Q25" si="29">SUM(Q21:Q24)</f>
        <v>10475</v>
      </c>
      <c r="R25" s="326">
        <f>SUM(R21:R24)</f>
        <v>10590.74</v>
      </c>
      <c r="S25" s="326">
        <f t="shared" si="24"/>
        <v>115.73999999999978</v>
      </c>
      <c r="T25" s="327">
        <f t="shared" si="25"/>
        <v>64.346577903990436</v>
      </c>
      <c r="U25" s="350" t="s">
        <v>186</v>
      </c>
      <c r="V25" s="317">
        <v>418.3</v>
      </c>
      <c r="W25" s="393">
        <v>304.2</v>
      </c>
      <c r="X25" s="317">
        <v>327.76</v>
      </c>
      <c r="Y25" s="317">
        <v>319.3</v>
      </c>
      <c r="Z25" s="317">
        <f>+Y25-X25</f>
        <v>-8.4599999999999795</v>
      </c>
      <c r="AA25" s="317">
        <f t="shared" ref="AA25:AA44" si="30">+Y25/V25*100</f>
        <v>76.332775519961743</v>
      </c>
      <c r="AB25" s="317">
        <f t="shared" ref="AB25:AB44" si="31">SUM(Y25-W25)/W25*100</f>
        <v>4.963839579224202</v>
      </c>
      <c r="AC25" s="788"/>
      <c r="AD25" s="397" t="s">
        <v>318</v>
      </c>
      <c r="AE25" s="788"/>
      <c r="AF25" s="817"/>
      <c r="AG25" s="810"/>
      <c r="AH25" s="788"/>
      <c r="AI25" s="810"/>
      <c r="AJ25" s="810"/>
      <c r="AK25" s="810"/>
      <c r="AL25" s="812"/>
      <c r="AN25" s="507">
        <f>J41</f>
        <v>79.22</v>
      </c>
      <c r="AO25" s="507">
        <f>+K41</f>
        <v>1.3441664144999732</v>
      </c>
      <c r="AP25" s="508" t="s">
        <v>319</v>
      </c>
      <c r="AQ25" s="509">
        <f>H41</f>
        <v>74.845416667205313</v>
      </c>
      <c r="AR25" s="509">
        <f>AJ50</f>
        <v>82.757804295942734</v>
      </c>
      <c r="AS25" s="509">
        <f>AJ51</f>
        <v>88.386930469447861</v>
      </c>
      <c r="AT25" s="510"/>
    </row>
    <row r="26" spans="1:46" ht="15.75" x14ac:dyDescent="0.25">
      <c r="A26" s="316" t="s">
        <v>11</v>
      </c>
      <c r="B26" s="317">
        <v>799.32</v>
      </c>
      <c r="C26" s="317">
        <v>112.81</v>
      </c>
      <c r="D26" s="764">
        <v>132.68</v>
      </c>
      <c r="E26" s="317">
        <v>170.43</v>
      </c>
      <c r="F26" s="317">
        <f>+E26-D26</f>
        <v>37.75</v>
      </c>
      <c r="G26" s="341">
        <f>ROUND((E26-C26)/C26*100,2)</f>
        <v>51.08</v>
      </c>
      <c r="H26" s="339"/>
      <c r="I26" s="339"/>
      <c r="J26" s="339"/>
      <c r="K26" s="339"/>
      <c r="L26" s="339"/>
      <c r="M26" s="339"/>
      <c r="N26" s="336" t="s">
        <v>16</v>
      </c>
      <c r="O26" s="317">
        <v>-47.49</v>
      </c>
      <c r="P26" s="317">
        <v>7</v>
      </c>
      <c r="Q26" s="317">
        <v>7</v>
      </c>
      <c r="R26" s="317">
        <v>-64.599999999999994</v>
      </c>
      <c r="S26" s="317">
        <f t="shared" si="24"/>
        <v>-71.599999999999994</v>
      </c>
      <c r="T26" s="324">
        <f t="shared" si="25"/>
        <v>36.028637607917439</v>
      </c>
      <c r="U26" s="350" t="s">
        <v>188</v>
      </c>
      <c r="V26" s="317">
        <v>934.5</v>
      </c>
      <c r="W26" s="393">
        <v>732.15</v>
      </c>
      <c r="X26" s="317">
        <v>728.5</v>
      </c>
      <c r="Y26" s="317">
        <v>742.01</v>
      </c>
      <c r="Z26" s="317">
        <f t="shared" ref="Z26:Z42" si="32">Y26-X26</f>
        <v>13.509999999999991</v>
      </c>
      <c r="AA26" s="317">
        <f t="shared" si="30"/>
        <v>79.401819154628143</v>
      </c>
      <c r="AB26" s="317">
        <f t="shared" si="31"/>
        <v>1.3467185685993326</v>
      </c>
      <c r="AC26" s="326">
        <v>163.41</v>
      </c>
      <c r="AD26" s="763" t="s">
        <v>220</v>
      </c>
      <c r="AE26" s="326">
        <v>134.81</v>
      </c>
      <c r="AF26" s="326"/>
      <c r="AG26" s="326">
        <f t="shared" si="26"/>
        <v>134.81</v>
      </c>
      <c r="AH26" s="326">
        <v>82.04</v>
      </c>
      <c r="AI26" s="326"/>
      <c r="AJ26" s="326">
        <f t="shared" si="11"/>
        <v>82.04</v>
      </c>
      <c r="AK26" s="326">
        <f t="shared" si="27"/>
        <v>52.769999999999996</v>
      </c>
      <c r="AL26" s="402">
        <f t="shared" si="10"/>
        <v>60.9</v>
      </c>
    </row>
    <row r="27" spans="1:46" ht="15.75" x14ac:dyDescent="0.25">
      <c r="A27" s="316" t="s">
        <v>12</v>
      </c>
      <c r="B27" s="317">
        <v>77.489999999999995</v>
      </c>
      <c r="C27" s="317">
        <v>9.76</v>
      </c>
      <c r="D27" s="764">
        <v>10.74</v>
      </c>
      <c r="E27" s="317">
        <v>13.26</v>
      </c>
      <c r="F27" s="317">
        <f>+E27-D27</f>
        <v>2.5199999999999996</v>
      </c>
      <c r="G27" s="341">
        <f t="shared" ref="G27:G29" si="33">ROUND((E27-C27)/C27*100,2)</f>
        <v>35.86</v>
      </c>
      <c r="H27" s="339"/>
      <c r="I27" s="339"/>
      <c r="J27" s="339"/>
      <c r="K27" s="339"/>
      <c r="L27" s="339"/>
      <c r="M27" s="339"/>
      <c r="N27" s="336" t="s">
        <v>136</v>
      </c>
      <c r="O27" s="325">
        <f t="shared" ref="O27" si="34">SUM(O25:O26)</f>
        <v>6396.66</v>
      </c>
      <c r="P27" s="325">
        <f t="shared" ref="P27" si="35">SUM(P25:P26)</f>
        <v>15477.62</v>
      </c>
      <c r="Q27" s="751">
        <f t="shared" ref="Q27:R27" si="36">SUM(Q25:Q26)</f>
        <v>10482</v>
      </c>
      <c r="R27" s="751">
        <f t="shared" si="36"/>
        <v>10526.14</v>
      </c>
      <c r="S27" s="326">
        <f t="shared" si="24"/>
        <v>44.139999999999418</v>
      </c>
      <c r="T27" s="327">
        <f t="shared" si="25"/>
        <v>64.556815588135052</v>
      </c>
      <c r="U27" s="350" t="s">
        <v>190</v>
      </c>
      <c r="V27" s="317">
        <v>231</v>
      </c>
      <c r="W27" s="393">
        <v>216.41</v>
      </c>
      <c r="X27" s="317">
        <v>188.96</v>
      </c>
      <c r="Y27" s="317">
        <v>199.5</v>
      </c>
      <c r="Z27" s="317">
        <f t="shared" si="32"/>
        <v>10.539999999999992</v>
      </c>
      <c r="AA27" s="317">
        <f t="shared" si="30"/>
        <v>86.36363636363636</v>
      </c>
      <c r="AB27" s="317">
        <f t="shared" si="31"/>
        <v>-7.813871817383669</v>
      </c>
      <c r="AC27" s="326">
        <v>65.17</v>
      </c>
      <c r="AD27" s="399" t="s">
        <v>221</v>
      </c>
      <c r="AE27" s="326">
        <v>68.03</v>
      </c>
      <c r="AF27" s="326"/>
      <c r="AG27" s="326">
        <f t="shared" si="26"/>
        <v>68.03</v>
      </c>
      <c r="AH27" s="326">
        <v>27.79</v>
      </c>
      <c r="AI27" s="326"/>
      <c r="AJ27" s="326">
        <f t="shared" si="11"/>
        <v>27.79</v>
      </c>
      <c r="AK27" s="326">
        <f t="shared" si="27"/>
        <v>40.24</v>
      </c>
      <c r="AL27" s="402">
        <f t="shared" si="10"/>
        <v>40.799999999999997</v>
      </c>
      <c r="AN27" s="476" t="s">
        <v>320</v>
      </c>
    </row>
    <row r="28" spans="1:46" ht="15.75" x14ac:dyDescent="0.25">
      <c r="A28" s="316" t="s">
        <v>13</v>
      </c>
      <c r="B28" s="317">
        <v>1764.98</v>
      </c>
      <c r="C28" s="317">
        <v>181.79</v>
      </c>
      <c r="D28" s="764">
        <v>191.54</v>
      </c>
      <c r="E28" s="317">
        <v>195.52</v>
      </c>
      <c r="F28" s="317">
        <f>+E28-D28</f>
        <v>3.9800000000000182</v>
      </c>
      <c r="G28" s="341">
        <f t="shared" si="33"/>
        <v>7.55</v>
      </c>
      <c r="H28" s="342"/>
      <c r="I28" s="342"/>
      <c r="J28" s="342"/>
      <c r="K28" s="342"/>
      <c r="L28" s="342"/>
      <c r="M28" s="342"/>
      <c r="N28" s="343"/>
      <c r="O28" s="343"/>
      <c r="P28" s="344"/>
      <c r="Q28" s="345"/>
      <c r="R28" s="344"/>
      <c r="S28" s="346"/>
      <c r="T28" s="347"/>
      <c r="U28" s="350" t="s">
        <v>192</v>
      </c>
      <c r="V28" s="696">
        <v>564</v>
      </c>
      <c r="W28" s="393">
        <v>390.39</v>
      </c>
      <c r="X28" s="317">
        <v>375.75</v>
      </c>
      <c r="Y28" s="317">
        <v>425.22</v>
      </c>
      <c r="Z28" s="317">
        <f t="shared" si="32"/>
        <v>49.470000000000027</v>
      </c>
      <c r="AA28" s="317">
        <f>+Y28/V28*100</f>
        <v>75.393617021276611</v>
      </c>
      <c r="AB28" s="317">
        <f t="shared" si="31"/>
        <v>8.921847383385856</v>
      </c>
      <c r="AC28" s="316">
        <v>0.22</v>
      </c>
      <c r="AD28" s="316" t="s">
        <v>222</v>
      </c>
      <c r="AE28" s="316">
        <v>2.98</v>
      </c>
      <c r="AF28" s="326"/>
      <c r="AG28" s="326">
        <f t="shared" si="26"/>
        <v>2.98</v>
      </c>
      <c r="AH28" s="316">
        <v>0.13</v>
      </c>
      <c r="AI28" s="316"/>
      <c r="AJ28" s="326">
        <f t="shared" si="11"/>
        <v>0.13</v>
      </c>
      <c r="AK28" s="326">
        <f t="shared" si="27"/>
        <v>2.85</v>
      </c>
      <c r="AL28" s="402">
        <f t="shared" si="10"/>
        <v>4.4000000000000004</v>
      </c>
      <c r="AN28" s="476" t="s">
        <v>321</v>
      </c>
      <c r="AS28" s="476" t="s">
        <v>322</v>
      </c>
    </row>
    <row r="29" spans="1:46" ht="15.75" x14ac:dyDescent="0.25">
      <c r="A29" s="316" t="s">
        <v>14</v>
      </c>
      <c r="B29" s="317">
        <v>186.56</v>
      </c>
      <c r="C29" s="317">
        <v>11.63</v>
      </c>
      <c r="D29" s="764">
        <v>26.21</v>
      </c>
      <c r="E29" s="317">
        <v>7.16</v>
      </c>
      <c r="F29" s="317">
        <f>+E29-D29</f>
        <v>-19.05</v>
      </c>
      <c r="G29" s="341">
        <f t="shared" si="33"/>
        <v>-38.44</v>
      </c>
      <c r="H29" s="342"/>
      <c r="I29" s="342"/>
      <c r="J29" s="342"/>
      <c r="K29" s="342"/>
      <c r="L29" s="342"/>
      <c r="M29" s="342"/>
      <c r="N29" s="348"/>
      <c r="O29" s="343"/>
      <c r="P29" s="349"/>
      <c r="Q29" s="345" t="s">
        <v>24</v>
      </c>
      <c r="R29" s="344" t="s">
        <v>153</v>
      </c>
      <c r="S29" s="346"/>
      <c r="T29" s="347"/>
      <c r="U29" s="350" t="s">
        <v>194</v>
      </c>
      <c r="V29" s="317">
        <v>568.6</v>
      </c>
      <c r="W29" s="393">
        <v>433.74</v>
      </c>
      <c r="X29" s="405">
        <v>427.96</v>
      </c>
      <c r="Y29" s="405">
        <v>455.43</v>
      </c>
      <c r="Z29" s="317">
        <f t="shared" si="32"/>
        <v>27.470000000000027</v>
      </c>
      <c r="AA29" s="317">
        <f t="shared" si="30"/>
        <v>80.0967288075976</v>
      </c>
      <c r="AB29" s="341">
        <f t="shared" si="31"/>
        <v>5.000691658597316</v>
      </c>
      <c r="AC29" s="316">
        <v>1341.04</v>
      </c>
      <c r="AD29" s="586" t="s">
        <v>359</v>
      </c>
      <c r="AE29" s="316">
        <v>2331.2600000000002</v>
      </c>
      <c r="AF29" s="326"/>
      <c r="AG29" s="326">
        <f t="shared" si="26"/>
        <v>2331.2600000000002</v>
      </c>
      <c r="AH29" s="316">
        <v>869.81</v>
      </c>
      <c r="AI29" s="326">
        <v>0.12</v>
      </c>
      <c r="AJ29" s="326">
        <f t="shared" si="11"/>
        <v>869.68999999999994</v>
      </c>
      <c r="AK29" s="326">
        <f t="shared" si="27"/>
        <v>1461.4500000000003</v>
      </c>
      <c r="AL29" s="402">
        <f t="shared" si="10"/>
        <v>37.299999999999997</v>
      </c>
    </row>
    <row r="30" spans="1:46" ht="15.75" x14ac:dyDescent="0.25">
      <c r="A30" s="350" t="s">
        <v>15</v>
      </c>
      <c r="B30" s="326">
        <f>SUM(B26:B29)</f>
        <v>2828.35</v>
      </c>
      <c r="C30" s="326">
        <f>SUM(C26:C29)</f>
        <v>315.99</v>
      </c>
      <c r="D30" s="765">
        <f>D26+D27+D28+D29</f>
        <v>361.17</v>
      </c>
      <c r="E30" s="765">
        <f>E26+E27+E28+E29</f>
        <v>386.37000000000006</v>
      </c>
      <c r="F30" s="326">
        <f>+E30-D30</f>
        <v>25.200000000000045</v>
      </c>
      <c r="G30" s="720">
        <f>ROUND((E30-C30)/C30*100,2)</f>
        <v>22.27</v>
      </c>
      <c r="H30" s="342"/>
      <c r="I30" s="342"/>
      <c r="J30" s="342"/>
      <c r="K30" s="342"/>
      <c r="L30" s="342"/>
      <c r="M30" s="342"/>
      <c r="N30" s="348"/>
      <c r="O30" s="343"/>
      <c r="P30" s="349"/>
      <c r="Q30" s="345"/>
      <c r="R30" s="344"/>
      <c r="S30" s="346"/>
      <c r="T30" s="347"/>
      <c r="U30" s="926" t="s">
        <v>196</v>
      </c>
      <c r="V30" s="807">
        <v>1094.8</v>
      </c>
      <c r="W30" s="803">
        <v>754.52</v>
      </c>
      <c r="X30" s="805">
        <v>798.05</v>
      </c>
      <c r="Y30" s="805">
        <v>902.71</v>
      </c>
      <c r="Z30" s="807">
        <f>Y30-X30</f>
        <v>104.66000000000008</v>
      </c>
      <c r="AA30" s="807">
        <f>+Y30/V30*100</f>
        <v>82.454329557910128</v>
      </c>
      <c r="AB30" s="855">
        <f>SUM(Y30-W30)/W30*100</f>
        <v>19.64030111859196</v>
      </c>
      <c r="AC30" s="326">
        <v>0</v>
      </c>
      <c r="AD30" s="586" t="s">
        <v>387</v>
      </c>
      <c r="AE30" s="326">
        <v>784.78</v>
      </c>
      <c r="AF30" s="326"/>
      <c r="AG30" s="326">
        <f t="shared" si="26"/>
        <v>784.78</v>
      </c>
      <c r="AH30" s="326">
        <v>0</v>
      </c>
      <c r="AI30" s="316"/>
      <c r="AJ30" s="326">
        <f t="shared" si="11"/>
        <v>0</v>
      </c>
      <c r="AK30" s="326">
        <f t="shared" si="27"/>
        <v>784.78</v>
      </c>
      <c r="AL30" s="402">
        <f t="shared" si="10"/>
        <v>0</v>
      </c>
    </row>
    <row r="31" spans="1:46" ht="16.5" thickBot="1" x14ac:dyDescent="0.3">
      <c r="H31" s="342"/>
      <c r="I31" s="351"/>
      <c r="J31" s="351"/>
      <c r="K31" s="351"/>
      <c r="L31" s="352"/>
      <c r="M31" s="352"/>
      <c r="N31" s="663"/>
      <c r="O31" s="353"/>
      <c r="P31" s="663"/>
      <c r="Q31" s="353"/>
      <c r="R31" s="353"/>
      <c r="S31" s="353"/>
      <c r="T31" s="354"/>
      <c r="U31" s="927"/>
      <c r="V31" s="808"/>
      <c r="W31" s="804"/>
      <c r="X31" s="806"/>
      <c r="Y31" s="806"/>
      <c r="Z31" s="808"/>
      <c r="AA31" s="808"/>
      <c r="AB31" s="856"/>
      <c r="AC31" s="695">
        <f>SUM(AC7:AC29)</f>
        <v>4160.6999999999989</v>
      </c>
      <c r="AD31" s="423" t="s">
        <v>348</v>
      </c>
      <c r="AE31" s="326">
        <f>SUM(AE7:AE30)</f>
        <v>7415.11</v>
      </c>
      <c r="AF31" s="326">
        <f>SUM(AF7:AF29)</f>
        <v>38.39</v>
      </c>
      <c r="AG31" s="326">
        <f t="shared" si="26"/>
        <v>7376.7199999999993</v>
      </c>
      <c r="AH31" s="326">
        <f>SUM(AH7:AH30)</f>
        <v>3733.2799999999997</v>
      </c>
      <c r="AI31" s="326">
        <f t="shared" ref="AI31:AJ31" si="37">SUM(AI7:AI29)</f>
        <v>92.61</v>
      </c>
      <c r="AJ31" s="326">
        <f t="shared" si="37"/>
        <v>3640.67</v>
      </c>
      <c r="AK31" s="326">
        <f>AE31-AH31</f>
        <v>3681.83</v>
      </c>
      <c r="AL31" s="402">
        <f t="shared" si="10"/>
        <v>50.3</v>
      </c>
      <c r="AM31" s="511">
        <f>AH31-AH29</f>
        <v>2863.47</v>
      </c>
    </row>
    <row r="32" spans="1:46" ht="16.5" thickBot="1" x14ac:dyDescent="0.3">
      <c r="A32" s="343"/>
      <c r="B32" s="652"/>
      <c r="C32" s="653"/>
      <c r="D32" s="652"/>
      <c r="E32" s="652"/>
      <c r="F32" s="652"/>
      <c r="G32" s="654"/>
      <c r="H32" s="342"/>
      <c r="I32" s="351"/>
      <c r="J32" s="351"/>
      <c r="K32" s="351"/>
      <c r="L32" s="352"/>
      <c r="M32" s="352"/>
      <c r="N32" s="655"/>
      <c r="O32" s="656"/>
      <c r="P32" s="655"/>
      <c r="Q32" s="656"/>
      <c r="R32" s="656"/>
      <c r="S32" s="657"/>
      <c r="T32" s="354"/>
      <c r="U32" s="926" t="s">
        <v>198</v>
      </c>
      <c r="V32" s="807">
        <v>2539.6</v>
      </c>
      <c r="W32" s="803">
        <v>2111.5700000000002</v>
      </c>
      <c r="X32" s="805">
        <v>2151.4299999999998</v>
      </c>
      <c r="Y32" s="805">
        <v>2095.11</v>
      </c>
      <c r="Z32" s="807">
        <f>Y32-X32</f>
        <v>-56.319999999999709</v>
      </c>
      <c r="AA32" s="807">
        <f>+Y32/V32*100</f>
        <v>82.497637423216261</v>
      </c>
      <c r="AB32" s="807">
        <f>SUM(Y32-W32)/W32*100</f>
        <v>-0.77951476863187275</v>
      </c>
      <c r="AC32" s="659"/>
      <c r="AD32" s="423"/>
      <c r="AE32" s="660"/>
      <c r="AF32" s="326"/>
      <c r="AG32" s="326"/>
      <c r="AH32" s="326"/>
      <c r="AI32" s="326"/>
      <c r="AJ32" s="326"/>
      <c r="AK32" s="326"/>
      <c r="AL32" s="402"/>
      <c r="AM32" s="511"/>
    </row>
    <row r="33" spans="1:40" ht="15.75" customHeight="1" x14ac:dyDescent="0.25">
      <c r="A33" s="919"/>
      <c r="B33" s="919"/>
      <c r="C33" s="919"/>
      <c r="D33" s="919"/>
      <c r="E33" s="919"/>
      <c r="F33" s="919"/>
      <c r="G33" s="919"/>
      <c r="H33" s="355"/>
      <c r="I33" s="356"/>
      <c r="J33" s="356"/>
      <c r="K33" s="356"/>
      <c r="L33" s="318"/>
      <c r="M33" s="313"/>
      <c r="N33" s="920" t="s">
        <v>154</v>
      </c>
      <c r="O33" s="920"/>
      <c r="P33" s="920"/>
      <c r="Q33" s="920"/>
      <c r="R33" s="920"/>
      <c r="S33" s="921"/>
      <c r="T33" s="357"/>
      <c r="U33" s="927"/>
      <c r="V33" s="808"/>
      <c r="W33" s="804"/>
      <c r="X33" s="806"/>
      <c r="Y33" s="806"/>
      <c r="Z33" s="808"/>
      <c r="AA33" s="808"/>
      <c r="AB33" s="808"/>
      <c r="AC33" s="326">
        <v>198.76</v>
      </c>
      <c r="AD33" s="316" t="s">
        <v>225</v>
      </c>
      <c r="AE33" s="326">
        <v>777.86</v>
      </c>
      <c r="AF33" s="326">
        <v>743.97</v>
      </c>
      <c r="AG33" s="326">
        <f>AE33-AF33</f>
        <v>33.889999999999986</v>
      </c>
      <c r="AH33" s="326">
        <v>319.23</v>
      </c>
      <c r="AI33" s="326">
        <v>306.14999999999998</v>
      </c>
      <c r="AJ33" s="326">
        <f>AH33-AI33</f>
        <v>13.080000000000041</v>
      </c>
      <c r="AK33" s="326">
        <f t="shared" si="27"/>
        <v>458.63</v>
      </c>
      <c r="AL33" s="402">
        <f>ROUND(AH33/AE33*100,1)</f>
        <v>41</v>
      </c>
      <c r="AN33" s="478"/>
    </row>
    <row r="34" spans="1:40" s="478" customFormat="1" ht="16.5" thickBot="1" x14ac:dyDescent="0.3">
      <c r="A34" s="901"/>
      <c r="B34" s="901"/>
      <c r="C34" s="901"/>
      <c r="D34" s="901"/>
      <c r="E34" s="901"/>
      <c r="F34" s="901"/>
      <c r="G34" s="922"/>
      <c r="H34" s="923" t="s">
        <v>155</v>
      </c>
      <c r="I34" s="924"/>
      <c r="J34" s="924"/>
      <c r="K34" s="924"/>
      <c r="L34" s="924"/>
      <c r="M34" s="925"/>
      <c r="N34" s="358"/>
      <c r="O34" s="359"/>
      <c r="P34" s="359"/>
      <c r="Q34" s="359"/>
      <c r="R34" s="359" t="s">
        <v>156</v>
      </c>
      <c r="S34" s="359" t="s">
        <v>156</v>
      </c>
      <c r="T34" s="360"/>
      <c r="U34" s="350" t="s">
        <v>200</v>
      </c>
      <c r="V34" s="317">
        <v>1290.7</v>
      </c>
      <c r="W34" s="393">
        <v>676.92</v>
      </c>
      <c r="X34" s="619">
        <v>706.75</v>
      </c>
      <c r="Y34" s="619">
        <v>1139.5</v>
      </c>
      <c r="Z34" s="317">
        <f t="shared" si="32"/>
        <v>432.75</v>
      </c>
      <c r="AA34" s="317">
        <f t="shared" si="30"/>
        <v>88.285426512745019</v>
      </c>
      <c r="AB34" s="317">
        <f t="shared" si="31"/>
        <v>68.335992436329263</v>
      </c>
      <c r="AC34" s="326">
        <v>576.74</v>
      </c>
      <c r="AD34" s="316" t="s">
        <v>226</v>
      </c>
      <c r="AE34" s="326">
        <v>645.52</v>
      </c>
      <c r="AF34" s="326">
        <v>697.5</v>
      </c>
      <c r="AG34" s="326">
        <f>AE34-AF34</f>
        <v>-51.980000000000018</v>
      </c>
      <c r="AH34" s="326">
        <v>478.9</v>
      </c>
      <c r="AI34" s="326">
        <v>438.44</v>
      </c>
      <c r="AJ34" s="326">
        <f t="shared" ref="AJ34:AJ37" si="38">AH34-AI34</f>
        <v>40.45999999999998</v>
      </c>
      <c r="AK34" s="326">
        <f t="shared" si="27"/>
        <v>166.62</v>
      </c>
      <c r="AL34" s="402">
        <f>ROUND(AH34/AE34*100,1)</f>
        <v>74.2</v>
      </c>
      <c r="AM34" s="512"/>
    </row>
    <row r="35" spans="1:40" ht="45" customHeight="1" x14ac:dyDescent="0.25">
      <c r="A35" s="818" t="s">
        <v>123</v>
      </c>
      <c r="B35" s="361" t="s">
        <v>116</v>
      </c>
      <c r="C35" s="513" t="s">
        <v>157</v>
      </c>
      <c r="D35" s="361" t="s">
        <v>158</v>
      </c>
      <c r="E35" s="361" t="str">
        <f>+E5</f>
        <v>Actual</v>
      </c>
      <c r="F35" s="361" t="s">
        <v>118</v>
      </c>
      <c r="G35" s="361" t="s">
        <v>151</v>
      </c>
      <c r="H35" s="819" t="s">
        <v>416</v>
      </c>
      <c r="I35" s="821" t="s">
        <v>417</v>
      </c>
      <c r="J35" s="823" t="s">
        <v>401</v>
      </c>
      <c r="K35" s="824"/>
      <c r="L35" s="825"/>
      <c r="M35" s="829" t="s">
        <v>418</v>
      </c>
      <c r="N35" s="362"/>
      <c r="O35" s="363"/>
      <c r="P35" s="363"/>
      <c r="Q35" s="363"/>
      <c r="R35" s="364" t="s">
        <v>159</v>
      </c>
      <c r="S35" s="364" t="s">
        <v>160</v>
      </c>
      <c r="T35" s="365"/>
      <c r="U35" s="350" t="s">
        <v>202</v>
      </c>
      <c r="V35" s="317">
        <v>387.4</v>
      </c>
      <c r="W35" s="393">
        <v>311.2</v>
      </c>
      <c r="X35" s="317">
        <v>308.27</v>
      </c>
      <c r="Y35" s="317">
        <v>339.13</v>
      </c>
      <c r="Z35" s="317">
        <f t="shared" si="32"/>
        <v>30.860000000000014</v>
      </c>
      <c r="AA35" s="317">
        <f t="shared" si="30"/>
        <v>87.540010325245234</v>
      </c>
      <c r="AB35" s="317">
        <f t="shared" si="31"/>
        <v>8.9749357326478183</v>
      </c>
      <c r="AC35" s="326">
        <v>0</v>
      </c>
      <c r="AD35" s="316" t="s">
        <v>227</v>
      </c>
      <c r="AE35" s="326">
        <v>97</v>
      </c>
      <c r="AF35" s="326">
        <v>24</v>
      </c>
      <c r="AG35" s="326">
        <f>AE35-AF35</f>
        <v>73</v>
      </c>
      <c r="AH35" s="326">
        <v>38.24</v>
      </c>
      <c r="AI35" s="326">
        <v>0</v>
      </c>
      <c r="AJ35" s="326">
        <f>AH35-AI35</f>
        <v>38.24</v>
      </c>
      <c r="AK35" s="326">
        <f t="shared" si="27"/>
        <v>58.76</v>
      </c>
      <c r="AL35" s="402">
        <f>ROUND(AH35/AE35*100,1)</f>
        <v>39.4</v>
      </c>
      <c r="AN35" s="478"/>
    </row>
    <row r="36" spans="1:40" ht="30.75" thickBot="1" x14ac:dyDescent="0.3">
      <c r="A36" s="818"/>
      <c r="B36" s="471" t="str">
        <f>+B6</f>
        <v>2021-22</v>
      </c>
      <c r="C36" s="514" t="str">
        <f>+C6</f>
        <v>Dec-20</v>
      </c>
      <c r="D36" s="319" t="str">
        <f>+D6</f>
        <v>Dec-21</v>
      </c>
      <c r="E36" s="319" t="str">
        <f>+E6</f>
        <v>Dec-21</v>
      </c>
      <c r="F36" s="311" t="s">
        <v>161</v>
      </c>
      <c r="G36" s="471" t="s">
        <v>162</v>
      </c>
      <c r="H36" s="820"/>
      <c r="I36" s="822"/>
      <c r="J36" s="826"/>
      <c r="K36" s="827"/>
      <c r="L36" s="828"/>
      <c r="M36" s="830"/>
      <c r="N36" s="831" t="s">
        <v>163</v>
      </c>
      <c r="O36" s="832"/>
      <c r="P36" s="832"/>
      <c r="Q36" s="794"/>
      <c r="R36" s="317">
        <f>R38-R37</f>
        <v>16.04</v>
      </c>
      <c r="S36" s="317">
        <v>-38.229999999999997</v>
      </c>
      <c r="T36" s="324"/>
      <c r="U36" s="350" t="s">
        <v>204</v>
      </c>
      <c r="V36" s="317">
        <v>374.05</v>
      </c>
      <c r="W36" s="393">
        <v>328.06</v>
      </c>
      <c r="X36" s="317">
        <v>277.45</v>
      </c>
      <c r="Y36" s="317">
        <v>356.24</v>
      </c>
      <c r="Z36" s="317">
        <f>Y36-X36</f>
        <v>78.79000000000002</v>
      </c>
      <c r="AA36" s="317">
        <f t="shared" si="30"/>
        <v>95.238604464643757</v>
      </c>
      <c r="AB36" s="317">
        <f t="shared" si="31"/>
        <v>8.5898920929098352</v>
      </c>
      <c r="AC36" s="326">
        <f>SUM(AC33:AC35)</f>
        <v>775.5</v>
      </c>
      <c r="AD36" s="763" t="s">
        <v>228</v>
      </c>
      <c r="AE36" s="326">
        <f>SUM(AE33:AE35)</f>
        <v>1520.38</v>
      </c>
      <c r="AF36" s="326">
        <f>SUM(AF33:AF35)</f>
        <v>1465.47</v>
      </c>
      <c r="AG36" s="326">
        <f>AE36-AF36</f>
        <v>54.910000000000082</v>
      </c>
      <c r="AH36" s="326">
        <f>AH33+AH34+AH35</f>
        <v>836.37</v>
      </c>
      <c r="AI36" s="326">
        <f>SUM(AI33:AI35)</f>
        <v>744.58999999999992</v>
      </c>
      <c r="AJ36" s="326">
        <f t="shared" si="38"/>
        <v>91.780000000000086</v>
      </c>
      <c r="AK36" s="326">
        <f t="shared" si="27"/>
        <v>684.0100000000001</v>
      </c>
      <c r="AL36" s="402">
        <f>ROUND(AH36/AE36*100,1)</f>
        <v>55</v>
      </c>
      <c r="AN36" s="515">
        <f>+AH31-AH29-0.54</f>
        <v>2862.93</v>
      </c>
    </row>
    <row r="37" spans="1:40" ht="16.5" thickBot="1" x14ac:dyDescent="0.3">
      <c r="A37" s="350" t="s">
        <v>11</v>
      </c>
      <c r="B37" s="703">
        <v>1596.42</v>
      </c>
      <c r="C37" s="317">
        <v>428.77</v>
      </c>
      <c r="D37" s="764">
        <v>1190.7</v>
      </c>
      <c r="E37" s="317">
        <v>1290.99</v>
      </c>
      <c r="F37" s="317">
        <f>+E37-D37</f>
        <v>100.28999999999996</v>
      </c>
      <c r="G37" s="317">
        <f>ROUND((E37-C37)/C37*100,2)</f>
        <v>201.09</v>
      </c>
      <c r="H37" s="766">
        <v>25.47</v>
      </c>
      <c r="I37" s="767">
        <v>18.47</v>
      </c>
      <c r="J37" s="789">
        <f>M37-H37</f>
        <v>71.92</v>
      </c>
      <c r="K37" s="833"/>
      <c r="L37" s="834"/>
      <c r="M37" s="768">
        <v>97.39</v>
      </c>
      <c r="N37" s="831" t="s">
        <v>164</v>
      </c>
      <c r="O37" s="832"/>
      <c r="P37" s="832"/>
      <c r="Q37" s="794"/>
      <c r="R37" s="317">
        <v>-1.86</v>
      </c>
      <c r="S37" s="317">
        <v>-26.37</v>
      </c>
      <c r="T37" s="324"/>
      <c r="U37" s="350" t="s">
        <v>206</v>
      </c>
      <c r="V37" s="317">
        <v>304.10000000000002</v>
      </c>
      <c r="W37" s="393">
        <v>206.1</v>
      </c>
      <c r="X37" s="317">
        <v>224</v>
      </c>
      <c r="Y37" s="317">
        <v>232.68</v>
      </c>
      <c r="Z37" s="317">
        <f t="shared" si="32"/>
        <v>8.6800000000000068</v>
      </c>
      <c r="AA37" s="317">
        <f t="shared" si="30"/>
        <v>76.514304505097002</v>
      </c>
      <c r="AB37" s="317">
        <f t="shared" si="31"/>
        <v>12.896652110625917</v>
      </c>
      <c r="AC37" s="326">
        <f t="shared" ref="AC37" si="39">AC31+AC36</f>
        <v>4936.1999999999989</v>
      </c>
      <c r="AD37" s="763" t="s">
        <v>229</v>
      </c>
      <c r="AE37" s="326">
        <f>AE31+AE36</f>
        <v>8935.49</v>
      </c>
      <c r="AF37" s="326">
        <f t="shared" ref="AF37:AI37" si="40">AF31+AF36</f>
        <v>1503.8600000000001</v>
      </c>
      <c r="AG37" s="326">
        <f t="shared" si="40"/>
        <v>7431.6299999999992</v>
      </c>
      <c r="AH37" s="326">
        <f t="shared" si="40"/>
        <v>4569.6499999999996</v>
      </c>
      <c r="AI37" s="326">
        <f t="shared" si="40"/>
        <v>837.19999999999993</v>
      </c>
      <c r="AJ37" s="326">
        <f t="shared" si="38"/>
        <v>3732.45</v>
      </c>
      <c r="AK37" s="326">
        <f t="shared" si="27"/>
        <v>4365.84</v>
      </c>
      <c r="AL37" s="327">
        <f t="shared" ref="AL37" si="41">ROUND(AH37/AE37*100,1)</f>
        <v>51.1</v>
      </c>
      <c r="AM37" s="511">
        <f>AH37-AH29-AI37</f>
        <v>2862.64</v>
      </c>
      <c r="AN37" s="478"/>
    </row>
    <row r="38" spans="1:40" ht="16.5" thickBot="1" x14ac:dyDescent="0.3">
      <c r="A38" s="350" t="s">
        <v>12</v>
      </c>
      <c r="B38" s="317">
        <v>85.24</v>
      </c>
      <c r="C38" s="317">
        <v>45.19</v>
      </c>
      <c r="D38" s="764">
        <v>49.7</v>
      </c>
      <c r="E38" s="317">
        <v>111.59</v>
      </c>
      <c r="F38" s="317">
        <f>+E38-D38</f>
        <v>61.89</v>
      </c>
      <c r="G38" s="317">
        <f>ROUND((E38-C38)/C38*100,2)</f>
        <v>146.94</v>
      </c>
      <c r="H38" s="835" t="s">
        <v>165</v>
      </c>
      <c r="I38" s="836"/>
      <c r="J38" s="836"/>
      <c r="K38" s="837"/>
      <c r="L38" s="837"/>
      <c r="M38" s="838"/>
      <c r="N38" s="839" t="s">
        <v>166</v>
      </c>
      <c r="O38" s="840"/>
      <c r="P38" s="840"/>
      <c r="Q38" s="841"/>
      <c r="R38" s="326">
        <v>14.18</v>
      </c>
      <c r="S38" s="326">
        <f>S36+S37</f>
        <v>-64.599999999999994</v>
      </c>
      <c r="T38" s="324"/>
      <c r="U38" s="350" t="s">
        <v>208</v>
      </c>
      <c r="V38" s="401">
        <f>SUM(V25:V37)</f>
        <v>8707.0499999999993</v>
      </c>
      <c r="W38" s="401">
        <f>SUM(W25:W37)</f>
        <v>6465.2600000000011</v>
      </c>
      <c r="X38" s="326">
        <f>SUM(X25:X37)</f>
        <v>6514.88</v>
      </c>
      <c r="Y38" s="326">
        <f t="shared" ref="Y38" si="42">SUM(Y25:Y37)</f>
        <v>7206.8300000000008</v>
      </c>
      <c r="Z38" s="326">
        <f t="shared" si="32"/>
        <v>691.95000000000073</v>
      </c>
      <c r="AA38" s="326">
        <f t="shared" si="30"/>
        <v>82.77005415152091</v>
      </c>
      <c r="AB38" s="326">
        <f t="shared" si="31"/>
        <v>11.470072355945463</v>
      </c>
      <c r="AC38" s="403" t="str">
        <f>+AC5</f>
        <v>2020-21</v>
      </c>
      <c r="AD38" s="813" t="s">
        <v>230</v>
      </c>
      <c r="AE38" s="813"/>
      <c r="AF38" s="813"/>
      <c r="AG38" s="813"/>
      <c r="AH38" s="813"/>
      <c r="AI38" s="813"/>
      <c r="AJ38" s="813"/>
      <c r="AK38" s="813"/>
      <c r="AL38" s="814"/>
      <c r="AN38" s="478"/>
    </row>
    <row r="39" spans="1:40" ht="16.5" thickBot="1" x14ac:dyDescent="0.3">
      <c r="A39" s="350" t="s">
        <v>13</v>
      </c>
      <c r="B39" s="317">
        <v>1862.37</v>
      </c>
      <c r="C39" s="317">
        <v>1280.27</v>
      </c>
      <c r="D39" s="764">
        <v>1348.9</v>
      </c>
      <c r="E39" s="317">
        <v>1455.79</v>
      </c>
      <c r="F39" s="317">
        <f>+E39-D39</f>
        <v>106.88999999999987</v>
      </c>
      <c r="G39" s="317">
        <f>ROUND((E39-C39)/C39*100,2)</f>
        <v>13.71</v>
      </c>
      <c r="H39" s="836" t="s">
        <v>116</v>
      </c>
      <c r="I39" s="842"/>
      <c r="J39" s="366" t="s">
        <v>124</v>
      </c>
      <c r="K39" s="367" t="s">
        <v>124</v>
      </c>
      <c r="L39" s="843" t="str">
        <f>+E5</f>
        <v>Actual</v>
      </c>
      <c r="M39" s="844"/>
      <c r="N39" s="845"/>
      <c r="O39" s="846"/>
      <c r="P39" s="846"/>
      <c r="Q39" s="846"/>
      <c r="R39" s="846"/>
      <c r="S39" s="846"/>
      <c r="T39" s="847"/>
      <c r="U39" s="350" t="s">
        <v>16</v>
      </c>
      <c r="V39" s="317">
        <v>-5.95</v>
      </c>
      <c r="W39" s="393">
        <v>293.39</v>
      </c>
      <c r="X39" s="317">
        <v>-5.35</v>
      </c>
      <c r="Y39" s="393">
        <v>330.04</v>
      </c>
      <c r="Z39" s="317">
        <f>Y39-X39</f>
        <v>335.39000000000004</v>
      </c>
      <c r="AA39" s="317">
        <f t="shared" si="30"/>
        <v>-5546.8907563025214</v>
      </c>
      <c r="AB39" s="317">
        <f t="shared" si="31"/>
        <v>12.491904972902974</v>
      </c>
      <c r="AC39" s="326">
        <v>1347.49</v>
      </c>
      <c r="AD39" s="763" t="s">
        <v>231</v>
      </c>
      <c r="AE39" s="326">
        <f>4070.09-50</f>
        <v>4020.09</v>
      </c>
      <c r="AF39" s="326">
        <v>1465.47</v>
      </c>
      <c r="AG39" s="326">
        <f>AE39-AF39</f>
        <v>2554.62</v>
      </c>
      <c r="AH39" s="326">
        <v>2539.5</v>
      </c>
      <c r="AI39" s="326">
        <v>745.11</v>
      </c>
      <c r="AJ39" s="326">
        <f t="shared" ref="AJ39:AJ47" si="43">AH39-AI39</f>
        <v>1794.3899999999999</v>
      </c>
      <c r="AK39" s="326">
        <f>AE39-AH39</f>
        <v>1480.5900000000001</v>
      </c>
      <c r="AL39" s="327">
        <f>ROUND(AH39/AE39*100,1)</f>
        <v>63.2</v>
      </c>
      <c r="AN39" s="478"/>
    </row>
    <row r="40" spans="1:40" ht="16.5" thickBot="1" x14ac:dyDescent="0.3">
      <c r="A40" s="350" t="s">
        <v>14</v>
      </c>
      <c r="B40" s="317">
        <v>288.49</v>
      </c>
      <c r="C40" s="317">
        <v>111.79</v>
      </c>
      <c r="D40" s="764">
        <v>181.94</v>
      </c>
      <c r="E40" s="317">
        <v>118.11</v>
      </c>
      <c r="F40" s="317">
        <f>+E40-D40</f>
        <v>-63.83</v>
      </c>
      <c r="G40" s="317">
        <f>ROUND((E40-C40)/C40*100,2)</f>
        <v>5.65</v>
      </c>
      <c r="H40" s="472" t="str">
        <f>+B6</f>
        <v>2021-22</v>
      </c>
      <c r="I40" s="368" t="str">
        <f>L40</f>
        <v>Dec-21</v>
      </c>
      <c r="J40" s="368" t="s">
        <v>100</v>
      </c>
      <c r="K40" s="369" t="str">
        <f>C36</f>
        <v>Dec-20</v>
      </c>
      <c r="L40" s="853" t="str">
        <f>D36</f>
        <v>Dec-21</v>
      </c>
      <c r="M40" s="854"/>
      <c r="N40" s="848"/>
      <c r="O40" s="815"/>
      <c r="P40" s="815"/>
      <c r="Q40" s="815"/>
      <c r="R40" s="815"/>
      <c r="S40" s="815"/>
      <c r="T40" s="849"/>
      <c r="U40" s="350" t="s">
        <v>211</v>
      </c>
      <c r="V40" s="326">
        <f>SUM(V38:V39)</f>
        <v>8701.0999999999985</v>
      </c>
      <c r="W40" s="326">
        <f>SUM(W38:W39)</f>
        <v>6758.6500000000015</v>
      </c>
      <c r="X40" s="401">
        <f>SUM(X38:X39)</f>
        <v>6509.53</v>
      </c>
      <c r="Y40" s="326">
        <f>SUM(Y38:Y39)</f>
        <v>7536.8700000000008</v>
      </c>
      <c r="Z40" s="326">
        <f t="shared" si="32"/>
        <v>1027.3400000000011</v>
      </c>
      <c r="AA40" s="326">
        <f t="shared" si="30"/>
        <v>86.619737734309481</v>
      </c>
      <c r="AB40" s="326">
        <f t="shared" si="31"/>
        <v>11.514429656810149</v>
      </c>
      <c r="AC40" s="326">
        <v>40.47</v>
      </c>
      <c r="AD40" s="763" t="s">
        <v>232</v>
      </c>
      <c r="AE40" s="326">
        <f>44.92-4.77</f>
        <v>40.150000000000006</v>
      </c>
      <c r="AF40" s="326">
        <v>0</v>
      </c>
      <c r="AG40" s="326">
        <f t="shared" ref="AG40:AG47" si="44">AE40-AF40</f>
        <v>40.150000000000006</v>
      </c>
      <c r="AH40" s="326">
        <v>37.35</v>
      </c>
      <c r="AI40" s="326">
        <v>10.31</v>
      </c>
      <c r="AJ40" s="326">
        <f t="shared" si="43"/>
        <v>27.04</v>
      </c>
      <c r="AK40" s="326">
        <f t="shared" ref="AK40:AK46" si="45">AE40-AH40</f>
        <v>2.8000000000000043</v>
      </c>
      <c r="AL40" s="327">
        <f>ROUND(AH40/AE40*100,1)</f>
        <v>93</v>
      </c>
    </row>
    <row r="41" spans="1:40" ht="16.5" thickBot="1" x14ac:dyDescent="0.3">
      <c r="A41" s="350" t="s">
        <v>15</v>
      </c>
      <c r="B41" s="704">
        <f>B37+B38+B39+B40</f>
        <v>3832.5199999999995</v>
      </c>
      <c r="C41" s="326">
        <f t="shared" ref="C41" si="46">SUM(C37:C40)</f>
        <v>1866.02</v>
      </c>
      <c r="D41" s="765">
        <f>D37+D38+D39+D40</f>
        <v>2771.2400000000002</v>
      </c>
      <c r="E41" s="765">
        <f>E37+E38+E39+E40</f>
        <v>2976.48</v>
      </c>
      <c r="F41" s="326">
        <f>SUM(F37:F40)</f>
        <v>205.23999999999984</v>
      </c>
      <c r="G41" s="326">
        <f>ROUND((E41-C41)/C41*100,2)</f>
        <v>59.51</v>
      </c>
      <c r="H41" s="370">
        <f>+AJ49</f>
        <v>74.845416667205313</v>
      </c>
      <c r="I41" s="371">
        <f>+AJ50</f>
        <v>82.757804295942734</v>
      </c>
      <c r="J41" s="370">
        <v>79.22</v>
      </c>
      <c r="K41" s="372">
        <f>W44/O25</f>
        <v>1.3441664144999732</v>
      </c>
      <c r="L41" s="789">
        <f>+AJ51</f>
        <v>88.386930469447861</v>
      </c>
      <c r="M41" s="790"/>
      <c r="N41" s="850"/>
      <c r="O41" s="851"/>
      <c r="P41" s="851"/>
      <c r="Q41" s="851"/>
      <c r="R41" s="851"/>
      <c r="S41" s="851"/>
      <c r="T41" s="852"/>
      <c r="U41" s="350" t="s">
        <v>233</v>
      </c>
      <c r="V41" s="326">
        <v>31</v>
      </c>
      <c r="W41" s="317">
        <v>24</v>
      </c>
      <c r="X41" s="317">
        <v>23.25</v>
      </c>
      <c r="Y41" s="317">
        <v>23.25</v>
      </c>
      <c r="Z41" s="326">
        <f>Y41-X41</f>
        <v>0</v>
      </c>
      <c r="AA41" s="317">
        <f t="shared" si="30"/>
        <v>75</v>
      </c>
      <c r="AB41" s="317">
        <f t="shared" si="31"/>
        <v>-3.125</v>
      </c>
      <c r="AC41" s="326">
        <v>87.15</v>
      </c>
      <c r="AD41" s="763" t="s">
        <v>234</v>
      </c>
      <c r="AE41" s="326">
        <v>85.08</v>
      </c>
      <c r="AF41" s="326">
        <v>0</v>
      </c>
      <c r="AG41" s="326">
        <f t="shared" si="44"/>
        <v>85.08</v>
      </c>
      <c r="AH41" s="326">
        <v>72.98</v>
      </c>
      <c r="AI41" s="326">
        <v>0</v>
      </c>
      <c r="AJ41" s="326">
        <f t="shared" si="43"/>
        <v>72.98</v>
      </c>
      <c r="AK41" s="326">
        <f t="shared" si="45"/>
        <v>12.099999999999994</v>
      </c>
      <c r="AL41" s="327">
        <f>ROUND(AH41/AE41*100,1)</f>
        <v>85.8</v>
      </c>
      <c r="AN41" s="494">
        <f>AH47-AH37</f>
        <v>0</v>
      </c>
    </row>
    <row r="42" spans="1:40" ht="15.75" x14ac:dyDescent="0.25">
      <c r="A42" s="312"/>
      <c r="B42" s="313"/>
      <c r="C42" s="516"/>
      <c r="D42" s="373"/>
      <c r="E42" s="373"/>
      <c r="F42" s="373"/>
      <c r="G42" s="313"/>
      <c r="H42" s="374"/>
      <c r="I42" s="374"/>
      <c r="J42" s="374"/>
      <c r="K42" s="374"/>
      <c r="L42" s="374"/>
      <c r="M42" s="375"/>
      <c r="N42" s="355"/>
      <c r="O42" s="318"/>
      <c r="P42" s="318"/>
      <c r="Q42" s="313"/>
      <c r="R42" s="318"/>
      <c r="S42" s="313"/>
      <c r="T42" s="313"/>
      <c r="U42" s="350" t="s">
        <v>235</v>
      </c>
      <c r="V42" s="326">
        <v>2841</v>
      </c>
      <c r="W42" s="317">
        <v>2172.75</v>
      </c>
      <c r="X42" s="317">
        <v>2130.75</v>
      </c>
      <c r="Y42" s="317">
        <v>2130.75</v>
      </c>
      <c r="Z42" s="317">
        <f t="shared" si="32"/>
        <v>0</v>
      </c>
      <c r="AA42" s="317">
        <f t="shared" si="30"/>
        <v>75</v>
      </c>
      <c r="AB42" s="317">
        <f t="shared" si="31"/>
        <v>-1.9330341732827063</v>
      </c>
      <c r="AC42" s="326">
        <v>0</v>
      </c>
      <c r="AD42" s="763" t="s">
        <v>236</v>
      </c>
      <c r="AE42" s="326">
        <v>0</v>
      </c>
      <c r="AF42" s="326">
        <v>0</v>
      </c>
      <c r="AG42" s="326">
        <f t="shared" si="44"/>
        <v>0</v>
      </c>
      <c r="AH42" s="326">
        <v>0</v>
      </c>
      <c r="AI42" s="326">
        <v>0</v>
      </c>
      <c r="AJ42" s="326">
        <f t="shared" si="43"/>
        <v>0</v>
      </c>
      <c r="AK42" s="326">
        <f t="shared" si="45"/>
        <v>0</v>
      </c>
      <c r="AL42" s="327">
        <v>0</v>
      </c>
      <c r="AN42" s="494">
        <f>+AI47-AI37</f>
        <v>0</v>
      </c>
    </row>
    <row r="43" spans="1:40" ht="15.75" x14ac:dyDescent="0.25">
      <c r="A43" s="312"/>
      <c r="B43" s="313"/>
      <c r="C43" s="516"/>
      <c r="D43" s="373"/>
      <c r="E43" s="373"/>
      <c r="F43" s="373"/>
      <c r="G43" s="313"/>
      <c r="H43" s="313"/>
      <c r="I43" s="313"/>
      <c r="J43" s="313"/>
      <c r="K43" s="313"/>
      <c r="L43" s="313"/>
      <c r="M43" s="355"/>
      <c r="N43" s="355"/>
      <c r="O43" s="318"/>
      <c r="P43" s="318"/>
      <c r="Q43" s="313"/>
      <c r="R43" s="318"/>
      <c r="S43" s="313"/>
      <c r="T43" s="376"/>
      <c r="U43" s="350" t="s">
        <v>237</v>
      </c>
      <c r="V43" s="400">
        <f>+V40+V41+V42</f>
        <v>11573.099999999999</v>
      </c>
      <c r="W43" s="400">
        <f>+W40+W41+W42</f>
        <v>8955.4000000000015</v>
      </c>
      <c r="X43" s="400">
        <f>+X40+X41+X42</f>
        <v>8663.5299999999988</v>
      </c>
      <c r="Y43" s="400">
        <f>+Y40+Y41+Y42</f>
        <v>9690.8700000000008</v>
      </c>
      <c r="Z43" s="326">
        <f>+Z40+Z41+Z42</f>
        <v>1027.3400000000011</v>
      </c>
      <c r="AA43" s="326">
        <f t="shared" si="30"/>
        <v>83.736164035565253</v>
      </c>
      <c r="AB43" s="326">
        <f t="shared" si="31"/>
        <v>8.2125868191258817</v>
      </c>
      <c r="AC43" s="326">
        <v>103.55</v>
      </c>
      <c r="AD43" s="763" t="s">
        <v>238</v>
      </c>
      <c r="AE43" s="326">
        <f>1469.73-5.51</f>
        <v>1464.22</v>
      </c>
      <c r="AF43" s="326">
        <v>38.39</v>
      </c>
      <c r="AG43" s="326">
        <f t="shared" si="44"/>
        <v>1425.83</v>
      </c>
      <c r="AH43" s="326">
        <v>969.61</v>
      </c>
      <c r="AI43" s="326">
        <v>81.66</v>
      </c>
      <c r="AJ43" s="326">
        <f t="shared" si="43"/>
        <v>887.95</v>
      </c>
      <c r="AK43" s="326">
        <f t="shared" si="45"/>
        <v>494.61</v>
      </c>
      <c r="AL43" s="327">
        <f>ROUND(AH43/AE43*100,1)</f>
        <v>66.2</v>
      </c>
      <c r="AN43" s="494"/>
    </row>
    <row r="44" spans="1:40" ht="15.75" x14ac:dyDescent="0.25">
      <c r="A44" s="312"/>
      <c r="B44" s="313"/>
      <c r="C44" s="516"/>
      <c r="D44" s="313"/>
      <c r="E44" s="313"/>
      <c r="F44" s="318"/>
      <c r="G44" s="313"/>
      <c r="H44" s="313"/>
      <c r="I44" s="313"/>
      <c r="J44" s="313"/>
      <c r="K44" s="313"/>
      <c r="L44" s="313"/>
      <c r="M44" s="313"/>
      <c r="N44" s="313"/>
      <c r="O44" s="318"/>
      <c r="P44" s="318"/>
      <c r="Q44" s="318"/>
      <c r="R44" s="318"/>
      <c r="S44" s="313"/>
      <c r="T44" s="376"/>
      <c r="U44" s="316" t="s">
        <v>239</v>
      </c>
      <c r="V44" s="326">
        <f>V43-V39</f>
        <v>11579.05</v>
      </c>
      <c r="W44" s="326">
        <f>W43-W39</f>
        <v>8662.010000000002</v>
      </c>
      <c r="X44" s="326">
        <f>X43-X39</f>
        <v>8668.8799999999992</v>
      </c>
      <c r="Y44" s="326">
        <f>Y43-Y39</f>
        <v>9360.83</v>
      </c>
      <c r="Z44" s="326">
        <f>Y44-X44</f>
        <v>691.95000000000073</v>
      </c>
      <c r="AA44" s="326">
        <f t="shared" si="30"/>
        <v>80.842815256864782</v>
      </c>
      <c r="AB44" s="326">
        <f t="shared" si="31"/>
        <v>8.0676424986809963</v>
      </c>
      <c r="AC44" s="326">
        <v>0</v>
      </c>
      <c r="AD44" s="763" t="s">
        <v>240</v>
      </c>
      <c r="AE44" s="326">
        <v>209.91</v>
      </c>
      <c r="AF44" s="326">
        <v>0</v>
      </c>
      <c r="AG44" s="326">
        <f t="shared" si="44"/>
        <v>209.91</v>
      </c>
      <c r="AH44" s="326">
        <v>80.400000000000006</v>
      </c>
      <c r="AI44" s="326">
        <v>0</v>
      </c>
      <c r="AJ44" s="326">
        <f t="shared" si="43"/>
        <v>80.400000000000006</v>
      </c>
      <c r="AK44" s="326">
        <f t="shared" si="45"/>
        <v>129.51</v>
      </c>
      <c r="AL44" s="327">
        <v>0</v>
      </c>
    </row>
    <row r="45" spans="1:40" ht="15.75" x14ac:dyDescent="0.25">
      <c r="A45" s="312"/>
      <c r="B45" s="313"/>
      <c r="C45" s="516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8"/>
      <c r="O45" s="318"/>
      <c r="P45" s="318"/>
      <c r="Q45" s="313"/>
      <c r="S45" s="355"/>
      <c r="T45" s="376"/>
      <c r="U45" s="313"/>
      <c r="V45" s="404"/>
      <c r="W45" s="313"/>
      <c r="X45" s="313"/>
      <c r="Y45" s="519"/>
      <c r="Z45" s="313"/>
      <c r="AA45" s="313"/>
      <c r="AB45" s="313"/>
      <c r="AC45" s="326">
        <v>1341.04</v>
      </c>
      <c r="AD45" s="316" t="s">
        <v>360</v>
      </c>
      <c r="AE45" s="326">
        <v>3116.04</v>
      </c>
      <c r="AF45" s="326">
        <v>0</v>
      </c>
      <c r="AG45" s="326">
        <f t="shared" si="44"/>
        <v>3116.04</v>
      </c>
      <c r="AH45" s="326">
        <v>869.81</v>
      </c>
      <c r="AI45" s="326">
        <v>0.12</v>
      </c>
      <c r="AJ45" s="326">
        <f t="shared" si="43"/>
        <v>869.68999999999994</v>
      </c>
      <c r="AK45" s="326">
        <f t="shared" si="45"/>
        <v>2246.23</v>
      </c>
      <c r="AL45" s="327">
        <f>ROUND(AH45/AE45*100,1)</f>
        <v>27.9</v>
      </c>
    </row>
    <row r="46" spans="1:40" ht="15.75" x14ac:dyDescent="0.25">
      <c r="A46" s="312"/>
      <c r="B46" s="313"/>
      <c r="C46" s="516"/>
      <c r="D46" s="313"/>
      <c r="E46" s="313"/>
      <c r="F46" s="313"/>
      <c r="G46" s="313"/>
      <c r="H46" s="313"/>
      <c r="I46" s="313"/>
      <c r="J46" s="313"/>
      <c r="K46" s="313"/>
      <c r="L46" s="313"/>
      <c r="M46" s="313"/>
      <c r="N46" s="318"/>
      <c r="O46" s="318"/>
      <c r="P46" s="318"/>
      <c r="Q46" s="313"/>
      <c r="R46" s="355" t="s">
        <v>167</v>
      </c>
      <c r="S46" s="355"/>
      <c r="T46" s="376"/>
      <c r="U46" s="313"/>
      <c r="V46" s="404"/>
      <c r="W46" s="313" t="s">
        <v>24</v>
      </c>
      <c r="X46" s="313"/>
      <c r="Y46" s="519"/>
      <c r="Z46" s="313"/>
      <c r="AA46" s="313"/>
      <c r="AB46" s="313"/>
      <c r="AC46" s="326">
        <v>2016.5</v>
      </c>
      <c r="AD46" s="316" t="s">
        <v>358</v>
      </c>
      <c r="AE46" s="326">
        <v>0</v>
      </c>
      <c r="AF46" s="326">
        <v>0</v>
      </c>
      <c r="AG46" s="326">
        <f t="shared" si="44"/>
        <v>0</v>
      </c>
      <c r="AH46" s="326">
        <v>0</v>
      </c>
      <c r="AI46" s="326">
        <v>0</v>
      </c>
      <c r="AJ46" s="326">
        <f t="shared" si="43"/>
        <v>0</v>
      </c>
      <c r="AK46" s="326">
        <f t="shared" si="45"/>
        <v>0</v>
      </c>
      <c r="AL46" s="327">
        <v>0</v>
      </c>
    </row>
    <row r="47" spans="1:40" ht="15.75" x14ac:dyDescent="0.25">
      <c r="A47" s="312"/>
      <c r="B47" s="313"/>
      <c r="C47" s="516"/>
      <c r="D47" s="313"/>
      <c r="E47" s="313"/>
      <c r="F47" s="313"/>
      <c r="G47" s="313"/>
      <c r="H47" s="313"/>
      <c r="I47" s="313"/>
      <c r="J47" s="313"/>
      <c r="K47" s="313"/>
      <c r="L47" s="313"/>
      <c r="M47" s="355"/>
      <c r="N47" s="355"/>
      <c r="O47" s="318"/>
      <c r="P47" s="318"/>
      <c r="Q47" s="313"/>
      <c r="R47" s="355" t="s">
        <v>86</v>
      </c>
      <c r="S47" s="355"/>
      <c r="T47" s="376"/>
      <c r="AA47" s="425"/>
      <c r="AB47" s="425"/>
      <c r="AC47" s="326">
        <f t="shared" ref="AC47" si="47">SUM(AC39:AC46)</f>
        <v>4936.2</v>
      </c>
      <c r="AD47" s="763" t="s">
        <v>85</v>
      </c>
      <c r="AE47" s="326">
        <f>SUM(AE39:AE46)</f>
        <v>8935.4900000000016</v>
      </c>
      <c r="AF47" s="326">
        <f t="shared" ref="AF47:AK47" si="48">SUM(AF39:AF46)</f>
        <v>1503.8600000000001</v>
      </c>
      <c r="AG47" s="326">
        <f t="shared" si="44"/>
        <v>7431.630000000001</v>
      </c>
      <c r="AH47" s="326">
        <f t="shared" si="48"/>
        <v>4569.6499999999996</v>
      </c>
      <c r="AI47" s="326">
        <f t="shared" si="48"/>
        <v>837.19999999999993</v>
      </c>
      <c r="AJ47" s="326">
        <f t="shared" si="43"/>
        <v>3732.45</v>
      </c>
      <c r="AK47" s="326">
        <f t="shared" si="48"/>
        <v>4365.84</v>
      </c>
      <c r="AL47" s="327">
        <f t="shared" ref="AL47" si="49">ROUND(AH47/AE47*100,1)</f>
        <v>51.1</v>
      </c>
      <c r="AN47" s="494">
        <f>+AH37-AH47</f>
        <v>0</v>
      </c>
    </row>
    <row r="48" spans="1:40" ht="15.75" customHeight="1" thickBot="1" x14ac:dyDescent="0.3">
      <c r="A48" s="312"/>
      <c r="B48" s="313"/>
      <c r="C48" s="516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8"/>
      <c r="P48" s="318"/>
      <c r="Q48" s="313"/>
      <c r="R48" s="313"/>
      <c r="S48" s="313"/>
      <c r="T48" s="376"/>
      <c r="U48" s="909" t="s">
        <v>154</v>
      </c>
      <c r="V48" s="792" t="s">
        <v>241</v>
      </c>
      <c r="W48" s="793"/>
      <c r="X48" s="680" t="s">
        <v>173</v>
      </c>
      <c r="Y48" s="691" t="s">
        <v>159</v>
      </c>
      <c r="Z48" s="661" t="s">
        <v>242</v>
      </c>
      <c r="AA48" s="425"/>
      <c r="AB48" s="425"/>
      <c r="AC48" s="662"/>
      <c r="AD48" s="618" t="s">
        <v>244</v>
      </c>
      <c r="AE48" s="407" t="s">
        <v>245</v>
      </c>
      <c r="AF48" s="407" t="s">
        <v>232</v>
      </c>
      <c r="AG48" s="326" t="s">
        <v>374</v>
      </c>
      <c r="AH48" s="408" t="s">
        <v>246</v>
      </c>
      <c r="AI48" s="409" t="s">
        <v>247</v>
      </c>
      <c r="AJ48" s="905" t="s">
        <v>248</v>
      </c>
      <c r="AK48" s="906"/>
      <c r="AL48" s="327"/>
    </row>
    <row r="49" spans="1:39" ht="15.75" x14ac:dyDescent="0.25">
      <c r="A49" s="377" t="s">
        <v>323</v>
      </c>
      <c r="B49" s="355"/>
      <c r="C49" s="516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8"/>
      <c r="P49" s="318"/>
      <c r="Q49" s="313"/>
      <c r="R49" s="313"/>
      <c r="S49" s="313"/>
      <c r="T49" s="376"/>
      <c r="U49" s="910"/>
      <c r="V49" s="794" t="s">
        <v>243</v>
      </c>
      <c r="W49" s="795"/>
      <c r="X49" s="317">
        <v>0</v>
      </c>
      <c r="Y49" s="317">
        <v>0</v>
      </c>
      <c r="Z49" s="341">
        <v>309.89999999999998</v>
      </c>
      <c r="AA49" s="791" t="s">
        <v>432</v>
      </c>
      <c r="AB49" s="791"/>
      <c r="AC49" s="791"/>
      <c r="AD49" s="406">
        <f>+P25</f>
        <v>15470.62</v>
      </c>
      <c r="AE49" s="317">
        <f>+V38</f>
        <v>8707.0499999999993</v>
      </c>
      <c r="AF49" s="317">
        <f>+V41</f>
        <v>31</v>
      </c>
      <c r="AG49" s="317">
        <f>V42</f>
        <v>2841</v>
      </c>
      <c r="AH49" s="410">
        <f>+AE49+AF49+AG49</f>
        <v>11579.05</v>
      </c>
      <c r="AI49" s="317">
        <f>AD49-AH49</f>
        <v>3891.5700000000015</v>
      </c>
      <c r="AJ49" s="411">
        <f>+AH49/AD49*100</f>
        <v>74.845416667205313</v>
      </c>
      <c r="AK49" s="313"/>
      <c r="AL49" s="412"/>
    </row>
    <row r="50" spans="1:39" ht="15.75" x14ac:dyDescent="0.25">
      <c r="A50" s="312"/>
      <c r="B50" s="355" t="s">
        <v>324</v>
      </c>
      <c r="C50" s="516"/>
      <c r="D50" s="313"/>
      <c r="E50" s="313"/>
      <c r="F50" s="313"/>
      <c r="G50" s="313"/>
      <c r="H50" s="313"/>
      <c r="I50" s="313"/>
      <c r="J50" s="313"/>
      <c r="K50" s="355"/>
      <c r="L50" s="355"/>
      <c r="M50" s="313"/>
      <c r="N50" s="313"/>
      <c r="O50" s="313"/>
      <c r="P50" s="318"/>
      <c r="Q50" s="355"/>
      <c r="R50" s="313"/>
      <c r="S50" s="313"/>
      <c r="T50" s="376"/>
      <c r="U50" s="910"/>
      <c r="V50" s="794" t="s">
        <v>96</v>
      </c>
      <c r="W50" s="795"/>
      <c r="X50" s="317">
        <v>0</v>
      </c>
      <c r="Y50" s="317">
        <v>8.68</v>
      </c>
      <c r="Z50" s="341">
        <f>Z51-Z49</f>
        <v>20.140000000000043</v>
      </c>
      <c r="AA50" s="791" t="s">
        <v>411</v>
      </c>
      <c r="AB50" s="791"/>
      <c r="AC50" s="791"/>
      <c r="AD50" s="317">
        <f>+Q25</f>
        <v>10475</v>
      </c>
      <c r="AE50" s="317">
        <f>X38</f>
        <v>6514.88</v>
      </c>
      <c r="AF50" s="317">
        <f>X41</f>
        <v>23.25</v>
      </c>
      <c r="AG50" s="317">
        <f>X42</f>
        <v>2130.75</v>
      </c>
      <c r="AH50" s="410">
        <f>+AE50+AF50+AG50</f>
        <v>8668.880000000001</v>
      </c>
      <c r="AI50" s="317">
        <f>AD50-AH50</f>
        <v>1806.119999999999</v>
      </c>
      <c r="AJ50" s="411">
        <f>+AH50/AD50*100</f>
        <v>82.757804295942734</v>
      </c>
      <c r="AK50" s="313"/>
      <c r="AL50" s="412"/>
    </row>
    <row r="51" spans="1:39" ht="16.5" thickBot="1" x14ac:dyDescent="0.3">
      <c r="A51" s="378" t="s">
        <v>105</v>
      </c>
      <c r="B51" s="379"/>
      <c r="C51" s="517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80"/>
      <c r="P51" s="379"/>
      <c r="Q51" s="379"/>
      <c r="R51" s="379"/>
      <c r="S51" s="379"/>
      <c r="T51" s="381"/>
      <c r="U51" s="911"/>
      <c r="V51" s="907" t="s">
        <v>134</v>
      </c>
      <c r="W51" s="908"/>
      <c r="X51" s="769">
        <f>+X49+X50</f>
        <v>0</v>
      </c>
      <c r="Y51" s="769">
        <f>Y49+Y50</f>
        <v>8.68</v>
      </c>
      <c r="Z51" s="769">
        <v>330.04</v>
      </c>
      <c r="AA51" s="791" t="s">
        <v>412</v>
      </c>
      <c r="AB51" s="791"/>
      <c r="AC51" s="791"/>
      <c r="AD51" s="413">
        <f>+R25</f>
        <v>10590.74</v>
      </c>
      <c r="AE51" s="413">
        <f>+Y38</f>
        <v>7206.8300000000008</v>
      </c>
      <c r="AF51" s="413">
        <f>+Y41</f>
        <v>23.25</v>
      </c>
      <c r="AG51" s="317">
        <f>Y42</f>
        <v>2130.75</v>
      </c>
      <c r="AH51" s="414">
        <f>AE51+AF51+AG51</f>
        <v>9360.8300000000017</v>
      </c>
      <c r="AI51" s="413">
        <f>AD51-AH51</f>
        <v>1229.909999999998</v>
      </c>
      <c r="AJ51" s="415">
        <f>+AH51/AD51*100</f>
        <v>88.386930469447861</v>
      </c>
      <c r="AK51" s="379"/>
      <c r="AL51" s="416"/>
    </row>
    <row r="52" spans="1:39" ht="16.5" thickBot="1" x14ac:dyDescent="0.3">
      <c r="A52" s="815"/>
      <c r="B52" s="815"/>
      <c r="C52" s="815"/>
      <c r="D52" s="815"/>
      <c r="E52" s="815"/>
      <c r="F52" s="815"/>
      <c r="G52" s="815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518"/>
      <c r="W52" s="313"/>
      <c r="X52" s="318"/>
      <c r="Y52" s="674"/>
      <c r="Z52" s="318"/>
      <c r="AA52" s="313"/>
      <c r="AB52" s="313"/>
      <c r="AD52" s="318">
        <f>+O25</f>
        <v>6444.15</v>
      </c>
      <c r="AE52" s="318">
        <f>+W38</f>
        <v>6465.2600000000011</v>
      </c>
      <c r="AF52" s="318">
        <f>+W41</f>
        <v>24</v>
      </c>
      <c r="AG52" s="317">
        <f>W42</f>
        <v>2172.75</v>
      </c>
      <c r="AH52" s="520">
        <f>AE52+AF52+AG52</f>
        <v>8662.010000000002</v>
      </c>
      <c r="AI52" s="413">
        <f>AD52-AH52</f>
        <v>-2217.8600000000024</v>
      </c>
      <c r="AJ52" s="521">
        <f>+AH52/AD52*100</f>
        <v>134.41664144999731</v>
      </c>
      <c r="AK52" s="313"/>
      <c r="AL52" s="313"/>
    </row>
    <row r="53" spans="1:39" x14ac:dyDescent="0.2">
      <c r="Q53" s="494"/>
      <c r="R53" s="494"/>
      <c r="S53" s="494"/>
      <c r="T53" s="494"/>
      <c r="U53" s="494"/>
      <c r="X53" s="494"/>
      <c r="Y53" s="672"/>
      <c r="Z53" s="494"/>
      <c r="AH53" s="494"/>
      <c r="AJ53" s="494"/>
    </row>
    <row r="54" spans="1:39" ht="15.75" x14ac:dyDescent="0.25">
      <c r="A54" s="796"/>
      <c r="B54" s="796"/>
      <c r="C54" s="796"/>
      <c r="D54" s="796"/>
      <c r="E54" s="796"/>
      <c r="F54" s="796"/>
      <c r="G54" s="796"/>
      <c r="I54" s="525"/>
      <c r="L54" s="478"/>
      <c r="M54" s="478"/>
      <c r="N54" s="478"/>
      <c r="O54" s="478"/>
      <c r="P54" s="478"/>
      <c r="Q54" s="478"/>
      <c r="R54" s="478"/>
      <c r="S54" s="494"/>
      <c r="T54" s="494"/>
      <c r="U54" s="494"/>
      <c r="X54" s="494"/>
      <c r="Y54" s="672"/>
      <c r="Z54" s="494"/>
      <c r="AH54" s="494">
        <f>+AH47-0.54</f>
        <v>4569.1099999999997</v>
      </c>
      <c r="AI54" s="476">
        <f>257.76-8.51</f>
        <v>249.25</v>
      </c>
      <c r="AJ54" s="494">
        <f>+AH31-0.54</f>
        <v>3732.74</v>
      </c>
      <c r="AM54" s="476"/>
    </row>
    <row r="55" spans="1:39" ht="32.25" thickBot="1" x14ac:dyDescent="0.3">
      <c r="L55" s="526"/>
      <c r="N55" s="527" t="s">
        <v>325</v>
      </c>
      <c r="O55" s="528" t="str">
        <f>+O18</f>
        <v>Actual to end</v>
      </c>
      <c r="P55" s="529" t="str">
        <f>+Q18</f>
        <v xml:space="preserve"> Target to end</v>
      </c>
      <c r="Q55" s="530" t="str">
        <f>+R18</f>
        <v xml:space="preserve">Actual to end </v>
      </c>
      <c r="R55" s="797" t="s">
        <v>326</v>
      </c>
      <c r="S55" s="797"/>
      <c r="T55" s="798" t="s">
        <v>327</v>
      </c>
      <c r="U55" s="798"/>
      <c r="V55" s="531"/>
      <c r="W55" s="494"/>
      <c r="X55" s="494"/>
      <c r="Y55" s="675"/>
      <c r="Z55" s="494"/>
      <c r="AE55" s="494">
        <f>AE37-AE47</f>
        <v>0</v>
      </c>
      <c r="AH55" s="494">
        <f>+AJ47-0.52</f>
        <v>3731.93</v>
      </c>
      <c r="AM55" s="476"/>
    </row>
    <row r="56" spans="1:39" ht="47.25" x14ac:dyDescent="0.25">
      <c r="C56" s="799" t="s">
        <v>172</v>
      </c>
      <c r="D56" s="532" t="s">
        <v>396</v>
      </c>
      <c r="E56" s="532" t="s">
        <v>397</v>
      </c>
      <c r="F56" s="532" t="s">
        <v>398</v>
      </c>
      <c r="G56" s="801" t="s">
        <v>328</v>
      </c>
      <c r="H56" s="801" t="s">
        <v>329</v>
      </c>
      <c r="I56" s="801" t="s">
        <v>330</v>
      </c>
      <c r="J56" s="801" t="s">
        <v>331</v>
      </c>
      <c r="N56" s="527"/>
      <c r="O56" s="401" t="str">
        <f>+O19</f>
        <v>Dec-20</v>
      </c>
      <c r="P56" s="533" t="str">
        <f>+Q19</f>
        <v>Dec-21</v>
      </c>
      <c r="Q56" s="401" t="str">
        <f>+R19</f>
        <v>Dec-21</v>
      </c>
      <c r="R56" s="530" t="s">
        <v>332</v>
      </c>
      <c r="S56" s="530" t="s">
        <v>333</v>
      </c>
      <c r="T56" s="534" t="s">
        <v>332</v>
      </c>
      <c r="U56" s="535" t="s">
        <v>334</v>
      </c>
      <c r="V56" s="531"/>
      <c r="W56" s="494"/>
      <c r="X56" s="494"/>
      <c r="Y56" s="672"/>
      <c r="AG56" s="536"/>
      <c r="AM56" s="476"/>
    </row>
    <row r="57" spans="1:39" ht="16.5" thickBot="1" x14ac:dyDescent="0.3">
      <c r="C57" s="800"/>
      <c r="D57" s="537" t="s">
        <v>98</v>
      </c>
      <c r="E57" s="537" t="s">
        <v>335</v>
      </c>
      <c r="F57" s="537" t="s">
        <v>335</v>
      </c>
      <c r="G57" s="802"/>
      <c r="H57" s="802"/>
      <c r="I57" s="802"/>
      <c r="J57" s="802"/>
      <c r="N57" s="489" t="s">
        <v>336</v>
      </c>
      <c r="O57" s="489" t="s">
        <v>337</v>
      </c>
      <c r="P57" s="489" t="s">
        <v>338</v>
      </c>
      <c r="Q57" s="489" t="s">
        <v>339</v>
      </c>
      <c r="R57" s="489" t="s">
        <v>340</v>
      </c>
      <c r="S57" s="489" t="s">
        <v>341</v>
      </c>
      <c r="T57" s="489" t="s">
        <v>342</v>
      </c>
      <c r="U57" s="489" t="s">
        <v>343</v>
      </c>
      <c r="V57" s="531"/>
      <c r="W57" s="494"/>
      <c r="X57" s="494"/>
      <c r="Y57" s="672"/>
      <c r="AG57" s="536"/>
      <c r="AM57" s="476"/>
    </row>
    <row r="58" spans="1:39" ht="16.5" thickBot="1" x14ac:dyDescent="0.3">
      <c r="C58" s="538">
        <v>1</v>
      </c>
      <c r="D58" s="539">
        <v>2</v>
      </c>
      <c r="E58" s="539">
        <v>3</v>
      </c>
      <c r="F58" s="537">
        <v>4</v>
      </c>
      <c r="G58" s="539" t="s">
        <v>344</v>
      </c>
      <c r="H58" s="539">
        <v>6</v>
      </c>
      <c r="I58" s="539" t="s">
        <v>345</v>
      </c>
      <c r="J58" s="539">
        <v>8</v>
      </c>
      <c r="N58" s="527" t="s">
        <v>11</v>
      </c>
      <c r="O58" s="393">
        <f>+O21</f>
        <v>1111.73</v>
      </c>
      <c r="P58" s="540">
        <f t="shared" ref="P58:Q61" si="50">+Q21</f>
        <v>4157.62</v>
      </c>
      <c r="Q58" s="393">
        <f t="shared" si="50"/>
        <v>2893.76</v>
      </c>
      <c r="R58" s="393">
        <f>Q58-O58</f>
        <v>1782.0300000000002</v>
      </c>
      <c r="S58" s="541">
        <f>Q58-P58</f>
        <v>-1263.8599999999997</v>
      </c>
      <c r="T58" s="541">
        <f t="shared" ref="T58:U63" si="51">R58/O58*100</f>
        <v>160.29341656697221</v>
      </c>
      <c r="U58" s="541">
        <f t="shared" si="51"/>
        <v>-30.398641530490995</v>
      </c>
      <c r="V58" s="531"/>
      <c r="W58" s="494"/>
      <c r="X58" s="494"/>
      <c r="Y58" s="672"/>
      <c r="AF58" s="476">
        <v>9233040</v>
      </c>
      <c r="AG58" s="536"/>
      <c r="AH58" s="476">
        <f>AH47/AE47*100</f>
        <v>51.140452286332348</v>
      </c>
      <c r="AM58" s="476"/>
    </row>
    <row r="59" spans="1:39" ht="16.5" thickBot="1" x14ac:dyDescent="0.3">
      <c r="C59" s="542">
        <v>3</v>
      </c>
      <c r="D59" s="543">
        <f t="shared" ref="D59:D64" si="52">X25</f>
        <v>327.76</v>
      </c>
      <c r="E59" s="543">
        <f t="shared" ref="E59:E64" si="53">W25</f>
        <v>304.2</v>
      </c>
      <c r="F59" s="544">
        <f t="shared" ref="F59:F64" si="54">Y25</f>
        <v>319.3</v>
      </c>
      <c r="G59" s="543">
        <f t="shared" ref="G59:G72" si="55">F59-D59</f>
        <v>-8.4599999999999795</v>
      </c>
      <c r="H59" s="545">
        <f t="shared" ref="H59:H72" si="56">G59/D59</f>
        <v>-2.581156944105437E-2</v>
      </c>
      <c r="I59" s="543">
        <f t="shared" ref="I59:I72" si="57">F59-E59</f>
        <v>15.100000000000023</v>
      </c>
      <c r="J59" s="546">
        <f t="shared" ref="J59:J72" si="58">I59/E59</f>
        <v>4.9638395792242024E-2</v>
      </c>
      <c r="N59" s="527" t="s">
        <v>12</v>
      </c>
      <c r="O59" s="393">
        <f>+O22</f>
        <v>52.31</v>
      </c>
      <c r="P59" s="540">
        <f t="shared" si="50"/>
        <v>166.86</v>
      </c>
      <c r="Q59" s="393">
        <f t="shared" si="50"/>
        <v>124.18</v>
      </c>
      <c r="R59" s="393">
        <f>Q59-O59</f>
        <v>71.87</v>
      </c>
      <c r="S59" s="541">
        <f>Q59-P59</f>
        <v>-42.680000000000007</v>
      </c>
      <c r="T59" s="541">
        <f t="shared" si="51"/>
        <v>137.39246797935385</v>
      </c>
      <c r="U59" s="541">
        <f t="shared" si="51"/>
        <v>-25.578329138199692</v>
      </c>
      <c r="V59" s="531"/>
      <c r="W59" s="494"/>
      <c r="X59" s="494"/>
      <c r="Y59" s="672"/>
      <c r="AF59" s="476">
        <v>5584067</v>
      </c>
      <c r="AG59" s="536"/>
      <c r="AJ59" s="476">
        <f>1280.12+0.55-693.54</f>
        <v>587.12999999999988</v>
      </c>
      <c r="AM59" s="476"/>
    </row>
    <row r="60" spans="1:39" ht="16.5" thickBot="1" x14ac:dyDescent="0.3">
      <c r="C60" s="542">
        <v>4</v>
      </c>
      <c r="D60" s="543">
        <f t="shared" si="52"/>
        <v>728.5</v>
      </c>
      <c r="E60" s="543">
        <f t="shared" si="53"/>
        <v>732.15</v>
      </c>
      <c r="F60" s="544">
        <f t="shared" si="54"/>
        <v>742.01</v>
      </c>
      <c r="G60" s="543">
        <f t="shared" si="55"/>
        <v>13.509999999999991</v>
      </c>
      <c r="H60" s="545">
        <f t="shared" si="56"/>
        <v>1.8544955387783103E-2</v>
      </c>
      <c r="I60" s="543">
        <f t="shared" si="57"/>
        <v>9.8600000000000136</v>
      </c>
      <c r="J60" s="546">
        <f t="shared" si="58"/>
        <v>1.3467185685993326E-2</v>
      </c>
      <c r="N60" s="527" t="s">
        <v>13</v>
      </c>
      <c r="O60" s="393">
        <f>+O23</f>
        <v>5168.32</v>
      </c>
      <c r="P60" s="540">
        <f t="shared" si="50"/>
        <v>5968.58</v>
      </c>
      <c r="Q60" s="393">
        <f t="shared" si="50"/>
        <v>7454.69</v>
      </c>
      <c r="R60" s="393">
        <f>Q60-O60</f>
        <v>2286.37</v>
      </c>
      <c r="S60" s="541">
        <f>Q60-P60</f>
        <v>1486.1099999999997</v>
      </c>
      <c r="T60" s="541">
        <f t="shared" si="51"/>
        <v>44.238166367407587</v>
      </c>
      <c r="U60" s="541">
        <f t="shared" si="51"/>
        <v>24.898887172493282</v>
      </c>
      <c r="V60" s="531"/>
      <c r="W60" s="494"/>
      <c r="X60" s="494"/>
      <c r="Y60" s="676"/>
      <c r="Z60" s="478"/>
      <c r="AA60" s="478"/>
      <c r="AB60" s="478"/>
      <c r="AF60" s="476">
        <v>20000</v>
      </c>
      <c r="AG60" s="536"/>
      <c r="AH60" s="476">
        <f>1.91+0.54</f>
        <v>2.4500000000000002</v>
      </c>
      <c r="AM60" s="476"/>
    </row>
    <row r="61" spans="1:39" ht="16.5" thickBot="1" x14ac:dyDescent="0.3">
      <c r="C61" s="542">
        <v>5</v>
      </c>
      <c r="D61" s="543">
        <f t="shared" si="52"/>
        <v>188.96</v>
      </c>
      <c r="E61" s="543">
        <f t="shared" si="53"/>
        <v>216.41</v>
      </c>
      <c r="F61" s="544">
        <f t="shared" si="54"/>
        <v>199.5</v>
      </c>
      <c r="G61" s="543">
        <f t="shared" si="55"/>
        <v>10.539999999999992</v>
      </c>
      <c r="H61" s="545">
        <f t="shared" si="56"/>
        <v>5.5779000846740007E-2</v>
      </c>
      <c r="I61" s="543">
        <f t="shared" si="57"/>
        <v>-16.909999999999997</v>
      </c>
      <c r="J61" s="546">
        <f t="shared" si="58"/>
        <v>-7.8138718173836691E-2</v>
      </c>
      <c r="N61" s="527" t="s">
        <v>102</v>
      </c>
      <c r="O61" s="393">
        <f>+O24</f>
        <v>111.79</v>
      </c>
      <c r="P61" s="540">
        <f t="shared" si="50"/>
        <v>181.94</v>
      </c>
      <c r="Q61" s="393">
        <f t="shared" si="50"/>
        <v>118.11</v>
      </c>
      <c r="R61" s="393">
        <f>Q61-O61</f>
        <v>6.3199999999999932</v>
      </c>
      <c r="S61" s="541">
        <f>Q61-P61</f>
        <v>-63.83</v>
      </c>
      <c r="T61" s="541">
        <f t="shared" si="51"/>
        <v>5.6534573754360791</v>
      </c>
      <c r="U61" s="541">
        <f t="shared" si="51"/>
        <v>-35.082994393756181</v>
      </c>
      <c r="V61" s="531"/>
      <c r="W61" s="494"/>
      <c r="X61" s="494"/>
      <c r="Y61" s="672"/>
      <c r="Z61" s="494"/>
      <c r="AF61" s="476">
        <f>SUM(AF58:AF60)</f>
        <v>14837107</v>
      </c>
      <c r="AG61" s="536"/>
      <c r="AM61" s="476"/>
    </row>
    <row r="62" spans="1:39" ht="16.5" thickBot="1" x14ac:dyDescent="0.3">
      <c r="C62" s="542">
        <v>6</v>
      </c>
      <c r="D62" s="543">
        <f t="shared" si="52"/>
        <v>375.75</v>
      </c>
      <c r="E62" s="543">
        <f t="shared" si="53"/>
        <v>390.39</v>
      </c>
      <c r="F62" s="544">
        <f t="shared" si="54"/>
        <v>425.22</v>
      </c>
      <c r="G62" s="543">
        <f t="shared" si="55"/>
        <v>49.470000000000027</v>
      </c>
      <c r="H62" s="545">
        <f t="shared" si="56"/>
        <v>0.13165668662674657</v>
      </c>
      <c r="I62" s="543">
        <f t="shared" si="57"/>
        <v>34.830000000000041</v>
      </c>
      <c r="J62" s="546">
        <f t="shared" si="58"/>
        <v>8.9218473833858558E-2</v>
      </c>
      <c r="N62" s="527" t="s">
        <v>163</v>
      </c>
      <c r="O62" s="393">
        <f>+O26</f>
        <v>-47.49</v>
      </c>
      <c r="P62" s="540">
        <f>+Q26</f>
        <v>7</v>
      </c>
      <c r="Q62" s="393">
        <f>+R26</f>
        <v>-64.599999999999994</v>
      </c>
      <c r="R62" s="393">
        <f>Q62-O62</f>
        <v>-17.109999999999992</v>
      </c>
      <c r="S62" s="541">
        <f>Q62-P62</f>
        <v>-71.599999999999994</v>
      </c>
      <c r="T62" s="541">
        <f t="shared" si="51"/>
        <v>36.028637607917439</v>
      </c>
      <c r="U62" s="541">
        <f t="shared" si="51"/>
        <v>-1022.8571428571428</v>
      </c>
      <c r="V62" s="531"/>
      <c r="W62" s="494"/>
      <c r="X62" s="494"/>
      <c r="Y62" s="672"/>
      <c r="Z62" s="494"/>
      <c r="AM62" s="476"/>
    </row>
    <row r="63" spans="1:39" ht="16.5" thickBot="1" x14ac:dyDescent="0.3">
      <c r="C63" s="542">
        <v>7</v>
      </c>
      <c r="D63" s="543">
        <f t="shared" si="52"/>
        <v>427.96</v>
      </c>
      <c r="E63" s="543">
        <f t="shared" si="53"/>
        <v>433.74</v>
      </c>
      <c r="F63" s="544">
        <f t="shared" si="54"/>
        <v>455.43</v>
      </c>
      <c r="G63" s="543">
        <f t="shared" si="55"/>
        <v>27.470000000000027</v>
      </c>
      <c r="H63" s="545">
        <f t="shared" si="56"/>
        <v>6.4188241891765654E-2</v>
      </c>
      <c r="I63" s="543">
        <f t="shared" si="57"/>
        <v>21.689999999999998</v>
      </c>
      <c r="J63" s="546">
        <f t="shared" si="58"/>
        <v>5.0006916585973157E-2</v>
      </c>
      <c r="N63" s="527" t="s">
        <v>166</v>
      </c>
      <c r="O63" s="401">
        <f>SUM(O58:O62)</f>
        <v>6396.66</v>
      </c>
      <c r="P63" s="401">
        <f>SUM(P58:P62)</f>
        <v>10482</v>
      </c>
      <c r="Q63" s="401">
        <f>SUM(Q58:Q62)</f>
        <v>10526.14</v>
      </c>
      <c r="R63" s="401">
        <f>SUM(R58:R62)</f>
        <v>4129.4800000000005</v>
      </c>
      <c r="S63" s="401">
        <f>SUM(S58:S62)</f>
        <v>44.139999999999944</v>
      </c>
      <c r="T63" s="547">
        <f t="shared" si="51"/>
        <v>64.556815588135066</v>
      </c>
      <c r="U63" s="547">
        <f t="shared" si="51"/>
        <v>0.42110284296889855</v>
      </c>
      <c r="V63" s="531"/>
      <c r="W63" s="494"/>
      <c r="X63" s="494"/>
      <c r="Y63" s="676"/>
      <c r="Z63" s="796"/>
      <c r="AA63" s="796"/>
      <c r="AB63" s="478"/>
      <c r="AM63" s="476"/>
    </row>
    <row r="64" spans="1:39" ht="16.5" thickBot="1" x14ac:dyDescent="0.3">
      <c r="C64" s="542">
        <v>8</v>
      </c>
      <c r="D64" s="543">
        <f t="shared" si="52"/>
        <v>798.05</v>
      </c>
      <c r="E64" s="543">
        <f t="shared" si="53"/>
        <v>754.52</v>
      </c>
      <c r="F64" s="544">
        <f t="shared" si="54"/>
        <v>902.71</v>
      </c>
      <c r="G64" s="543">
        <f t="shared" si="55"/>
        <v>104.66000000000008</v>
      </c>
      <c r="H64" s="545">
        <f t="shared" si="56"/>
        <v>0.13114466512123313</v>
      </c>
      <c r="I64" s="543">
        <f t="shared" si="57"/>
        <v>148.19000000000005</v>
      </c>
      <c r="J64" s="546">
        <f t="shared" si="58"/>
        <v>0.1964030111859196</v>
      </c>
      <c r="Q64" s="494"/>
      <c r="R64" s="494"/>
      <c r="S64" s="494"/>
      <c r="T64" s="494"/>
      <c r="V64" s="531"/>
      <c r="W64" s="494"/>
      <c r="X64" s="494"/>
      <c r="AM64" s="476"/>
    </row>
    <row r="65" spans="3:39" ht="16.5" thickBot="1" x14ac:dyDescent="0.3">
      <c r="C65" s="542">
        <v>9</v>
      </c>
      <c r="D65" s="543">
        <f>X32</f>
        <v>2151.4299999999998</v>
      </c>
      <c r="E65" s="543">
        <f>W32</f>
        <v>2111.5700000000002</v>
      </c>
      <c r="F65" s="544">
        <f>Y32</f>
        <v>2095.11</v>
      </c>
      <c r="G65" s="543">
        <f t="shared" si="55"/>
        <v>-56.319999999999709</v>
      </c>
      <c r="H65" s="545">
        <f t="shared" si="56"/>
        <v>-2.6177937464848828E-2</v>
      </c>
      <c r="I65" s="543">
        <f t="shared" si="57"/>
        <v>-16.460000000000036</v>
      </c>
      <c r="J65" s="546">
        <f t="shared" si="58"/>
        <v>-7.7951476863187272E-3</v>
      </c>
      <c r="V65" s="531"/>
      <c r="W65" s="494"/>
      <c r="X65" s="494"/>
      <c r="Y65" s="677"/>
      <c r="AM65" s="476"/>
    </row>
    <row r="66" spans="3:39" ht="16.5" thickBot="1" x14ac:dyDescent="0.3">
      <c r="C66" s="542">
        <v>10</v>
      </c>
      <c r="D66" s="543">
        <f t="shared" ref="D66:D72" si="59">X34</f>
        <v>706.75</v>
      </c>
      <c r="E66" s="543">
        <f t="shared" ref="E66:E72" si="60">W34</f>
        <v>676.92</v>
      </c>
      <c r="F66" s="544">
        <f t="shared" ref="F66:F72" si="61">Y34</f>
        <v>1139.5</v>
      </c>
      <c r="G66" s="543">
        <f t="shared" si="55"/>
        <v>432.75</v>
      </c>
      <c r="H66" s="545">
        <f t="shared" si="56"/>
        <v>0.61230986911920759</v>
      </c>
      <c r="I66" s="543">
        <f t="shared" si="57"/>
        <v>462.58000000000004</v>
      </c>
      <c r="J66" s="546">
        <f t="shared" si="58"/>
        <v>0.68335992436329263</v>
      </c>
      <c r="V66" s="531"/>
      <c r="W66" s="494"/>
      <c r="X66" s="494"/>
      <c r="AM66" s="476"/>
    </row>
    <row r="67" spans="3:39" ht="16.5" thickBot="1" x14ac:dyDescent="0.3">
      <c r="C67" s="542">
        <v>11</v>
      </c>
      <c r="D67" s="543">
        <f t="shared" si="59"/>
        <v>308.27</v>
      </c>
      <c r="E67" s="543">
        <f t="shared" si="60"/>
        <v>311.2</v>
      </c>
      <c r="F67" s="544">
        <f t="shared" si="61"/>
        <v>339.13</v>
      </c>
      <c r="G67" s="543">
        <f t="shared" si="55"/>
        <v>30.860000000000014</v>
      </c>
      <c r="H67" s="545">
        <f t="shared" si="56"/>
        <v>0.1001070490154735</v>
      </c>
      <c r="I67" s="543">
        <f t="shared" si="57"/>
        <v>27.930000000000007</v>
      </c>
      <c r="J67" s="546">
        <f t="shared" si="58"/>
        <v>8.974935732647818E-2</v>
      </c>
      <c r="S67" s="494"/>
      <c r="U67" s="494">
        <f t="shared" ref="U67:U77" si="62">T67-S67</f>
        <v>0</v>
      </c>
      <c r="V67" s="531">
        <v>81.09</v>
      </c>
      <c r="W67" s="494">
        <v>23.35</v>
      </c>
      <c r="X67" s="494">
        <f t="shared" ref="X67:X77" si="63">SUM(V67:W67)</f>
        <v>104.44</v>
      </c>
      <c r="Y67" s="524">
        <v>104.44</v>
      </c>
      <c r="Z67" s="494">
        <f t="shared" ref="Z67:Z77" si="64">X67-Y67</f>
        <v>0</v>
      </c>
      <c r="AM67" s="476"/>
    </row>
    <row r="68" spans="3:39" ht="16.5" thickBot="1" x14ac:dyDescent="0.3">
      <c r="C68" s="542">
        <v>12</v>
      </c>
      <c r="D68" s="543">
        <f t="shared" si="59"/>
        <v>277.45</v>
      </c>
      <c r="E68" s="543">
        <f t="shared" si="60"/>
        <v>328.06</v>
      </c>
      <c r="F68" s="544">
        <f t="shared" si="61"/>
        <v>356.24</v>
      </c>
      <c r="G68" s="543">
        <f t="shared" si="55"/>
        <v>78.79000000000002</v>
      </c>
      <c r="H68" s="545">
        <f t="shared" si="56"/>
        <v>0.28397909533249244</v>
      </c>
      <c r="I68" s="543">
        <f t="shared" si="57"/>
        <v>28.180000000000007</v>
      </c>
      <c r="J68" s="546">
        <f t="shared" si="58"/>
        <v>8.5898920929098357E-2</v>
      </c>
      <c r="S68" s="494"/>
      <c r="U68" s="494">
        <f t="shared" si="62"/>
        <v>0</v>
      </c>
      <c r="V68" s="523">
        <v>173.81</v>
      </c>
      <c r="W68" s="476">
        <v>54.35</v>
      </c>
      <c r="X68" s="494">
        <f t="shared" si="63"/>
        <v>228.16</v>
      </c>
      <c r="Y68" s="524">
        <v>228.16</v>
      </c>
      <c r="Z68" s="494">
        <f t="shared" si="64"/>
        <v>0</v>
      </c>
      <c r="AM68" s="476"/>
    </row>
    <row r="69" spans="3:39" ht="16.5" thickBot="1" x14ac:dyDescent="0.3">
      <c r="C69" s="542">
        <v>13</v>
      </c>
      <c r="D69" s="543">
        <f t="shared" si="59"/>
        <v>224</v>
      </c>
      <c r="E69" s="543">
        <f t="shared" si="60"/>
        <v>206.1</v>
      </c>
      <c r="F69" s="544">
        <f t="shared" si="61"/>
        <v>232.68</v>
      </c>
      <c r="G69" s="543">
        <f t="shared" si="55"/>
        <v>8.6800000000000068</v>
      </c>
      <c r="H69" s="545">
        <f t="shared" si="56"/>
        <v>3.8750000000000027E-2</v>
      </c>
      <c r="I69" s="543">
        <f t="shared" si="57"/>
        <v>26.580000000000013</v>
      </c>
      <c r="J69" s="546">
        <f t="shared" si="58"/>
        <v>0.12896652110625917</v>
      </c>
      <c r="S69" s="494"/>
      <c r="U69" s="494">
        <f t="shared" si="62"/>
        <v>0</v>
      </c>
      <c r="V69" s="523">
        <v>55.1</v>
      </c>
      <c r="W69" s="476">
        <v>19.18</v>
      </c>
      <c r="X69" s="494">
        <f t="shared" si="63"/>
        <v>74.28</v>
      </c>
      <c r="Y69" s="524">
        <v>74.28</v>
      </c>
      <c r="Z69" s="494">
        <f t="shared" si="64"/>
        <v>0</v>
      </c>
      <c r="AM69" s="476"/>
    </row>
    <row r="70" spans="3:39" ht="27.75" thickBot="1" x14ac:dyDescent="0.3">
      <c r="C70" s="542" t="s">
        <v>346</v>
      </c>
      <c r="D70" s="543">
        <f t="shared" si="59"/>
        <v>6514.88</v>
      </c>
      <c r="E70" s="543">
        <f t="shared" si="60"/>
        <v>6465.2600000000011</v>
      </c>
      <c r="F70" s="544">
        <f t="shared" si="61"/>
        <v>7206.8300000000008</v>
      </c>
      <c r="G70" s="543">
        <f t="shared" si="55"/>
        <v>691.95000000000073</v>
      </c>
      <c r="H70" s="545">
        <f t="shared" si="56"/>
        <v>0.10621070533916215</v>
      </c>
      <c r="I70" s="543">
        <f t="shared" si="57"/>
        <v>741.56999999999971</v>
      </c>
      <c r="J70" s="546">
        <f t="shared" si="58"/>
        <v>0.11470072355945463</v>
      </c>
      <c r="S70" s="494"/>
      <c r="U70" s="494">
        <f t="shared" si="62"/>
        <v>0</v>
      </c>
      <c r="V70" s="523">
        <v>76.91</v>
      </c>
      <c r="W70" s="476">
        <v>25.65</v>
      </c>
      <c r="X70" s="494">
        <f t="shared" si="63"/>
        <v>102.56</v>
      </c>
      <c r="Y70" s="524">
        <v>102.56</v>
      </c>
      <c r="Z70" s="494">
        <f t="shared" si="64"/>
        <v>0</v>
      </c>
      <c r="AM70" s="476"/>
    </row>
    <row r="71" spans="3:39" ht="16.5" thickBot="1" x14ac:dyDescent="0.3">
      <c r="C71" s="542" t="s">
        <v>16</v>
      </c>
      <c r="D71" s="543">
        <f t="shared" si="59"/>
        <v>-5.35</v>
      </c>
      <c r="E71" s="543">
        <f t="shared" si="60"/>
        <v>293.39</v>
      </c>
      <c r="F71" s="544">
        <f t="shared" si="61"/>
        <v>330.04</v>
      </c>
      <c r="G71" s="543">
        <f t="shared" si="55"/>
        <v>335.39000000000004</v>
      </c>
      <c r="H71" s="545">
        <f t="shared" si="56"/>
        <v>-62.689719626168234</v>
      </c>
      <c r="I71" s="543">
        <f t="shared" si="57"/>
        <v>36.650000000000034</v>
      </c>
      <c r="J71" s="546">
        <f t="shared" si="58"/>
        <v>0.12491904972902974</v>
      </c>
      <c r="S71" s="494"/>
      <c r="U71" s="494">
        <f t="shared" si="62"/>
        <v>0</v>
      </c>
      <c r="V71" s="523">
        <v>119.37</v>
      </c>
      <c r="W71" s="476">
        <v>39.46</v>
      </c>
      <c r="X71" s="494">
        <f t="shared" si="63"/>
        <v>158.83000000000001</v>
      </c>
      <c r="Y71" s="524">
        <v>158.83000000000001</v>
      </c>
      <c r="Z71" s="494">
        <f t="shared" si="64"/>
        <v>0</v>
      </c>
      <c r="AM71" s="476"/>
    </row>
    <row r="72" spans="3:39" ht="27.75" thickBot="1" x14ac:dyDescent="0.3">
      <c r="C72" s="542" t="s">
        <v>347</v>
      </c>
      <c r="D72" s="543">
        <f t="shared" si="59"/>
        <v>6509.53</v>
      </c>
      <c r="E72" s="543">
        <f t="shared" si="60"/>
        <v>6758.6500000000015</v>
      </c>
      <c r="F72" s="544">
        <f t="shared" si="61"/>
        <v>7536.8700000000008</v>
      </c>
      <c r="G72" s="543">
        <f t="shared" si="55"/>
        <v>1027.3400000000011</v>
      </c>
      <c r="H72" s="545">
        <f t="shared" si="56"/>
        <v>0.15782091794645714</v>
      </c>
      <c r="I72" s="543">
        <f t="shared" si="57"/>
        <v>778.21999999999935</v>
      </c>
      <c r="J72" s="546">
        <f t="shared" si="58"/>
        <v>0.11514429656810149</v>
      </c>
      <c r="S72" s="494"/>
      <c r="U72" s="494">
        <f t="shared" si="62"/>
        <v>0</v>
      </c>
      <c r="V72" s="523">
        <v>141.19999999999999</v>
      </c>
      <c r="W72" s="476">
        <v>45.94</v>
      </c>
      <c r="X72" s="494">
        <f t="shared" si="63"/>
        <v>187.14</v>
      </c>
      <c r="Y72" s="524">
        <v>187.14</v>
      </c>
      <c r="Z72" s="494">
        <f t="shared" si="64"/>
        <v>0</v>
      </c>
      <c r="AM72" s="476"/>
    </row>
    <row r="73" spans="3:39" x14ac:dyDescent="0.2">
      <c r="S73" s="494"/>
      <c r="U73" s="494">
        <f t="shared" si="62"/>
        <v>0</v>
      </c>
      <c r="V73" s="523">
        <v>586.73</v>
      </c>
      <c r="W73" s="476">
        <v>84.29</v>
      </c>
      <c r="X73" s="494">
        <f t="shared" si="63"/>
        <v>671.02</v>
      </c>
      <c r="Y73" s="524">
        <v>671.02</v>
      </c>
      <c r="Z73" s="494">
        <f t="shared" si="64"/>
        <v>0</v>
      </c>
      <c r="AM73" s="476"/>
    </row>
    <row r="74" spans="3:39" x14ac:dyDescent="0.2">
      <c r="S74" s="494"/>
      <c r="U74" s="494">
        <f t="shared" si="62"/>
        <v>0</v>
      </c>
      <c r="V74" s="523">
        <v>440.71</v>
      </c>
      <c r="W74" s="476">
        <v>136.03</v>
      </c>
      <c r="X74" s="494">
        <f t="shared" si="63"/>
        <v>576.74</v>
      </c>
      <c r="Y74" s="524">
        <v>576.74</v>
      </c>
      <c r="Z74" s="494">
        <f t="shared" si="64"/>
        <v>0</v>
      </c>
      <c r="AM74" s="476"/>
    </row>
    <row r="75" spans="3:39" x14ac:dyDescent="0.2">
      <c r="S75" s="494"/>
      <c r="U75" s="494">
        <f t="shared" si="62"/>
        <v>0</v>
      </c>
      <c r="V75" s="523">
        <v>50.05</v>
      </c>
      <c r="W75" s="476">
        <v>9.19</v>
      </c>
      <c r="X75" s="494">
        <f t="shared" si="63"/>
        <v>59.239999999999995</v>
      </c>
      <c r="Y75" s="524">
        <v>59.24</v>
      </c>
      <c r="Z75" s="494">
        <f t="shared" si="64"/>
        <v>0</v>
      </c>
      <c r="AM75" s="476"/>
    </row>
    <row r="76" spans="3:39" x14ac:dyDescent="0.2">
      <c r="S76" s="494"/>
      <c r="U76" s="494">
        <f t="shared" si="62"/>
        <v>0</v>
      </c>
      <c r="V76" s="523">
        <v>59.02</v>
      </c>
      <c r="W76" s="476">
        <v>7.17</v>
      </c>
      <c r="X76" s="494">
        <f t="shared" si="63"/>
        <v>66.19</v>
      </c>
      <c r="Y76" s="524">
        <v>66.19</v>
      </c>
      <c r="Z76" s="494">
        <f t="shared" si="64"/>
        <v>0</v>
      </c>
      <c r="AM76" s="476"/>
    </row>
    <row r="77" spans="3:39" x14ac:dyDescent="0.2">
      <c r="S77" s="494"/>
      <c r="U77" s="494">
        <f t="shared" si="62"/>
        <v>0</v>
      </c>
      <c r="V77" s="523">
        <v>16.07</v>
      </c>
      <c r="W77" s="476">
        <v>5.34</v>
      </c>
      <c r="X77" s="494">
        <f t="shared" si="63"/>
        <v>21.41</v>
      </c>
      <c r="Y77" s="524">
        <v>21.41</v>
      </c>
      <c r="Z77" s="494">
        <f t="shared" si="64"/>
        <v>0</v>
      </c>
      <c r="AM77" s="476"/>
    </row>
    <row r="79" spans="3:39" x14ac:dyDescent="0.2">
      <c r="V79" s="523">
        <v>340.79</v>
      </c>
      <c r="W79" s="476">
        <v>314.14999999999998</v>
      </c>
      <c r="X79" s="476">
        <f t="shared" ref="X79:X92" si="65">V79-W79</f>
        <v>26.640000000000043</v>
      </c>
      <c r="Y79" s="524">
        <v>314.14999999999998</v>
      </c>
      <c r="Z79" s="476">
        <f t="shared" ref="Z79:Z92" si="66">+X79+Y79</f>
        <v>340.79</v>
      </c>
      <c r="AA79" s="476">
        <f t="shared" ref="AA79:AA92" si="67">V79-Z79</f>
        <v>0</v>
      </c>
    </row>
    <row r="80" spans="3:39" x14ac:dyDescent="0.2">
      <c r="V80" s="523">
        <v>782.72</v>
      </c>
      <c r="W80" s="476">
        <v>747.5</v>
      </c>
      <c r="X80" s="476">
        <f t="shared" si="65"/>
        <v>35.220000000000027</v>
      </c>
      <c r="Y80" s="524">
        <v>747.5</v>
      </c>
      <c r="Z80" s="476">
        <f t="shared" si="66"/>
        <v>782.72</v>
      </c>
      <c r="AA80" s="476">
        <f t="shared" si="67"/>
        <v>0</v>
      </c>
    </row>
    <row r="81" spans="22:27" x14ac:dyDescent="0.2">
      <c r="V81" s="523">
        <v>310.56</v>
      </c>
      <c r="W81" s="476">
        <v>271.70999999999998</v>
      </c>
      <c r="X81" s="476">
        <f t="shared" si="65"/>
        <v>38.850000000000023</v>
      </c>
      <c r="Y81" s="524">
        <v>271.70999999999998</v>
      </c>
      <c r="Z81" s="476">
        <f t="shared" si="66"/>
        <v>310.56</v>
      </c>
      <c r="AA81" s="476">
        <f t="shared" si="67"/>
        <v>0</v>
      </c>
    </row>
    <row r="82" spans="22:27" x14ac:dyDescent="0.2">
      <c r="V82" s="523">
        <v>498.97</v>
      </c>
      <c r="W82" s="476">
        <v>409.66</v>
      </c>
      <c r="X82" s="476">
        <f t="shared" si="65"/>
        <v>89.31</v>
      </c>
      <c r="Y82" s="524">
        <v>409.66</v>
      </c>
      <c r="Z82" s="476">
        <f t="shared" si="66"/>
        <v>498.97</v>
      </c>
      <c r="AA82" s="476">
        <f t="shared" si="67"/>
        <v>0</v>
      </c>
    </row>
    <row r="83" spans="22:27" x14ac:dyDescent="0.2">
      <c r="V83" s="523">
        <v>503.66</v>
      </c>
      <c r="W83" s="476">
        <v>493.62</v>
      </c>
      <c r="X83" s="476">
        <f t="shared" si="65"/>
        <v>10.04000000000002</v>
      </c>
      <c r="Y83" s="524">
        <v>493.62</v>
      </c>
      <c r="Z83" s="476">
        <f t="shared" si="66"/>
        <v>503.66</v>
      </c>
      <c r="AA83" s="476">
        <f t="shared" si="67"/>
        <v>0</v>
      </c>
    </row>
    <row r="84" spans="22:27" x14ac:dyDescent="0.2">
      <c r="V84" s="523">
        <v>670.62</v>
      </c>
      <c r="W84" s="476">
        <v>591.22</v>
      </c>
      <c r="X84" s="476">
        <f t="shared" si="65"/>
        <v>79.399999999999977</v>
      </c>
      <c r="Y84" s="524">
        <v>591.22</v>
      </c>
      <c r="Z84" s="476">
        <f t="shared" si="66"/>
        <v>670.62</v>
      </c>
      <c r="AA84" s="476">
        <f t="shared" si="67"/>
        <v>0</v>
      </c>
    </row>
    <row r="85" spans="22:27" x14ac:dyDescent="0.2">
      <c r="V85" s="523">
        <v>2313.5500000000002</v>
      </c>
      <c r="W85" s="476">
        <v>1995.91</v>
      </c>
      <c r="X85" s="476">
        <f t="shared" si="65"/>
        <v>317.6400000000001</v>
      </c>
      <c r="Y85" s="524">
        <v>1995.91</v>
      </c>
      <c r="Z85" s="476">
        <f t="shared" si="66"/>
        <v>2313.5500000000002</v>
      </c>
      <c r="AA85" s="476">
        <f t="shared" si="67"/>
        <v>0</v>
      </c>
    </row>
    <row r="86" spans="22:27" x14ac:dyDescent="0.2">
      <c r="V86" s="523">
        <v>1530.7</v>
      </c>
      <c r="W86" s="476">
        <v>1408.14</v>
      </c>
      <c r="X86" s="476">
        <f t="shared" si="65"/>
        <v>122.55999999999995</v>
      </c>
      <c r="Y86" s="524">
        <v>1408.14</v>
      </c>
      <c r="Z86" s="476">
        <f t="shared" si="66"/>
        <v>1530.7</v>
      </c>
      <c r="AA86" s="476">
        <f t="shared" si="67"/>
        <v>0</v>
      </c>
    </row>
    <row r="87" spans="22:27" x14ac:dyDescent="0.2">
      <c r="V87" s="523">
        <v>253.24</v>
      </c>
      <c r="W87" s="476">
        <v>228.96</v>
      </c>
      <c r="X87" s="476">
        <f t="shared" si="65"/>
        <v>24.28</v>
      </c>
      <c r="Y87" s="524">
        <v>228.96</v>
      </c>
      <c r="Z87" s="476">
        <f t="shared" si="66"/>
        <v>253.24</v>
      </c>
      <c r="AA87" s="476">
        <f t="shared" si="67"/>
        <v>0</v>
      </c>
    </row>
    <row r="88" spans="22:27" x14ac:dyDescent="0.2">
      <c r="V88" s="523">
        <v>366.72</v>
      </c>
      <c r="W88" s="476">
        <v>327.58</v>
      </c>
      <c r="X88" s="476">
        <f t="shared" si="65"/>
        <v>39.140000000000043</v>
      </c>
      <c r="Y88" s="524">
        <v>327.58</v>
      </c>
      <c r="Z88" s="476">
        <f t="shared" si="66"/>
        <v>366.72</v>
      </c>
      <c r="AA88" s="476">
        <f t="shared" si="67"/>
        <v>0</v>
      </c>
    </row>
    <row r="89" spans="22:27" x14ac:dyDescent="0.2">
      <c r="V89" s="523">
        <v>113.59</v>
      </c>
      <c r="W89" s="476">
        <v>100.68</v>
      </c>
      <c r="X89" s="476">
        <f t="shared" si="65"/>
        <v>12.909999999999997</v>
      </c>
      <c r="Y89" s="524">
        <v>100.68</v>
      </c>
      <c r="Z89" s="476">
        <f t="shared" si="66"/>
        <v>113.59</v>
      </c>
      <c r="AA89" s="476">
        <f t="shared" si="67"/>
        <v>0</v>
      </c>
    </row>
    <row r="90" spans="22:27" x14ac:dyDescent="0.2">
      <c r="V90" s="523">
        <v>7685.12</v>
      </c>
      <c r="W90" s="476">
        <v>6889.130000000001</v>
      </c>
      <c r="X90" s="476">
        <f t="shared" si="65"/>
        <v>795.98999999999887</v>
      </c>
      <c r="Y90" s="524">
        <v>6889.130000000001</v>
      </c>
      <c r="Z90" s="476">
        <f t="shared" si="66"/>
        <v>7685.12</v>
      </c>
      <c r="AA90" s="476">
        <f t="shared" si="67"/>
        <v>0</v>
      </c>
    </row>
    <row r="91" spans="22:27" x14ac:dyDescent="0.2">
      <c r="V91" s="523">
        <v>-20.66</v>
      </c>
      <c r="W91" s="476">
        <v>-7.11</v>
      </c>
      <c r="X91" s="476">
        <f t="shared" si="65"/>
        <v>-13.55</v>
      </c>
      <c r="Y91" s="524">
        <v>-7.11</v>
      </c>
      <c r="Z91" s="476">
        <f t="shared" si="66"/>
        <v>-20.66</v>
      </c>
      <c r="AA91" s="476">
        <f t="shared" si="67"/>
        <v>0</v>
      </c>
    </row>
    <row r="92" spans="22:27" x14ac:dyDescent="0.2">
      <c r="V92" s="523">
        <v>7664.46</v>
      </c>
      <c r="W92" s="476">
        <v>6882.0200000000013</v>
      </c>
      <c r="X92" s="476">
        <f t="shared" si="65"/>
        <v>782.43999999999869</v>
      </c>
      <c r="Y92" s="524">
        <v>6882.0200000000013</v>
      </c>
      <c r="Z92" s="476">
        <f t="shared" si="66"/>
        <v>7664.46</v>
      </c>
      <c r="AA92" s="476">
        <f t="shared" si="67"/>
        <v>0</v>
      </c>
    </row>
  </sheetData>
  <mergeCells count="126">
    <mergeCell ref="AJ48:AK48"/>
    <mergeCell ref="V50:W50"/>
    <mergeCell ref="AA49:AC49"/>
    <mergeCell ref="V51:W51"/>
    <mergeCell ref="AA50:AC50"/>
    <mergeCell ref="U48:U51"/>
    <mergeCell ref="A22:A23"/>
    <mergeCell ref="U22:X22"/>
    <mergeCell ref="Y22:AA22"/>
    <mergeCell ref="F23:F24"/>
    <mergeCell ref="G23:G24"/>
    <mergeCell ref="A33:G33"/>
    <mergeCell ref="N33:S33"/>
    <mergeCell ref="A34:G34"/>
    <mergeCell ref="H34:M34"/>
    <mergeCell ref="U30:U31"/>
    <mergeCell ref="V30:V31"/>
    <mergeCell ref="W30:W31"/>
    <mergeCell ref="X30:X31"/>
    <mergeCell ref="Y30:Y31"/>
    <mergeCell ref="Z30:Z31"/>
    <mergeCell ref="AA30:AA31"/>
    <mergeCell ref="U32:U33"/>
    <mergeCell ref="V32:V33"/>
    <mergeCell ref="A16:F16"/>
    <mergeCell ref="H16:M16"/>
    <mergeCell ref="AA16:AB16"/>
    <mergeCell ref="N18:N19"/>
    <mergeCell ref="P18:P19"/>
    <mergeCell ref="AA18:AB18"/>
    <mergeCell ref="AA19:AB19"/>
    <mergeCell ref="AA20:AB20"/>
    <mergeCell ref="A21:G21"/>
    <mergeCell ref="H21:M21"/>
    <mergeCell ref="U21:AA21"/>
    <mergeCell ref="N17:T17"/>
    <mergeCell ref="AA17:AB17"/>
    <mergeCell ref="AA10:AB10"/>
    <mergeCell ref="AA11:AB11"/>
    <mergeCell ref="AA12:AB12"/>
    <mergeCell ref="AA13:AB13"/>
    <mergeCell ref="AA14:AB14"/>
    <mergeCell ref="H15:M15"/>
    <mergeCell ref="AA15:AB15"/>
    <mergeCell ref="A4:G4"/>
    <mergeCell ref="H4:M4"/>
    <mergeCell ref="N4:Q4"/>
    <mergeCell ref="R4:T4"/>
    <mergeCell ref="AA4:AB4"/>
    <mergeCell ref="N5:T5"/>
    <mergeCell ref="AA5:AB5"/>
    <mergeCell ref="N6:N8"/>
    <mergeCell ref="S6:T6"/>
    <mergeCell ref="AA6:AB6"/>
    <mergeCell ref="AA7:AB7"/>
    <mergeCell ref="AA8:AB8"/>
    <mergeCell ref="AA9:AB9"/>
    <mergeCell ref="A3:G3"/>
    <mergeCell ref="H3:M3"/>
    <mergeCell ref="N3:T3"/>
    <mergeCell ref="Z3:AB3"/>
    <mergeCell ref="AC3:AL3"/>
    <mergeCell ref="A1:T1"/>
    <mergeCell ref="U1:AL1"/>
    <mergeCell ref="A2:T2"/>
    <mergeCell ref="U2:W2"/>
    <mergeCell ref="X2:Z2"/>
    <mergeCell ref="AO1:AS1"/>
    <mergeCell ref="AO2:AP2"/>
    <mergeCell ref="AS3:AT3"/>
    <mergeCell ref="AF20:AF21"/>
    <mergeCell ref="AG20:AG21"/>
    <mergeCell ref="AH20:AH21"/>
    <mergeCell ref="AI20:AI21"/>
    <mergeCell ref="AJ20:AJ21"/>
    <mergeCell ref="AK20:AK21"/>
    <mergeCell ref="AL20:AL21"/>
    <mergeCell ref="AH4:AJ4"/>
    <mergeCell ref="AE4:AG4"/>
    <mergeCell ref="AE20:AE21"/>
    <mergeCell ref="AJ24:AJ25"/>
    <mergeCell ref="AK24:AK25"/>
    <mergeCell ref="AL24:AL25"/>
    <mergeCell ref="AD38:AL38"/>
    <mergeCell ref="A52:G52"/>
    <mergeCell ref="AF24:AF25"/>
    <mergeCell ref="AG24:AG25"/>
    <mergeCell ref="AH24:AH25"/>
    <mergeCell ref="AI24:AI25"/>
    <mergeCell ref="A35:A36"/>
    <mergeCell ref="H35:H36"/>
    <mergeCell ref="I35:I36"/>
    <mergeCell ref="J35:L36"/>
    <mergeCell ref="M35:M36"/>
    <mergeCell ref="N36:Q36"/>
    <mergeCell ref="J37:L37"/>
    <mergeCell ref="N37:Q37"/>
    <mergeCell ref="H38:M38"/>
    <mergeCell ref="N38:Q38"/>
    <mergeCell ref="H39:I39"/>
    <mergeCell ref="L39:M39"/>
    <mergeCell ref="N39:T41"/>
    <mergeCell ref="L40:M40"/>
    <mergeCell ref="AB30:AB31"/>
    <mergeCell ref="AC20:AC21"/>
    <mergeCell ref="AC24:AC25"/>
    <mergeCell ref="AE24:AE25"/>
    <mergeCell ref="L41:M41"/>
    <mergeCell ref="AA51:AC51"/>
    <mergeCell ref="V48:W48"/>
    <mergeCell ref="V49:W49"/>
    <mergeCell ref="Z63:AA63"/>
    <mergeCell ref="A54:G54"/>
    <mergeCell ref="R55:S55"/>
    <mergeCell ref="T55:U55"/>
    <mergeCell ref="C56:C57"/>
    <mergeCell ref="G56:G57"/>
    <mergeCell ref="H56:H57"/>
    <mergeCell ref="I56:I57"/>
    <mergeCell ref="J56:J57"/>
    <mergeCell ref="W32:W33"/>
    <mergeCell ref="X32:X33"/>
    <mergeCell ref="Y32:Y33"/>
    <mergeCell ref="Z32:Z33"/>
    <mergeCell ref="AA32:AA33"/>
    <mergeCell ref="AB32:AB33"/>
  </mergeCells>
  <pageMargins left="0.25" right="0" top="0.25" bottom="0" header="0" footer="0"/>
  <pageSetup scale="55" orientation="landscape" r:id="rId1"/>
  <colBreaks count="1" manualBreakCount="1">
    <brk id="20" max="4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4"/>
  <sheetViews>
    <sheetView view="pageBreakPreview" topLeftCell="G1" zoomScale="78" zoomScaleNormal="100" zoomScaleSheetLayoutView="78" workbookViewId="0">
      <selection activeCell="R7" sqref="R7"/>
    </sheetView>
  </sheetViews>
  <sheetFormatPr defaultRowHeight="15" x14ac:dyDescent="0.25"/>
  <cols>
    <col min="1" max="1" width="24.85546875" customWidth="1"/>
    <col min="2" max="2" width="16.85546875" customWidth="1"/>
    <col min="3" max="3" width="13.140625" customWidth="1"/>
    <col min="4" max="4" width="13.7109375" customWidth="1"/>
    <col min="5" max="5" width="13.140625" customWidth="1"/>
    <col min="6" max="6" width="16.140625" bestFit="1" customWidth="1"/>
    <col min="7" max="7" width="11.5703125" customWidth="1"/>
    <col min="8" max="8" width="12.85546875" customWidth="1"/>
    <col min="9" max="9" width="16" customWidth="1"/>
    <col min="10" max="10" width="12.42578125" customWidth="1"/>
    <col min="11" max="11" width="11.85546875" customWidth="1"/>
    <col min="12" max="12" width="15.28515625" customWidth="1"/>
    <col min="13" max="13" width="11.28515625" customWidth="1"/>
    <col min="14" max="14" width="10.5703125" customWidth="1"/>
    <col min="15" max="15" width="13.85546875" customWidth="1"/>
    <col min="16" max="16" width="12.5703125" customWidth="1"/>
    <col min="17" max="17" width="17" customWidth="1"/>
    <col min="18" max="18" width="13.85546875" customWidth="1"/>
    <col min="19" max="19" width="14.28515625" customWidth="1"/>
    <col min="20" max="20" width="14" customWidth="1"/>
    <col min="21" max="21" width="13" customWidth="1"/>
    <col min="22" max="22" width="13.5703125" customWidth="1"/>
    <col min="23" max="23" width="14.7109375" customWidth="1"/>
    <col min="24" max="24" width="14.85546875" customWidth="1"/>
    <col min="25" max="25" width="13.42578125" customWidth="1"/>
    <col min="26" max="26" width="16.42578125" customWidth="1"/>
  </cols>
  <sheetData>
    <row r="1" spans="1:28" x14ac:dyDescent="0.25">
      <c r="A1" s="4"/>
      <c r="B1" s="4"/>
      <c r="C1" s="4"/>
      <c r="D1" s="4"/>
      <c r="E1" s="4"/>
      <c r="F1" s="4"/>
      <c r="G1" s="4"/>
      <c r="H1" s="4"/>
      <c r="I1" s="4"/>
      <c r="J1" s="39"/>
      <c r="K1" s="39"/>
      <c r="L1" s="4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6" t="s">
        <v>433</v>
      </c>
      <c r="Y1" s="6" t="s">
        <v>106</v>
      </c>
      <c r="Z1" s="6"/>
      <c r="AA1" s="6"/>
      <c r="AB1" s="7"/>
    </row>
    <row r="2" spans="1:28" ht="15.75" thickBot="1" x14ac:dyDescent="0.3">
      <c r="A2" s="4"/>
      <c r="B2" s="4"/>
      <c r="C2" s="4"/>
      <c r="D2" s="4"/>
      <c r="E2" s="4"/>
      <c r="F2" s="4"/>
      <c r="G2" s="4"/>
      <c r="H2" s="4"/>
      <c r="I2" s="260"/>
      <c r="J2" s="4" t="s">
        <v>107</v>
      </c>
      <c r="K2" s="260"/>
      <c r="L2" s="4"/>
      <c r="M2" s="4"/>
      <c r="N2" s="4"/>
      <c r="O2" s="261">
        <v>44532</v>
      </c>
      <c r="P2" s="4" t="s">
        <v>112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7"/>
    </row>
    <row r="3" spans="1:28" ht="18.75" thickBot="1" x14ac:dyDescent="0.3">
      <c r="A3" s="9" t="s">
        <v>2</v>
      </c>
      <c r="B3" s="10"/>
      <c r="C3" s="10"/>
      <c r="D3" s="10"/>
      <c r="E3" s="11" t="s">
        <v>3</v>
      </c>
      <c r="F3" s="12"/>
      <c r="G3" s="12"/>
      <c r="H3" s="12"/>
      <c r="I3" s="12"/>
      <c r="J3" s="207"/>
      <c r="K3" s="928" t="s">
        <v>4</v>
      </c>
      <c r="L3" s="928"/>
      <c r="M3" s="928"/>
      <c r="N3" s="928"/>
      <c r="O3" s="928"/>
      <c r="P3" s="929"/>
      <c r="Q3" s="14" t="s">
        <v>5</v>
      </c>
      <c r="R3" s="15"/>
      <c r="S3" s="15"/>
      <c r="T3" s="15"/>
      <c r="U3" s="16" t="s">
        <v>3</v>
      </c>
      <c r="V3" s="17"/>
      <c r="W3" s="17"/>
      <c r="X3" s="17"/>
      <c r="Y3" s="17"/>
      <c r="Z3" s="262"/>
      <c r="AA3" s="6"/>
      <c r="AB3" s="18"/>
    </row>
    <row r="4" spans="1:28" ht="47.25" x14ac:dyDescent="0.25">
      <c r="A4" s="19" t="s">
        <v>6</v>
      </c>
      <c r="B4" s="20" t="s">
        <v>378</v>
      </c>
      <c r="C4" s="22" t="s">
        <v>377</v>
      </c>
      <c r="D4" s="21" t="s">
        <v>7</v>
      </c>
      <c r="E4" s="263" t="s">
        <v>419</v>
      </c>
      <c r="F4" s="264" t="s">
        <v>420</v>
      </c>
      <c r="G4" s="265" t="s">
        <v>421</v>
      </c>
      <c r="H4" s="23" t="s">
        <v>8</v>
      </c>
      <c r="I4" s="31" t="s">
        <v>9</v>
      </c>
      <c r="J4" s="103" t="s">
        <v>10</v>
      </c>
      <c r="K4" s="26"/>
      <c r="L4" s="26"/>
      <c r="M4" s="26"/>
      <c r="N4" s="26"/>
      <c r="O4" s="26"/>
      <c r="P4" s="26"/>
      <c r="Q4" s="27"/>
      <c r="R4" s="28" t="s">
        <v>384</v>
      </c>
      <c r="S4" s="29" t="s">
        <v>383</v>
      </c>
      <c r="T4" s="24" t="s">
        <v>7</v>
      </c>
      <c r="U4" s="263" t="str">
        <f>E4</f>
        <v>Actual Dec'20</v>
      </c>
      <c r="V4" s="264" t="str">
        <f>F4</f>
        <v>BP Dec'21</v>
      </c>
      <c r="W4" s="265" t="str">
        <f>G4</f>
        <v>Actual Dec'21</v>
      </c>
      <c r="X4" s="30" t="s">
        <v>8</v>
      </c>
      <c r="Y4" s="31" t="s">
        <v>9</v>
      </c>
      <c r="Z4" s="266" t="s">
        <v>10</v>
      </c>
      <c r="AA4" s="4"/>
      <c r="AB4" s="32"/>
    </row>
    <row r="5" spans="1:28" ht="18" x14ac:dyDescent="0.25">
      <c r="A5" s="33" t="s">
        <v>11</v>
      </c>
      <c r="B5" s="34">
        <f>'VITAL (Ear.+Exp.) Dec-21'!B26</f>
        <v>799.32</v>
      </c>
      <c r="C5" s="35">
        <f>'VITAL (Ear.+Exp.) Dec-21'!B37</f>
        <v>1596.42</v>
      </c>
      <c r="D5" s="36">
        <f>(C5-B5)/B5</f>
        <v>0.99722263924335686</v>
      </c>
      <c r="E5" s="267">
        <f>'VITAL (Ear.+Exp.) Dec-21'!C26</f>
        <v>112.81</v>
      </c>
      <c r="F5" s="267">
        <f>'VITAL (Ear.+Exp.) Dec-21'!D26</f>
        <v>132.68</v>
      </c>
      <c r="G5" s="267">
        <f>'VITAL (Ear.+Exp.) Dec-21'!E26</f>
        <v>170.43</v>
      </c>
      <c r="H5" s="34">
        <f>+G5-F5</f>
        <v>37.75</v>
      </c>
      <c r="I5" s="724">
        <f>(G5-E5)/E5</f>
        <v>0.51077032177998405</v>
      </c>
      <c r="J5" s="727">
        <f>G5/C5</f>
        <v>0.10675762017514188</v>
      </c>
      <c r="K5" s="38"/>
      <c r="L5" s="39"/>
      <c r="M5" s="39"/>
      <c r="N5" s="39"/>
      <c r="O5" s="39"/>
      <c r="P5" s="39"/>
      <c r="Q5" s="40" t="s">
        <v>11</v>
      </c>
      <c r="R5" s="41">
        <f>'VITAL (Ear.+Exp.) Dec-21'!O10</f>
        <v>2070.88</v>
      </c>
      <c r="S5" s="37">
        <f>'VITAL (Ear.+Exp.) Dec-21'!P21</f>
        <v>4584.01</v>
      </c>
      <c r="T5" s="42">
        <f t="shared" ref="T5:T11" si="0">(S5-R5)/R5</f>
        <v>1.2135565556671559</v>
      </c>
      <c r="U5" s="268">
        <f>'VITAL (Ear.+Exp.) Dec-21'!P10</f>
        <v>265.24</v>
      </c>
      <c r="V5" s="37">
        <f>'VITAL (Ear.+Exp.) Dec-21'!Q10</f>
        <v>523.74</v>
      </c>
      <c r="W5" s="43">
        <f>'VITAL (Ear.+Exp.) Dec-21'!R10</f>
        <v>374.08</v>
      </c>
      <c r="X5" s="41">
        <f t="shared" ref="X5:X11" si="1">+W5-V5</f>
        <v>-149.66000000000003</v>
      </c>
      <c r="Y5" s="44">
        <f t="shared" ref="Y5:Y11" si="2">(W5-U5)/U5</f>
        <v>0.41034534760971186</v>
      </c>
      <c r="Z5" s="42">
        <f>W5/S5</f>
        <v>8.1605406619968096E-2</v>
      </c>
      <c r="AA5" s="45"/>
      <c r="AB5" s="46"/>
    </row>
    <row r="6" spans="1:28" ht="18" x14ac:dyDescent="0.25">
      <c r="A6" s="33" t="s">
        <v>12</v>
      </c>
      <c r="B6" s="34">
        <f>'VITAL (Ear.+Exp.) Dec-21'!B27</f>
        <v>77.489999999999995</v>
      </c>
      <c r="C6" s="35">
        <f>'VITAL (Ear.+Exp.) Dec-21'!B38</f>
        <v>85.24</v>
      </c>
      <c r="D6" s="36">
        <f>(C6-B6)/B6</f>
        <v>0.10001290489095367</v>
      </c>
      <c r="E6" s="267">
        <f>'VITAL (Ear.+Exp.) Dec-21'!C27</f>
        <v>9.76</v>
      </c>
      <c r="F6" s="267">
        <f>'VITAL (Ear.+Exp.) Dec-21'!D27</f>
        <v>10.74</v>
      </c>
      <c r="G6" s="267">
        <f>'VITAL (Ear.+Exp.) Dec-21'!E27</f>
        <v>13.26</v>
      </c>
      <c r="H6" s="34">
        <f>+G6-F6</f>
        <v>2.5199999999999996</v>
      </c>
      <c r="I6" s="36">
        <f>(G6-E6)/E6</f>
        <v>0.35860655737704916</v>
      </c>
      <c r="J6" s="47">
        <f>G6/C6</f>
        <v>0.15556076959174098</v>
      </c>
      <c r="K6" s="39"/>
      <c r="L6" s="39"/>
      <c r="M6" s="39"/>
      <c r="N6" s="39"/>
      <c r="O6" s="39"/>
      <c r="P6" s="39"/>
      <c r="Q6" s="40" t="s">
        <v>12</v>
      </c>
      <c r="R6" s="41">
        <f>'VITAL (Ear.+Exp.) Dec-21'!O11</f>
        <v>81.069999999999993</v>
      </c>
      <c r="S6" s="37">
        <f>'VITAL (Ear.+Exp.) Dec-21'!P22</f>
        <v>169.45</v>
      </c>
      <c r="T6" s="42">
        <f t="shared" si="0"/>
        <v>1.0901689897619342</v>
      </c>
      <c r="U6" s="268">
        <f>'VITAL (Ear.+Exp.) Dec-21'!P11</f>
        <v>10.53</v>
      </c>
      <c r="V6" s="37">
        <f>'VITAL (Ear.+Exp.) Dec-21'!Q11</f>
        <v>17.149999999999999</v>
      </c>
      <c r="W6" s="43">
        <f>'VITAL (Ear.+Exp.) Dec-21'!R11</f>
        <v>17.82</v>
      </c>
      <c r="X6" s="41">
        <f t="shared" si="1"/>
        <v>0.67000000000000171</v>
      </c>
      <c r="Y6" s="44">
        <f t="shared" si="2"/>
        <v>0.6923076923076924</v>
      </c>
      <c r="Z6" s="42">
        <f t="shared" ref="Z6:Z11" si="3">W6/S6</f>
        <v>0.10516376512245501</v>
      </c>
      <c r="AA6" s="6"/>
      <c r="AB6" s="46"/>
    </row>
    <row r="7" spans="1:28" ht="18" x14ac:dyDescent="0.25">
      <c r="A7" s="33" t="s">
        <v>13</v>
      </c>
      <c r="B7" s="34">
        <f>'VITAL (Ear.+Exp.) Dec-21'!B28</f>
        <v>1764.98</v>
      </c>
      <c r="C7" s="35">
        <f>'VITAL (Ear.+Exp.) Dec-21'!B39</f>
        <v>1862.37</v>
      </c>
      <c r="D7" s="36">
        <f>(C7-B7)/B7</f>
        <v>5.5179095513830115E-2</v>
      </c>
      <c r="E7" s="267">
        <f>'VITAL (Ear.+Exp.) Dec-21'!C28</f>
        <v>181.79</v>
      </c>
      <c r="F7" s="267">
        <f>'VITAL (Ear.+Exp.) Dec-21'!D28</f>
        <v>191.54</v>
      </c>
      <c r="G7" s="267">
        <f>'VITAL (Ear.+Exp.) Dec-21'!E28</f>
        <v>195.52</v>
      </c>
      <c r="H7" s="34">
        <f>+G7-F7</f>
        <v>3.9800000000000182</v>
      </c>
      <c r="I7" s="36">
        <f>(G7-E7)/E7</f>
        <v>7.5526706639529234E-2</v>
      </c>
      <c r="J7" s="47">
        <f>G7/C7</f>
        <v>0.10498450898586212</v>
      </c>
      <c r="K7" s="48"/>
      <c r="L7" s="39"/>
      <c r="M7" s="39"/>
      <c r="N7" s="39"/>
      <c r="O7" s="39"/>
      <c r="P7" s="39"/>
      <c r="Q7" s="40" t="s">
        <v>13</v>
      </c>
      <c r="R7" s="41">
        <f>'VITAL (Ear.+Exp.) Dec-21'!O12</f>
        <v>7577.66</v>
      </c>
      <c r="S7" s="37">
        <f>'VITAL (Ear.+Exp.) Dec-21'!P23</f>
        <v>10484.08</v>
      </c>
      <c r="T7" s="42">
        <f t="shared" si="0"/>
        <v>0.38355112264208213</v>
      </c>
      <c r="U7" s="268">
        <f>'VITAL (Ear.+Exp.) Dec-21'!P12</f>
        <v>736.16</v>
      </c>
      <c r="V7" s="37">
        <f>'VITAL (Ear.+Exp.) Dec-21'!Q12</f>
        <v>768.37</v>
      </c>
      <c r="W7" s="43">
        <f>'VITAL (Ear.+Exp.) Dec-21'!R12</f>
        <v>880.42</v>
      </c>
      <c r="X7" s="41">
        <f t="shared" si="1"/>
        <v>112.04999999999995</v>
      </c>
      <c r="Y7" s="44">
        <f t="shared" si="2"/>
        <v>0.19596283416648555</v>
      </c>
      <c r="Z7" s="42">
        <f t="shared" si="3"/>
        <v>8.3976848707754986E-2</v>
      </c>
      <c r="AA7" s="6"/>
      <c r="AB7" s="46"/>
    </row>
    <row r="8" spans="1:28" ht="18.75" thickBot="1" x14ac:dyDescent="0.3">
      <c r="A8" s="49" t="s">
        <v>14</v>
      </c>
      <c r="B8" s="34">
        <f>'VITAL (Ear.+Exp.) Dec-21'!B29</f>
        <v>186.56</v>
      </c>
      <c r="C8" s="35">
        <f>'VITAL (Ear.+Exp.) Dec-21'!B40</f>
        <v>288.49</v>
      </c>
      <c r="D8" s="51">
        <f>(C8-B8)/B8</f>
        <v>0.54636578044596917</v>
      </c>
      <c r="E8" s="267">
        <f>'VITAL (Ear.+Exp.) Dec-21'!C29</f>
        <v>11.63</v>
      </c>
      <c r="F8" s="267">
        <f>'VITAL (Ear.+Exp.) Dec-21'!D29</f>
        <v>26.21</v>
      </c>
      <c r="G8" s="267">
        <f>'VITAL (Ear.+Exp.) Dec-21'!E29</f>
        <v>7.16</v>
      </c>
      <c r="H8" s="50">
        <f>+G8-F8</f>
        <v>-19.05</v>
      </c>
      <c r="I8" s="51">
        <f>(G8-E8)/E8</f>
        <v>-0.38435081685296651</v>
      </c>
      <c r="J8" s="52">
        <f>G8/C8</f>
        <v>2.4818884536725708E-2</v>
      </c>
      <c r="K8" s="39"/>
      <c r="L8" s="39"/>
      <c r="M8" s="39"/>
      <c r="N8" s="39"/>
      <c r="O8" s="39"/>
      <c r="P8" s="39"/>
      <c r="Q8" s="53" t="s">
        <v>14</v>
      </c>
      <c r="R8" s="41">
        <f>'VITAL (Ear.+Exp.) Dec-21'!O13</f>
        <v>186.56</v>
      </c>
      <c r="S8" s="37">
        <f>'VITAL (Ear.+Exp.) Dec-21'!P24</f>
        <v>233.08</v>
      </c>
      <c r="T8" s="55">
        <f t="shared" si="0"/>
        <v>0.24935677530017158</v>
      </c>
      <c r="U8" s="268">
        <f>'VITAL (Ear.+Exp.) Dec-21'!P13</f>
        <v>11.63</v>
      </c>
      <c r="V8" s="37">
        <f>'VITAL (Ear.+Exp.) Dec-21'!Q13</f>
        <v>26.21</v>
      </c>
      <c r="W8" s="43">
        <f>'VITAL (Ear.+Exp.) Dec-21'!R13</f>
        <v>7.16</v>
      </c>
      <c r="X8" s="54">
        <f t="shared" si="1"/>
        <v>-19.05</v>
      </c>
      <c r="Y8" s="56">
        <f t="shared" si="2"/>
        <v>-0.38435081685296651</v>
      </c>
      <c r="Z8" s="55">
        <f t="shared" si="3"/>
        <v>3.0719066414964819E-2</v>
      </c>
      <c r="AA8" s="6"/>
      <c r="AB8" s="46"/>
    </row>
    <row r="9" spans="1:28" ht="18.75" thickBot="1" x14ac:dyDescent="0.3">
      <c r="A9" s="57" t="s">
        <v>15</v>
      </c>
      <c r="B9" s="58">
        <f>SUM(B5:B8)</f>
        <v>2828.35</v>
      </c>
      <c r="C9" s="269">
        <f>SUM(C5:C8)</f>
        <v>3832.5199999999995</v>
      </c>
      <c r="D9" s="59">
        <f>(C9-B9)/B9</f>
        <v>0.35503738929057566</v>
      </c>
      <c r="E9" s="684">
        <f>SUM(E5:E8)</f>
        <v>315.99</v>
      </c>
      <c r="F9" s="603">
        <f>SUM(F5:F8)</f>
        <v>361.17</v>
      </c>
      <c r="G9" s="771">
        <f>SUM(G5:G8)</f>
        <v>386.37000000000006</v>
      </c>
      <c r="H9" s="58">
        <f>+G9-F9</f>
        <v>25.200000000000045</v>
      </c>
      <c r="I9" s="60">
        <f>(G9-E9)/E9</f>
        <v>0.22272856735972674</v>
      </c>
      <c r="J9" s="61">
        <f>G9/C9</f>
        <v>0.10081356392138857</v>
      </c>
      <c r="K9" s="39"/>
      <c r="L9" s="39"/>
      <c r="M9" s="39"/>
      <c r="N9" s="39"/>
      <c r="O9" s="39"/>
      <c r="P9" s="39"/>
      <c r="Q9" s="62" t="s">
        <v>15</v>
      </c>
      <c r="R9" s="63">
        <f>SUM(R5:R8)</f>
        <v>9916.17</v>
      </c>
      <c r="S9" s="603">
        <f>SUM(S5:S8)</f>
        <v>15470.62</v>
      </c>
      <c r="T9" s="65">
        <f t="shared" si="0"/>
        <v>0.56014065914561784</v>
      </c>
      <c r="U9" s="270">
        <f>SUM(U5:U8)</f>
        <v>1023.56</v>
      </c>
      <c r="V9" s="67">
        <f>SUM(V5:V8)</f>
        <v>1335.47</v>
      </c>
      <c r="W9" s="67">
        <f>SUM(W5:W8)</f>
        <v>1279.48</v>
      </c>
      <c r="X9" s="63">
        <f t="shared" si="1"/>
        <v>-55.990000000000009</v>
      </c>
      <c r="Y9" s="68">
        <f t="shared" si="2"/>
        <v>0.2500293094689125</v>
      </c>
      <c r="Z9" s="65">
        <f t="shared" si="3"/>
        <v>8.2703860608042856E-2</v>
      </c>
      <c r="AA9" s="6"/>
      <c r="AB9" s="46"/>
    </row>
    <row r="10" spans="1:28" ht="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39"/>
      <c r="L10" s="39"/>
      <c r="M10" s="39"/>
      <c r="N10" s="39"/>
      <c r="O10" s="39"/>
      <c r="P10" s="39"/>
      <c r="Q10" s="69" t="s">
        <v>16</v>
      </c>
      <c r="R10" s="70">
        <f>'VITAL (Ear.+Exp.) Dec-21'!O15</f>
        <v>3.3</v>
      </c>
      <c r="S10" s="37">
        <f>'VITAL (Ear.+Exp.) Dec-21'!P26</f>
        <v>7</v>
      </c>
      <c r="T10" s="71">
        <f t="shared" si="0"/>
        <v>1.1212121212121213</v>
      </c>
      <c r="U10" s="229">
        <f>'VITAL (Ear.+Exp.) Dec-21'!P15</f>
        <v>-13.69</v>
      </c>
      <c r="V10" s="37">
        <f>'VITAL (Ear.+Exp.) Dec-21'!Q15</f>
        <v>0</v>
      </c>
      <c r="W10" s="37">
        <f>'VITAL (Ear.+Exp.) Dec-21'!R15</f>
        <v>14.18</v>
      </c>
      <c r="X10" s="73">
        <f t="shared" si="1"/>
        <v>14.18</v>
      </c>
      <c r="Y10" s="74">
        <f t="shared" si="2"/>
        <v>-2.0357925493060627</v>
      </c>
      <c r="Z10" s="75">
        <f t="shared" si="3"/>
        <v>2.0257142857142858</v>
      </c>
      <c r="AA10" s="76"/>
      <c r="AB10" s="46"/>
    </row>
    <row r="11" spans="1:28" ht="18.75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39"/>
      <c r="L11" s="39"/>
      <c r="M11" s="39"/>
      <c r="N11" s="39"/>
      <c r="O11" s="39"/>
      <c r="P11" s="39"/>
      <c r="Q11" s="77" t="s">
        <v>17</v>
      </c>
      <c r="R11" s="78">
        <f>R9+R10</f>
        <v>9919.4699999999993</v>
      </c>
      <c r="S11" s="681">
        <f>S9+S10</f>
        <v>15477.62</v>
      </c>
      <c r="T11" s="606">
        <f t="shared" si="0"/>
        <v>0.5603273158747395</v>
      </c>
      <c r="U11" s="66">
        <f>SUM(U9:U10)</f>
        <v>1009.8699999999999</v>
      </c>
      <c r="V11" s="681">
        <f>V9+V10</f>
        <v>1335.47</v>
      </c>
      <c r="W11" s="67">
        <f>SUM(W9:W10)</f>
        <v>1293.6600000000001</v>
      </c>
      <c r="X11" s="204">
        <f t="shared" si="1"/>
        <v>-41.809999999999945</v>
      </c>
      <c r="Y11" s="605">
        <f t="shared" si="2"/>
        <v>0.28101636844346323</v>
      </c>
      <c r="Z11" s="205">
        <f t="shared" si="3"/>
        <v>8.3582617999408179E-2</v>
      </c>
      <c r="AA11" s="76"/>
      <c r="AB11" s="46"/>
    </row>
    <row r="12" spans="1:28" ht="18.75" thickBot="1" x14ac:dyDescent="0.3">
      <c r="A12" s="79" t="s">
        <v>2</v>
      </c>
      <c r="B12" s="80"/>
      <c r="C12" s="81"/>
      <c r="D12" s="81"/>
      <c r="E12" s="11" t="s">
        <v>18</v>
      </c>
      <c r="F12" s="81"/>
      <c r="G12" s="82"/>
      <c r="H12" s="11" t="s">
        <v>19</v>
      </c>
      <c r="I12" s="83"/>
      <c r="J12" s="84"/>
      <c r="K12" s="39"/>
      <c r="L12" s="39"/>
      <c r="M12" s="39"/>
      <c r="N12" s="39"/>
      <c r="O12" s="39"/>
      <c r="P12" s="39"/>
      <c r="Q12" s="62"/>
      <c r="R12" s="85" t="s">
        <v>18</v>
      </c>
      <c r="S12" s="86"/>
      <c r="T12" s="86"/>
      <c r="U12" s="87"/>
      <c r="V12" s="88"/>
      <c r="W12" s="88"/>
      <c r="X12" s="89" t="s">
        <v>19</v>
      </c>
      <c r="Y12" s="90"/>
      <c r="Z12" s="91"/>
      <c r="AA12" s="92"/>
      <c r="AB12" s="46"/>
    </row>
    <row r="13" spans="1:28" ht="54" x14ac:dyDescent="0.25">
      <c r="A13" s="93" t="s">
        <v>6</v>
      </c>
      <c r="B13" s="263" t="s">
        <v>422</v>
      </c>
      <c r="C13" s="264" t="s">
        <v>423</v>
      </c>
      <c r="D13" s="265" t="s">
        <v>424</v>
      </c>
      <c r="E13" s="94" t="s">
        <v>8</v>
      </c>
      <c r="F13" s="95" t="s">
        <v>9</v>
      </c>
      <c r="G13" s="96" t="s">
        <v>10</v>
      </c>
      <c r="H13" s="97" t="s">
        <v>20</v>
      </c>
      <c r="I13" s="271" t="s">
        <v>422</v>
      </c>
      <c r="J13" s="272" t="s">
        <v>424</v>
      </c>
      <c r="K13" s="39"/>
      <c r="L13" s="39"/>
      <c r="M13" s="39"/>
      <c r="N13" s="39"/>
      <c r="O13" s="39"/>
      <c r="P13" s="39"/>
      <c r="Q13" s="100"/>
      <c r="R13" s="273" t="str">
        <f>B13</f>
        <v>Actual upto Dec'20</v>
      </c>
      <c r="S13" s="264" t="str">
        <f>C13</f>
        <v>BP upto Dec'21</v>
      </c>
      <c r="T13" s="265" t="str">
        <f>D13</f>
        <v>Actual upto Dec'21</v>
      </c>
      <c r="U13" s="23" t="s">
        <v>8</v>
      </c>
      <c r="V13" s="30" t="s">
        <v>9</v>
      </c>
      <c r="W13" s="101" t="s">
        <v>10</v>
      </c>
      <c r="X13" s="102" t="s">
        <v>385</v>
      </c>
      <c r="Y13" s="103" t="str">
        <f>E22</f>
        <v>Actual upto Dec'20</v>
      </c>
      <c r="Z13" s="104" t="str">
        <f>G22</f>
        <v>Actual upto Dec'21</v>
      </c>
      <c r="AA13" s="105"/>
      <c r="AB13" s="106"/>
    </row>
    <row r="14" spans="1:28" ht="18" x14ac:dyDescent="0.25">
      <c r="A14" s="107" t="s">
        <v>11</v>
      </c>
      <c r="B14" s="229">
        <f>'VITAL (Ear.+Exp.) Dec-21'!C37</f>
        <v>428.77</v>
      </c>
      <c r="C14" s="267">
        <f>'VITAL (Ear.+Exp.) Dec-21'!D37</f>
        <v>1190.7</v>
      </c>
      <c r="D14" s="229">
        <f>'VITAL (Ear.+Exp.) Dec-21'!E37</f>
        <v>1290.99</v>
      </c>
      <c r="E14" s="41">
        <f>+D14-C14</f>
        <v>100.28999999999996</v>
      </c>
      <c r="F14" s="42">
        <f>(D14-B14)/B14</f>
        <v>2.0109149427431956</v>
      </c>
      <c r="G14" s="44">
        <f>D14/C5</f>
        <v>0.80867816739955645</v>
      </c>
      <c r="H14" s="108">
        <f>C5/365</f>
        <v>4.3737534246575347</v>
      </c>
      <c r="I14" s="109">
        <f>B14/275</f>
        <v>1.5591636363636363</v>
      </c>
      <c r="J14" s="110">
        <f>D14/275</f>
        <v>4.694509090909091</v>
      </c>
      <c r="K14" s="39"/>
      <c r="L14" s="39"/>
      <c r="M14" s="39"/>
      <c r="N14" s="39"/>
      <c r="O14" s="39"/>
      <c r="P14" s="39"/>
      <c r="Q14" s="111" t="s">
        <v>11</v>
      </c>
      <c r="R14" s="229">
        <f>'VITAL (Ear.+Exp.) Dec-21'!O21</f>
        <v>1111.73</v>
      </c>
      <c r="S14" s="37">
        <f>'VITAL (Ear.+Exp.) Dec-21'!Q21</f>
        <v>4157.62</v>
      </c>
      <c r="T14" s="37">
        <f>'VITAL (Ear.+Exp.) Dec-21'!R21</f>
        <v>2893.76</v>
      </c>
      <c r="U14" s="112">
        <f t="shared" ref="U14:U20" si="4">+T14-S14</f>
        <v>-1263.8599999999997</v>
      </c>
      <c r="V14" s="113">
        <f t="shared" ref="V14:V20" si="5">(T14-R14)/R14</f>
        <v>1.602934165669722</v>
      </c>
      <c r="W14" s="114">
        <f>T14/S5</f>
        <v>0.63127261938782853</v>
      </c>
      <c r="X14" s="41">
        <f>S5/365</f>
        <v>12.558931506849316</v>
      </c>
      <c r="Y14" s="109">
        <f>R14/275</f>
        <v>4.0426545454545453</v>
      </c>
      <c r="Z14" s="115">
        <f>T14/275</f>
        <v>10.522763636363637</v>
      </c>
      <c r="AA14" s="116"/>
      <c r="AB14" s="106"/>
    </row>
    <row r="15" spans="1:28" ht="18" x14ac:dyDescent="0.25">
      <c r="A15" s="107" t="s">
        <v>12</v>
      </c>
      <c r="B15" s="229">
        <f>'VITAL (Ear.+Exp.) Dec-21'!C38</f>
        <v>45.19</v>
      </c>
      <c r="C15" s="229">
        <f>'VITAL (Ear.+Exp.) Dec-21'!D38</f>
        <v>49.7</v>
      </c>
      <c r="D15" s="229">
        <f>'VITAL (Ear.+Exp.) Dec-21'!E38</f>
        <v>111.59</v>
      </c>
      <c r="E15" s="41">
        <f>+D15-C15</f>
        <v>61.89</v>
      </c>
      <c r="F15" s="42">
        <f>(D15-B15)/B15</f>
        <v>1.4693516264660325</v>
      </c>
      <c r="G15" s="44">
        <f t="shared" ref="G15:G18" si="6">D15/C6</f>
        <v>1.3091271703425622</v>
      </c>
      <c r="H15" s="108">
        <f>C6/365</f>
        <v>0.23353424657534244</v>
      </c>
      <c r="I15" s="109">
        <f t="shared" ref="I15:I18" si="7">B15/275</f>
        <v>0.16432727272727271</v>
      </c>
      <c r="J15" s="110">
        <f t="shared" ref="J15:J18" si="8">D15/275</f>
        <v>0.40578181818181819</v>
      </c>
      <c r="K15" s="6"/>
      <c r="L15" s="6"/>
      <c r="M15" s="6"/>
      <c r="N15" s="6"/>
      <c r="O15" s="6"/>
      <c r="P15" s="6"/>
      <c r="Q15" s="111" t="s">
        <v>12</v>
      </c>
      <c r="R15" s="229">
        <f>'VITAL (Ear.+Exp.) Dec-21'!O22</f>
        <v>52.31</v>
      </c>
      <c r="S15" s="37">
        <f>'VITAL (Ear.+Exp.) Dec-21'!Q22</f>
        <v>166.86</v>
      </c>
      <c r="T15" s="37">
        <f>'VITAL (Ear.+Exp.) Dec-21'!R22</f>
        <v>124.18</v>
      </c>
      <c r="U15" s="112">
        <f t="shared" si="4"/>
        <v>-42.680000000000007</v>
      </c>
      <c r="V15" s="113">
        <f t="shared" si="5"/>
        <v>1.3739246797935385</v>
      </c>
      <c r="W15" s="114">
        <f t="shared" ref="W15:W20" si="9">T15/S6</f>
        <v>0.73284154617881392</v>
      </c>
      <c r="X15" s="41">
        <f>S6/365</f>
        <v>0.46424657534246572</v>
      </c>
      <c r="Y15" s="109">
        <f t="shared" ref="Y15:Y18" si="10">R15/275</f>
        <v>0.19021818181818181</v>
      </c>
      <c r="Z15" s="115">
        <f t="shared" ref="Z15:Z18" si="11">T15/275</f>
        <v>0.45156363636363639</v>
      </c>
      <c r="AA15" s="116"/>
      <c r="AB15" s="106"/>
    </row>
    <row r="16" spans="1:28" ht="18" x14ac:dyDescent="0.25">
      <c r="A16" s="107" t="s">
        <v>13</v>
      </c>
      <c r="B16" s="229">
        <f>'VITAL (Ear.+Exp.) Dec-21'!C39</f>
        <v>1280.27</v>
      </c>
      <c r="C16" s="229">
        <f>'VITAL (Ear.+Exp.) Dec-21'!D39</f>
        <v>1348.9</v>
      </c>
      <c r="D16" s="229">
        <f>'VITAL (Ear.+Exp.) Dec-21'!E39</f>
        <v>1455.79</v>
      </c>
      <c r="E16" s="41">
        <f>+D16-C16</f>
        <v>106.88999999999987</v>
      </c>
      <c r="F16" s="42">
        <f>(D16-B16)/B16</f>
        <v>0.13709608129535175</v>
      </c>
      <c r="G16" s="44">
        <f t="shared" si="6"/>
        <v>0.78168677545278331</v>
      </c>
      <c r="H16" s="108">
        <f>C7/365</f>
        <v>5.1023835616438351</v>
      </c>
      <c r="I16" s="109">
        <f t="shared" si="7"/>
        <v>4.655527272727273</v>
      </c>
      <c r="J16" s="110">
        <f t="shared" si="8"/>
        <v>5.2937818181818184</v>
      </c>
      <c r="K16" s="6"/>
      <c r="L16" s="6"/>
      <c r="M16" s="6"/>
      <c r="N16" s="6"/>
      <c r="O16" s="6"/>
      <c r="P16" s="6"/>
      <c r="Q16" s="111" t="s">
        <v>13</v>
      </c>
      <c r="R16" s="229">
        <f>'VITAL (Ear.+Exp.) Dec-21'!O23</f>
        <v>5168.32</v>
      </c>
      <c r="S16" s="37">
        <f>'VITAL (Ear.+Exp.) Dec-21'!Q23</f>
        <v>5968.58</v>
      </c>
      <c r="T16" s="37">
        <f>'VITAL (Ear.+Exp.) Dec-21'!R23</f>
        <v>7454.69</v>
      </c>
      <c r="U16" s="112">
        <f t="shared" si="4"/>
        <v>1486.1099999999997</v>
      </c>
      <c r="V16" s="113">
        <f t="shared" si="5"/>
        <v>0.44238166367407589</v>
      </c>
      <c r="W16" s="114">
        <f t="shared" si="9"/>
        <v>0.71104856124714799</v>
      </c>
      <c r="X16" s="41">
        <f>S7/365</f>
        <v>28.723506849315068</v>
      </c>
      <c r="Y16" s="109">
        <f t="shared" si="10"/>
        <v>18.793890909090909</v>
      </c>
      <c r="Z16" s="115">
        <f t="shared" si="11"/>
        <v>27.107963636363635</v>
      </c>
      <c r="AA16" s="116"/>
      <c r="AB16" s="106"/>
    </row>
    <row r="17" spans="1:28" ht="18.75" thickBot="1" x14ac:dyDescent="0.3">
      <c r="A17" s="117" t="s">
        <v>14</v>
      </c>
      <c r="B17" s="229">
        <f>'VITAL (Ear.+Exp.) Dec-21'!C40</f>
        <v>111.79</v>
      </c>
      <c r="C17" s="229">
        <f>'VITAL (Ear.+Exp.) Dec-21'!D40</f>
        <v>181.94</v>
      </c>
      <c r="D17" s="229">
        <f>'VITAL (Ear.+Exp.) Dec-21'!E40</f>
        <v>118.11</v>
      </c>
      <c r="E17" s="54">
        <f>+D17-C17</f>
        <v>-63.83</v>
      </c>
      <c r="F17" s="55">
        <f>(D17-B17)/B17</f>
        <v>5.6534573754360794E-2</v>
      </c>
      <c r="G17" s="44">
        <f t="shared" si="6"/>
        <v>0.4094076051162952</v>
      </c>
      <c r="H17" s="118">
        <f>C8/365</f>
        <v>0.79038356164383561</v>
      </c>
      <c r="I17" s="109">
        <f t="shared" si="7"/>
        <v>0.40650909090909093</v>
      </c>
      <c r="J17" s="110">
        <f t="shared" si="8"/>
        <v>0.42949090909090909</v>
      </c>
      <c r="K17" s="39"/>
      <c r="L17" s="39"/>
      <c r="M17" s="39"/>
      <c r="N17" s="39"/>
      <c r="O17" s="39"/>
      <c r="P17" s="39"/>
      <c r="Q17" s="119" t="s">
        <v>14</v>
      </c>
      <c r="R17" s="229">
        <f>'VITAL (Ear.+Exp.) Dec-21'!O24</f>
        <v>111.79</v>
      </c>
      <c r="S17" s="37">
        <f>'VITAL (Ear.+Exp.) Dec-21'!Q24</f>
        <v>181.94</v>
      </c>
      <c r="T17" s="37">
        <f>'VITAL (Ear.+Exp.) Dec-21'!R24</f>
        <v>118.11</v>
      </c>
      <c r="U17" s="120">
        <f t="shared" si="4"/>
        <v>-63.83</v>
      </c>
      <c r="V17" s="121">
        <f t="shared" si="5"/>
        <v>5.6534573754360794E-2</v>
      </c>
      <c r="W17" s="122">
        <f t="shared" si="9"/>
        <v>0.50673588467478969</v>
      </c>
      <c r="X17" s="41">
        <f>S8/365</f>
        <v>0.63857534246575343</v>
      </c>
      <c r="Y17" s="109">
        <f t="shared" si="10"/>
        <v>0.40650909090909093</v>
      </c>
      <c r="Z17" s="115">
        <f t="shared" si="11"/>
        <v>0.42949090909090909</v>
      </c>
      <c r="AA17" s="116"/>
      <c r="AB17" s="123"/>
    </row>
    <row r="18" spans="1:28" ht="18.75" thickBot="1" x14ac:dyDescent="0.3">
      <c r="A18" s="124" t="s">
        <v>15</v>
      </c>
      <c r="B18" s="733">
        <f>SUM(B14:B17)</f>
        <v>1866.02</v>
      </c>
      <c r="C18" s="603">
        <f>SUM(C14:C17)</f>
        <v>2771.2400000000002</v>
      </c>
      <c r="D18" s="603">
        <f>SUM(D14:D17)</f>
        <v>2976.48</v>
      </c>
      <c r="E18" s="63">
        <f>SUM(E14:E17)</f>
        <v>205.23999999999984</v>
      </c>
      <c r="F18" s="65">
        <f>(D18-B18)/B18</f>
        <v>0.59509544377873769</v>
      </c>
      <c r="G18" s="44">
        <f t="shared" si="6"/>
        <v>0.77663782576477103</v>
      </c>
      <c r="H18" s="125">
        <f>C9/365</f>
        <v>10.500054794520546</v>
      </c>
      <c r="I18" s="160">
        <f t="shared" si="7"/>
        <v>6.7855272727272729</v>
      </c>
      <c r="J18" s="706">
        <f t="shared" si="8"/>
        <v>10.823563636363636</v>
      </c>
      <c r="K18" s="126"/>
      <c r="L18" s="39"/>
      <c r="M18" s="39"/>
      <c r="N18" s="39"/>
      <c r="O18" s="39"/>
      <c r="P18" s="39"/>
      <c r="Q18" s="127" t="s">
        <v>15</v>
      </c>
      <c r="R18" s="270">
        <f>SUM(R14:R17)</f>
        <v>6444.15</v>
      </c>
      <c r="S18" s="270">
        <f t="shared" ref="S18:T18" si="12">SUM(S14:S17)</f>
        <v>10475</v>
      </c>
      <c r="T18" s="270">
        <f t="shared" si="12"/>
        <v>10590.74</v>
      </c>
      <c r="U18" s="128">
        <f t="shared" si="4"/>
        <v>115.73999999999978</v>
      </c>
      <c r="V18" s="129">
        <f t="shared" si="5"/>
        <v>0.64346577903990443</v>
      </c>
      <c r="W18" s="130">
        <f t="shared" si="9"/>
        <v>0.68457114194518376</v>
      </c>
      <c r="X18" s="204">
        <f>S9/365</f>
        <v>42.385260273972605</v>
      </c>
      <c r="Y18" s="160">
        <f t="shared" si="10"/>
        <v>23.433272727272726</v>
      </c>
      <c r="Z18" s="717">
        <f t="shared" si="11"/>
        <v>38.511781818181817</v>
      </c>
      <c r="AA18" s="131"/>
      <c r="AB18" s="106"/>
    </row>
    <row r="19" spans="1:28" ht="18" x14ac:dyDescent="0.25">
      <c r="A19" s="132"/>
      <c r="B19" s="133"/>
      <c r="C19" s="133"/>
      <c r="D19" s="133"/>
      <c r="E19" s="133"/>
      <c r="F19" s="133"/>
      <c r="G19" s="133"/>
      <c r="H19" s="133"/>
      <c r="I19" s="134"/>
      <c r="J19" s="134"/>
      <c r="K19" s="39"/>
      <c r="L19" s="39"/>
      <c r="M19" s="39"/>
      <c r="N19" s="39"/>
      <c r="O19" s="39"/>
      <c r="P19" s="39"/>
      <c r="Q19" s="100" t="s">
        <v>16</v>
      </c>
      <c r="R19" s="229">
        <f>'VITAL (Ear.+Exp.) Dec-21'!O26</f>
        <v>-47.49</v>
      </c>
      <c r="S19" s="37">
        <f>'VITAL (Ear.+Exp.) Dec-21'!Q26</f>
        <v>7</v>
      </c>
      <c r="T19" s="37">
        <f>'VITAL (Ear.+Exp.) Dec-21'!R26</f>
        <v>-64.599999999999994</v>
      </c>
      <c r="U19" s="135">
        <f t="shared" si="4"/>
        <v>-71.599999999999994</v>
      </c>
      <c r="V19" s="136">
        <f t="shared" si="5"/>
        <v>0.36028637607917441</v>
      </c>
      <c r="W19" s="137">
        <f t="shared" si="9"/>
        <v>-9.2285714285714278</v>
      </c>
      <c r="X19" s="138"/>
      <c r="Y19" s="139"/>
      <c r="Z19" s="140"/>
      <c r="AA19" s="141"/>
      <c r="AB19" s="142"/>
    </row>
    <row r="20" spans="1:28" ht="18.75" thickBo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39"/>
      <c r="L20" s="39"/>
      <c r="M20" s="39"/>
      <c r="N20" s="39"/>
      <c r="O20" s="39"/>
      <c r="P20" s="39"/>
      <c r="Q20" s="143" t="s">
        <v>17</v>
      </c>
      <c r="R20" s="67">
        <f>SUM(R18:R19)</f>
        <v>6396.66</v>
      </c>
      <c r="S20" s="67">
        <f>SUM(S18:S19)</f>
        <v>10482</v>
      </c>
      <c r="T20" s="67">
        <f>SUM(T18:T19)</f>
        <v>10526.14</v>
      </c>
      <c r="U20" s="578">
        <f t="shared" si="4"/>
        <v>44.139999999999418</v>
      </c>
      <c r="V20" s="579">
        <f t="shared" si="5"/>
        <v>0.64556815588135052</v>
      </c>
      <c r="W20" s="580">
        <f t="shared" si="9"/>
        <v>0.68008776543163607</v>
      </c>
      <c r="X20" s="144"/>
      <c r="Y20" s="145"/>
      <c r="Z20" s="146"/>
      <c r="AA20" s="6"/>
      <c r="AB20" s="142"/>
    </row>
    <row r="21" spans="1:28" ht="18.75" thickBot="1" x14ac:dyDescent="0.3">
      <c r="A21" s="147" t="s">
        <v>21</v>
      </c>
      <c r="B21" s="2"/>
      <c r="C21" s="2"/>
      <c r="D21" s="2"/>
      <c r="E21" s="2"/>
      <c r="F21" s="2"/>
      <c r="G21" s="2"/>
      <c r="H21" s="2"/>
      <c r="I21" s="2"/>
      <c r="J21" s="2"/>
      <c r="K21" s="4"/>
      <c r="L21" s="4"/>
      <c r="M21" s="4"/>
      <c r="N21" s="4"/>
      <c r="O21" s="4"/>
      <c r="P21" s="4"/>
      <c r="Q21" s="149"/>
      <c r="R21" s="39"/>
      <c r="S21" s="39"/>
      <c r="T21" s="39"/>
      <c r="U21" s="39"/>
      <c r="V21" s="39"/>
      <c r="W21" s="4" t="s">
        <v>23</v>
      </c>
      <c r="X21" s="39"/>
      <c r="Y21" s="39"/>
      <c r="Z21" s="39"/>
      <c r="AA21" s="2"/>
      <c r="AB21" s="150"/>
    </row>
    <row r="22" spans="1:28" ht="48" thickBot="1" x14ac:dyDescent="0.3">
      <c r="A22" s="25"/>
      <c r="B22" s="20" t="s">
        <v>379</v>
      </c>
      <c r="C22" s="151" t="s">
        <v>380</v>
      </c>
      <c r="D22" s="152" t="s">
        <v>7</v>
      </c>
      <c r="E22" s="274" t="str">
        <f>B13</f>
        <v>Actual upto Dec'20</v>
      </c>
      <c r="F22" s="622" t="str">
        <f>C13</f>
        <v>BP upto Dec'21</v>
      </c>
      <c r="G22" s="275" t="str">
        <f>D13</f>
        <v>Actual upto Dec'21</v>
      </c>
      <c r="H22" s="153" t="s">
        <v>8</v>
      </c>
      <c r="I22" s="152" t="s">
        <v>9</v>
      </c>
      <c r="J22" s="2"/>
      <c r="K22" s="154"/>
      <c r="L22" s="154"/>
      <c r="M22" s="154"/>
      <c r="N22" s="154"/>
      <c r="O22" s="154"/>
      <c r="P22" s="154"/>
      <c r="Q22" s="172"/>
      <c r="R22" s="172"/>
      <c r="S22" s="276"/>
      <c r="T22" s="276"/>
      <c r="U22" s="172"/>
      <c r="V22" s="105"/>
      <c r="W22" s="2"/>
      <c r="X22" s="274" t="str">
        <f>E22</f>
        <v>Actual upto Dec'20</v>
      </c>
      <c r="Y22" s="275" t="str">
        <f>G22</f>
        <v>Actual upto Dec'21</v>
      </c>
      <c r="Z22" s="153" t="s">
        <v>9</v>
      </c>
      <c r="AA22" s="2"/>
      <c r="AB22" s="157"/>
    </row>
    <row r="23" spans="1:28" ht="31.5" x14ac:dyDescent="0.25">
      <c r="A23" s="158" t="s">
        <v>108</v>
      </c>
      <c r="B23" s="623">
        <v>16.88</v>
      </c>
      <c r="C23" s="572">
        <v>0</v>
      </c>
      <c r="D23" s="418">
        <f>(C23-B23)/B23</f>
        <v>-1</v>
      </c>
      <c r="E23" s="571">
        <v>8.31</v>
      </c>
      <c r="F23" s="571">
        <v>0</v>
      </c>
      <c r="G23" s="571">
        <v>40.450000000000003</v>
      </c>
      <c r="H23" s="571">
        <f>+G23-F23</f>
        <v>40.450000000000003</v>
      </c>
      <c r="I23" s="742">
        <f>(G23-E23)/E23</f>
        <v>3.8676293622141995</v>
      </c>
      <c r="J23" s="2"/>
      <c r="K23" s="154"/>
      <c r="L23" s="154"/>
      <c r="M23" s="154"/>
      <c r="N23" s="154"/>
      <c r="O23" s="154"/>
      <c r="P23" s="154"/>
      <c r="Q23" s="132"/>
      <c r="R23" s="133"/>
      <c r="S23" s="277"/>
      <c r="T23" s="277"/>
      <c r="U23" s="176"/>
      <c r="V23" s="162"/>
      <c r="W23" s="163" t="s">
        <v>27</v>
      </c>
      <c r="X23" s="608"/>
      <c r="Y23" s="608"/>
      <c r="Z23" s="609"/>
      <c r="AA23" s="2"/>
      <c r="AB23" s="7"/>
    </row>
    <row r="24" spans="1:28" ht="18" x14ac:dyDescent="0.25">
      <c r="A24" s="111" t="s">
        <v>28</v>
      </c>
      <c r="B24" s="624">
        <v>16.260000000000002</v>
      </c>
      <c r="C24" s="698"/>
      <c r="D24" s="678">
        <f>-E23</f>
        <v>-8.31</v>
      </c>
      <c r="E24" s="571">
        <v>8.0299999999999994</v>
      </c>
      <c r="F24" s="571" t="s">
        <v>30</v>
      </c>
      <c r="G24" s="571">
        <v>27.47</v>
      </c>
      <c r="H24" s="571" t="e">
        <f>+G24-F24</f>
        <v>#VALUE!</v>
      </c>
      <c r="I24" s="742">
        <f t="shared" ref="I24:I29" si="13">(G24-E24)/E24</f>
        <v>2.4209215442092153</v>
      </c>
      <c r="J24" s="2"/>
      <c r="K24" s="154"/>
      <c r="L24" s="154"/>
      <c r="M24" s="154"/>
      <c r="N24" s="154"/>
      <c r="O24" s="154"/>
      <c r="P24" s="154"/>
      <c r="Q24" s="172"/>
      <c r="R24" s="116"/>
      <c r="S24" s="116"/>
      <c r="T24" s="277"/>
      <c r="U24" s="176"/>
      <c r="V24" s="39"/>
      <c r="W24" s="168" t="s">
        <v>32</v>
      </c>
      <c r="X24" s="572">
        <v>4739.76</v>
      </c>
      <c r="Y24" s="572">
        <v>6943.01</v>
      </c>
      <c r="Z24" s="742">
        <f>(Y24-X24)/X24</f>
        <v>0.46484421152125843</v>
      </c>
      <c r="AA24" s="2"/>
      <c r="AB24" s="32"/>
    </row>
    <row r="25" spans="1:28" ht="18" x14ac:dyDescent="0.25">
      <c r="A25" s="111" t="s">
        <v>33</v>
      </c>
      <c r="B25" s="624">
        <v>0.62</v>
      </c>
      <c r="C25" s="698"/>
      <c r="D25" s="625"/>
      <c r="E25" s="571">
        <v>0.28000000000000003</v>
      </c>
      <c r="F25" s="571" t="s">
        <v>30</v>
      </c>
      <c r="G25" s="571">
        <v>12.98</v>
      </c>
      <c r="H25" s="571" t="e">
        <f>+G25-F25</f>
        <v>#VALUE!</v>
      </c>
      <c r="I25" s="742">
        <f t="shared" si="13"/>
        <v>45.357142857142854</v>
      </c>
      <c r="J25" s="2"/>
      <c r="K25" s="154"/>
      <c r="L25" s="154"/>
      <c r="M25" s="154"/>
      <c r="N25" s="154"/>
      <c r="O25" s="154"/>
      <c r="P25" s="154"/>
      <c r="Q25" s="172"/>
      <c r="R25" s="278"/>
      <c r="S25" s="278"/>
      <c r="T25" s="277"/>
      <c r="U25" s="176"/>
      <c r="V25" s="39"/>
      <c r="W25" s="168" t="s">
        <v>35</v>
      </c>
      <c r="X25" s="572">
        <v>815.84</v>
      </c>
      <c r="Y25" s="572">
        <v>916.28</v>
      </c>
      <c r="Z25" s="742">
        <f>(Y25-X25)/X25</f>
        <v>0.12311237497548531</v>
      </c>
      <c r="AA25" s="2"/>
      <c r="AB25" s="32"/>
    </row>
    <row r="26" spans="1:28" ht="18.75" thickBot="1" x14ac:dyDescent="0.3">
      <c r="A26" s="158" t="s">
        <v>36</v>
      </c>
      <c r="B26" s="624">
        <v>16.61</v>
      </c>
      <c r="C26" s="699">
        <v>0</v>
      </c>
      <c r="D26" s="418">
        <f>+(C26-B26)/B26</f>
        <v>-1</v>
      </c>
      <c r="E26" s="571">
        <v>11.82</v>
      </c>
      <c r="F26" s="571" t="s">
        <v>30</v>
      </c>
      <c r="G26" s="571">
        <v>13.76</v>
      </c>
      <c r="H26" s="604" t="e">
        <f>G26-F26</f>
        <v>#VALUE!</v>
      </c>
      <c r="I26" s="742">
        <f t="shared" si="13"/>
        <v>0.16412859560067677</v>
      </c>
      <c r="J26" s="2"/>
      <c r="K26" s="170"/>
      <c r="L26" s="154"/>
      <c r="M26" s="154"/>
      <c r="N26" s="154"/>
      <c r="O26" s="154"/>
      <c r="P26" s="154"/>
      <c r="Q26" s="172"/>
      <c r="R26" s="278"/>
      <c r="S26" s="278"/>
      <c r="T26" s="277"/>
      <c r="U26" s="176"/>
      <c r="V26" s="162"/>
      <c r="W26" s="607" t="s">
        <v>38</v>
      </c>
      <c r="X26" s="426">
        <f>X24-X25</f>
        <v>3923.92</v>
      </c>
      <c r="Y26" s="426">
        <f>Y24-Y25</f>
        <v>6026.7300000000005</v>
      </c>
      <c r="Z26" s="770">
        <f>(Y26-X26)/X26</f>
        <v>0.53589522722175797</v>
      </c>
      <c r="AA26" s="2"/>
      <c r="AB26" s="32"/>
    </row>
    <row r="27" spans="1:28" ht="31.5" x14ac:dyDescent="0.25">
      <c r="A27" s="158" t="s">
        <v>109</v>
      </c>
      <c r="B27" s="624">
        <v>2.15</v>
      </c>
      <c r="C27" s="426">
        <v>2.4</v>
      </c>
      <c r="D27" s="418">
        <f>+(C27-B27)/B27</f>
        <v>0.11627906976744186</v>
      </c>
      <c r="E27" s="571">
        <v>1.72</v>
      </c>
      <c r="F27" s="571" t="s">
        <v>30</v>
      </c>
      <c r="G27" s="571">
        <v>1.56</v>
      </c>
      <c r="H27" s="604" t="e">
        <f>G27-F27</f>
        <v>#VALUE!</v>
      </c>
      <c r="I27" s="742">
        <f t="shared" si="13"/>
        <v>-9.3023255813953445E-2</v>
      </c>
      <c r="J27" s="2"/>
      <c r="K27" s="154"/>
      <c r="L27" s="154"/>
      <c r="M27" s="154"/>
      <c r="N27" s="154"/>
      <c r="O27" s="154"/>
      <c r="P27" s="154"/>
      <c r="Q27" s="132"/>
      <c r="R27" s="133"/>
      <c r="S27" s="277"/>
      <c r="T27" s="277"/>
      <c r="U27" s="176"/>
      <c r="V27" s="162"/>
      <c r="W27" s="163" t="s">
        <v>11</v>
      </c>
      <c r="X27" s="608"/>
      <c r="Y27" s="608"/>
      <c r="Z27" s="609"/>
      <c r="AA27" s="2"/>
      <c r="AB27" s="32"/>
    </row>
    <row r="28" spans="1:28" ht="18" x14ac:dyDescent="0.25">
      <c r="A28" s="111" t="s">
        <v>41</v>
      </c>
      <c r="B28" s="623">
        <v>241</v>
      </c>
      <c r="C28" s="700">
        <v>247.5</v>
      </c>
      <c r="D28" s="418">
        <f>+(C28-B28)/B28</f>
        <v>2.6970954356846474E-2</v>
      </c>
      <c r="E28" s="571">
        <v>290</v>
      </c>
      <c r="F28" s="571" t="s">
        <v>30</v>
      </c>
      <c r="G28" s="571">
        <v>275</v>
      </c>
      <c r="H28" s="604" t="e">
        <f>G28-F28</f>
        <v>#VALUE!</v>
      </c>
      <c r="I28" s="742">
        <f t="shared" si="13"/>
        <v>-5.1724137931034482E-2</v>
      </c>
      <c r="J28" s="172"/>
      <c r="K28" s="154"/>
      <c r="L28" s="154"/>
      <c r="M28" s="154"/>
      <c r="N28" s="154"/>
      <c r="O28" s="154"/>
      <c r="P28" s="154"/>
      <c r="Q28" s="132"/>
      <c r="R28" s="133"/>
      <c r="S28" s="277"/>
      <c r="T28" s="277"/>
      <c r="U28" s="176"/>
      <c r="V28" s="39"/>
      <c r="W28" s="168" t="s">
        <v>43</v>
      </c>
      <c r="X28" s="572">
        <v>855.98</v>
      </c>
      <c r="Y28" s="572">
        <v>2117.86</v>
      </c>
      <c r="Z28" s="742">
        <f>(Y28-X28)/X28</f>
        <v>1.474193322273885</v>
      </c>
      <c r="AA28" s="2"/>
      <c r="AB28" s="32"/>
    </row>
    <row r="29" spans="1:28" ht="18.75" thickBot="1" x14ac:dyDescent="0.3">
      <c r="A29" s="173" t="s">
        <v>44</v>
      </c>
      <c r="B29" s="646">
        <v>9003</v>
      </c>
      <c r="C29" s="701">
        <v>8422</v>
      </c>
      <c r="D29" s="418">
        <f>+(C29-B29)/B29</f>
        <v>-6.4534044207486388E-2</v>
      </c>
      <c r="E29" s="571">
        <v>5102</v>
      </c>
      <c r="F29" s="571" t="s">
        <v>30</v>
      </c>
      <c r="G29" s="571">
        <v>5808</v>
      </c>
      <c r="H29" s="604" t="e">
        <f>G29-F29</f>
        <v>#VALUE!</v>
      </c>
      <c r="I29" s="742">
        <f t="shared" si="13"/>
        <v>0.13837710701685613</v>
      </c>
      <c r="J29" s="2"/>
      <c r="K29" s="154"/>
      <c r="L29" s="154"/>
      <c r="M29" s="154"/>
      <c r="N29" s="154"/>
      <c r="O29" s="154"/>
      <c r="P29" s="154"/>
      <c r="Q29" s="132"/>
      <c r="R29" s="133"/>
      <c r="S29" s="277"/>
      <c r="T29" s="277"/>
      <c r="U29" s="176"/>
      <c r="V29" s="39"/>
      <c r="W29" s="168" t="s">
        <v>46</v>
      </c>
      <c r="X29" s="572">
        <v>177.95</v>
      </c>
      <c r="Y29" s="572">
        <v>504.58</v>
      </c>
      <c r="Z29" s="742">
        <f>(Y29-X29)/X29</f>
        <v>1.835515594268053</v>
      </c>
      <c r="AA29" s="48"/>
      <c r="AB29" s="32"/>
    </row>
    <row r="30" spans="1:28" ht="48" thickBot="1" x14ac:dyDescent="0.3">
      <c r="A30" s="100"/>
      <c r="B30" s="749" t="s">
        <v>381</v>
      </c>
      <c r="C30" s="709"/>
      <c r="D30" s="710"/>
      <c r="E30" s="275" t="s">
        <v>403</v>
      </c>
      <c r="F30" s="622" t="s">
        <v>423</v>
      </c>
      <c r="G30" s="275" t="s">
        <v>424</v>
      </c>
      <c r="H30" s="153" t="s">
        <v>390</v>
      </c>
      <c r="I30" s="280" t="s">
        <v>9</v>
      </c>
      <c r="J30" s="2"/>
      <c r="K30" s="4"/>
      <c r="L30" s="4"/>
      <c r="M30" s="4"/>
      <c r="N30" s="4"/>
      <c r="O30" s="4"/>
      <c r="P30" s="4"/>
      <c r="Q30" s="132"/>
      <c r="R30" s="133"/>
      <c r="S30" s="277"/>
      <c r="T30" s="277"/>
      <c r="U30" s="176"/>
      <c r="V30" s="39"/>
      <c r="W30" s="607" t="s">
        <v>38</v>
      </c>
      <c r="X30" s="426">
        <f>X28-X29</f>
        <v>678.03</v>
      </c>
      <c r="Y30" s="426">
        <f>Y28-Y29</f>
        <v>1613.2800000000002</v>
      </c>
      <c r="Z30" s="770">
        <f>(Y30-X30)/X30</f>
        <v>1.3793637449670373</v>
      </c>
      <c r="AA30" s="48"/>
      <c r="AB30" s="32"/>
    </row>
    <row r="31" spans="1:28" ht="18" x14ac:dyDescent="0.25">
      <c r="A31" s="111" t="s">
        <v>48</v>
      </c>
      <c r="B31" s="548">
        <v>646</v>
      </c>
      <c r="C31" s="267"/>
      <c r="D31" s="175"/>
      <c r="E31" s="708">
        <f>'VITAL (Ear.+Exp.) Dec-21'!B18</f>
        <v>659</v>
      </c>
      <c r="F31" s="577">
        <f>'VITAL (Ear.+Exp.) Dec-21'!C18</f>
        <v>0</v>
      </c>
      <c r="G31" s="175">
        <f>'VITAL (Ear.+Exp.) Dec-21'!D18</f>
        <v>652</v>
      </c>
      <c r="H31" s="109">
        <f>G31-F31</f>
        <v>652</v>
      </c>
      <c r="I31" s="418">
        <f>(G31-E31)/E31</f>
        <v>-1.0622154779969651E-2</v>
      </c>
      <c r="J31" s="176"/>
      <c r="K31" s="4"/>
      <c r="L31" s="4"/>
      <c r="M31" s="4"/>
      <c r="N31" s="4"/>
      <c r="O31" s="4"/>
      <c r="P31" s="4"/>
      <c r="Q31" s="132"/>
      <c r="R31" s="133"/>
      <c r="S31" s="277"/>
      <c r="T31" s="277"/>
      <c r="U31" s="176"/>
      <c r="V31" s="39"/>
      <c r="W31" s="2"/>
      <c r="X31" s="2"/>
      <c r="Y31" s="2"/>
      <c r="Z31" s="2"/>
      <c r="AA31" s="177"/>
      <c r="AB31" s="32"/>
    </row>
    <row r="32" spans="1:28" ht="18" x14ac:dyDescent="0.25">
      <c r="A32" s="111" t="s">
        <v>50</v>
      </c>
      <c r="B32" s="548">
        <v>10735.07</v>
      </c>
      <c r="C32" s="267"/>
      <c r="D32" s="175"/>
      <c r="E32" s="708">
        <f>'VITAL (Ear.+Exp.) Dec-21'!B19</f>
        <v>7789.74</v>
      </c>
      <c r="F32" s="577">
        <f>'VITAL (Ear.+Exp.) Dec-21'!C19</f>
        <v>0</v>
      </c>
      <c r="G32" s="175">
        <f>'VITAL (Ear.+Exp.) Dec-21'!D19</f>
        <v>8966.42</v>
      </c>
      <c r="H32" s="109">
        <f t="shared" ref="H32:H33" si="14">G32-F32</f>
        <v>8966.42</v>
      </c>
      <c r="I32" s="418">
        <f t="shared" ref="I32:I33" si="15">(G32-E32)/E32</f>
        <v>0.15105510581867948</v>
      </c>
      <c r="J32" s="2"/>
      <c r="K32" s="4"/>
      <c r="L32" s="178"/>
      <c r="M32" s="178"/>
      <c r="N32" s="178"/>
      <c r="O32" s="179"/>
      <c r="P32" s="179"/>
      <c r="Q32" s="132"/>
      <c r="R32" s="133"/>
      <c r="S32" s="277"/>
      <c r="T32" s="277"/>
      <c r="U32" s="176"/>
      <c r="V32" s="39"/>
      <c r="W32" s="39"/>
      <c r="X32" s="39"/>
      <c r="Y32" s="39"/>
      <c r="Z32" s="39"/>
      <c r="AA32" s="48"/>
      <c r="AB32" s="32"/>
    </row>
    <row r="33" spans="1:28" ht="32.25" thickBot="1" x14ac:dyDescent="0.3">
      <c r="A33" s="180" t="s">
        <v>110</v>
      </c>
      <c r="B33" s="549">
        <v>1.62</v>
      </c>
      <c r="C33" s="572"/>
      <c r="D33" s="167"/>
      <c r="E33" s="711">
        <v>1.61</v>
      </c>
      <c r="F33" s="721">
        <f>'VITAL (Ear.+Exp.) Dec-21'!C20</f>
        <v>0</v>
      </c>
      <c r="G33" s="167">
        <v>1.58</v>
      </c>
      <c r="H33" s="109">
        <f t="shared" si="14"/>
        <v>1.58</v>
      </c>
      <c r="I33" s="418">
        <f t="shared" si="15"/>
        <v>-1.8633540372670822E-2</v>
      </c>
      <c r="J33" s="2"/>
      <c r="K33" s="4"/>
      <c r="L33" s="170"/>
      <c r="M33" s="170"/>
      <c r="N33" s="170"/>
      <c r="O33" s="170"/>
      <c r="P33" s="154"/>
      <c r="Q33" s="281"/>
      <c r="R33" s="133"/>
      <c r="S33" s="277"/>
      <c r="T33" s="277"/>
      <c r="U33" s="176"/>
      <c r="V33" s="39"/>
      <c r="W33" s="39"/>
      <c r="X33" s="39"/>
      <c r="Y33" s="39"/>
      <c r="Z33" s="39"/>
      <c r="AA33" s="177"/>
      <c r="AB33" s="32"/>
    </row>
    <row r="34" spans="1:28" ht="16.5" thickBot="1" x14ac:dyDescent="0.3">
      <c r="A34" s="2"/>
      <c r="B34" s="2"/>
      <c r="C34" s="2"/>
      <c r="D34" s="2"/>
      <c r="E34" s="2"/>
      <c r="F34" s="2"/>
      <c r="G34" s="2"/>
      <c r="H34" s="2"/>
      <c r="I34" s="2"/>
      <c r="J34" s="182"/>
      <c r="K34" s="2"/>
      <c r="L34" s="2"/>
      <c r="M34" s="2"/>
      <c r="N34" s="2"/>
      <c r="O34" s="2"/>
      <c r="P34" s="2"/>
      <c r="Q34" s="132"/>
      <c r="R34" s="133"/>
      <c r="S34" s="277"/>
      <c r="T34" s="277"/>
      <c r="U34" s="176"/>
      <c r="V34" s="39"/>
      <c r="W34" s="39"/>
      <c r="X34" s="39"/>
      <c r="Y34" s="184"/>
      <c r="Z34" s="184"/>
      <c r="AA34" s="184"/>
      <c r="AB34" s="32"/>
    </row>
    <row r="35" spans="1:28" ht="16.5" thickBot="1" x14ac:dyDescent="0.3">
      <c r="A35" s="185" t="s">
        <v>55</v>
      </c>
      <c r="B35" s="616" t="s">
        <v>56</v>
      </c>
      <c r="C35" s="610"/>
      <c r="D35" s="610"/>
      <c r="E35" s="610"/>
      <c r="F35" s="610"/>
      <c r="G35" s="610"/>
      <c r="H35" s="610"/>
      <c r="I35" s="612"/>
      <c r="J35" s="282" t="s">
        <v>78</v>
      </c>
      <c r="K35" s="283"/>
      <c r="L35" s="284"/>
      <c r="M35" s="285" t="s">
        <v>79</v>
      </c>
      <c r="N35" s="283"/>
      <c r="O35" s="284"/>
      <c r="P35" s="285" t="s">
        <v>80</v>
      </c>
      <c r="Q35" s="283"/>
      <c r="R35" s="284"/>
      <c r="S35" s="26"/>
      <c r="T35" s="184"/>
      <c r="U35" s="184"/>
      <c r="V35" s="190"/>
      <c r="W35" s="184"/>
      <c r="X35" s="184"/>
      <c r="Y35" s="184"/>
      <c r="Z35" s="184"/>
      <c r="AA35" s="105"/>
      <c r="AB35" s="32"/>
    </row>
    <row r="36" spans="1:28" ht="47.25" x14ac:dyDescent="0.25">
      <c r="A36" s="611" t="s">
        <v>58</v>
      </c>
      <c r="B36" s="103" t="s">
        <v>376</v>
      </c>
      <c r="C36" s="613" t="s">
        <v>382</v>
      </c>
      <c r="D36" s="103" t="s">
        <v>7</v>
      </c>
      <c r="E36" s="585" t="str">
        <f>E22</f>
        <v>Actual upto Dec'20</v>
      </c>
      <c r="F36" s="585" t="str">
        <f>F22</f>
        <v>BP upto Dec'21</v>
      </c>
      <c r="G36" s="585" t="str">
        <f>G22</f>
        <v>Actual upto Dec'21</v>
      </c>
      <c r="H36" s="103" t="s">
        <v>8</v>
      </c>
      <c r="I36" s="103" t="s">
        <v>9</v>
      </c>
      <c r="J36" s="585" t="str">
        <f>E22</f>
        <v>Actual upto Dec'20</v>
      </c>
      <c r="K36" s="585" t="str">
        <f>G22</f>
        <v>Actual upto Dec'21</v>
      </c>
      <c r="L36" s="595" t="s">
        <v>82</v>
      </c>
      <c r="M36" s="585" t="str">
        <f>E22</f>
        <v>Actual upto Dec'20</v>
      </c>
      <c r="N36" s="585" t="str">
        <f>G22</f>
        <v>Actual upto Dec'21</v>
      </c>
      <c r="O36" s="584" t="s">
        <v>82</v>
      </c>
      <c r="P36" s="585" t="str">
        <f>E22</f>
        <v>Actual upto Dec'20</v>
      </c>
      <c r="Q36" s="585" t="str">
        <f>G22</f>
        <v>Actual upto Dec'21</v>
      </c>
      <c r="R36" s="287" t="s">
        <v>82</v>
      </c>
      <c r="S36" s="26"/>
      <c r="T36" s="105"/>
      <c r="U36" s="105"/>
      <c r="V36" s="288"/>
      <c r="W36" s="289"/>
      <c r="X36" s="289"/>
      <c r="Y36" s="281"/>
      <c r="Z36" s="105"/>
      <c r="AA36" s="141"/>
      <c r="AB36" s="32"/>
    </row>
    <row r="37" spans="1:28" ht="18" x14ac:dyDescent="0.25">
      <c r="A37" s="19" t="s">
        <v>357</v>
      </c>
      <c r="B37" s="702">
        <v>0</v>
      </c>
      <c r="C37" s="697">
        <v>0</v>
      </c>
      <c r="D37" s="614">
        <v>0</v>
      </c>
      <c r="E37" s="743">
        <v>0</v>
      </c>
      <c r="F37" s="772">
        <v>0</v>
      </c>
      <c r="G37" s="755">
        <v>0</v>
      </c>
      <c r="H37" s="615">
        <v>0</v>
      </c>
      <c r="I37" s="42">
        <v>0</v>
      </c>
      <c r="J37" s="757">
        <v>90</v>
      </c>
      <c r="K37" s="758">
        <v>170</v>
      </c>
      <c r="L37" s="290">
        <v>0</v>
      </c>
      <c r="M37" s="757">
        <v>0</v>
      </c>
      <c r="N37" s="758">
        <v>0</v>
      </c>
      <c r="O37" s="628">
        <v>0</v>
      </c>
      <c r="P37" s="743">
        <v>0.06</v>
      </c>
      <c r="Q37" s="762">
        <v>0.23</v>
      </c>
      <c r="R37" s="290">
        <f>(Q37-P37)/P37</f>
        <v>2.8333333333333335</v>
      </c>
      <c r="S37" s="26"/>
      <c r="T37" s="105"/>
      <c r="U37" s="105"/>
      <c r="V37" s="288"/>
      <c r="W37" s="289"/>
      <c r="X37" s="289"/>
      <c r="Y37" s="281"/>
      <c r="Z37" s="105"/>
      <c r="AA37" s="141"/>
      <c r="AB37" s="32"/>
    </row>
    <row r="38" spans="1:28" ht="18" x14ac:dyDescent="0.25">
      <c r="A38" s="33" t="s">
        <v>63</v>
      </c>
      <c r="B38" s="67">
        <v>2.4500000000000002</v>
      </c>
      <c r="C38" s="572">
        <f>'VITAL (Ear.+Exp.) Dec-21'!B9</f>
        <v>3.14</v>
      </c>
      <c r="D38" s="42">
        <f t="shared" ref="D38:D44" si="16">(C38-B38)/B38</f>
        <v>0.28163265306122442</v>
      </c>
      <c r="E38" s="37">
        <f>'VITAL (Ear.+Exp.) Dec-21'!C9</f>
        <v>1.6</v>
      </c>
      <c r="F38" s="37">
        <f>'VITAL (Ear.+Exp.) Dec-21'!D9</f>
        <v>2.2599999999999998</v>
      </c>
      <c r="G38" s="37">
        <f>'VITAL (Ear.+Exp.) Dec-21'!E9</f>
        <v>2.17</v>
      </c>
      <c r="H38" s="41">
        <f t="shared" ref="H38:H44" si="17">+G38-F38</f>
        <v>-8.9999999999999858E-2</v>
      </c>
      <c r="I38" s="42">
        <f t="shared" ref="I38:I44" si="18">(G38-E38)/E38</f>
        <v>0.3562499999999999</v>
      </c>
      <c r="J38" s="759">
        <v>341.09</v>
      </c>
      <c r="K38" s="759">
        <v>363.33</v>
      </c>
      <c r="L38" s="290">
        <f>(K38-J38)/J38</f>
        <v>6.5202732416664258E-2</v>
      </c>
      <c r="M38" s="682">
        <v>1.56</v>
      </c>
      <c r="N38" s="682">
        <v>1.44</v>
      </c>
      <c r="O38" s="628">
        <f t="shared" ref="O38:O44" si="19">(N38-M38)/M38</f>
        <v>-7.6923076923076983E-2</v>
      </c>
      <c r="P38" s="682">
        <v>85.08</v>
      </c>
      <c r="Q38" s="682">
        <v>113.36</v>
      </c>
      <c r="R38" s="290">
        <f>(Q38-P38)/P38</f>
        <v>0.33239304184297136</v>
      </c>
      <c r="S38" s="26"/>
      <c r="T38" s="291"/>
      <c r="U38" s="292"/>
      <c r="V38" s="292"/>
      <c r="W38" s="116"/>
      <c r="X38" s="116"/>
      <c r="Y38" s="291"/>
      <c r="Z38" s="291"/>
      <c r="AA38" s="293"/>
      <c r="AB38" s="32"/>
    </row>
    <row r="39" spans="1:28" ht="18" x14ac:dyDescent="0.25">
      <c r="A39" s="33" t="s">
        <v>65</v>
      </c>
      <c r="B39" s="67">
        <v>1.88</v>
      </c>
      <c r="C39" s="572">
        <f>'VITAL (Ear.+Exp.) Dec-21'!B10</f>
        <v>2.13</v>
      </c>
      <c r="D39" s="42">
        <f t="shared" si="16"/>
        <v>0.13297872340425532</v>
      </c>
      <c r="E39" s="37">
        <f>'VITAL (Ear.+Exp.) Dec-21'!C10</f>
        <v>1.33</v>
      </c>
      <c r="F39" s="37">
        <f>'VITAL (Ear.+Exp.) Dec-21'!D10</f>
        <v>1.54</v>
      </c>
      <c r="G39" s="37">
        <f>'VITAL (Ear.+Exp.) Dec-21'!E10</f>
        <v>1.34</v>
      </c>
      <c r="H39" s="41">
        <f t="shared" si="17"/>
        <v>-0.19999999999999996</v>
      </c>
      <c r="I39" s="42">
        <f t="shared" si="18"/>
        <v>7.5187969924812095E-3</v>
      </c>
      <c r="J39" s="759">
        <v>1309.08</v>
      </c>
      <c r="K39" s="759">
        <v>1320.25</v>
      </c>
      <c r="L39" s="290">
        <f t="shared" ref="L39:L44" si="20">(K39-J39)/J39</f>
        <v>8.532709994805569E-3</v>
      </c>
      <c r="M39" s="682">
        <v>1.23</v>
      </c>
      <c r="N39" s="682">
        <v>1.23</v>
      </c>
      <c r="O39" s="628">
        <f t="shared" si="19"/>
        <v>0</v>
      </c>
      <c r="P39" s="682">
        <v>213.85</v>
      </c>
      <c r="Q39" s="682">
        <v>217.22</v>
      </c>
      <c r="R39" s="290">
        <f t="shared" ref="R39:R43" si="21">(Q39-P39)/P39</f>
        <v>1.5758709375730675E-2</v>
      </c>
      <c r="S39" s="26"/>
      <c r="T39" s="291"/>
      <c r="U39" s="292"/>
      <c r="V39" s="292"/>
      <c r="W39" s="2"/>
      <c r="X39" s="116"/>
      <c r="Y39" s="291"/>
      <c r="Z39" s="291"/>
      <c r="AA39" s="293"/>
      <c r="AB39" s="32"/>
    </row>
    <row r="40" spans="1:28" ht="18" x14ac:dyDescent="0.25">
      <c r="A40" s="33" t="s">
        <v>67</v>
      </c>
      <c r="B40" s="67">
        <v>0.71</v>
      </c>
      <c r="C40" s="572">
        <f>'VITAL (Ear.+Exp.) Dec-21'!B11</f>
        <v>0.7</v>
      </c>
      <c r="D40" s="42">
        <f t="shared" si="16"/>
        <v>-1.4084507042253534E-2</v>
      </c>
      <c r="E40" s="37">
        <f>'VITAL (Ear.+Exp.) Dec-21'!C11</f>
        <v>0.56000000000000005</v>
      </c>
      <c r="F40" s="37">
        <f>'VITAL (Ear.+Exp.) Dec-21'!D11</f>
        <v>0.5</v>
      </c>
      <c r="G40" s="37">
        <f>'VITAL (Ear.+Exp.) Dec-21'!E11</f>
        <v>0.52</v>
      </c>
      <c r="H40" s="41">
        <f t="shared" si="17"/>
        <v>2.0000000000000018E-2</v>
      </c>
      <c r="I40" s="42">
        <f t="shared" si="18"/>
        <v>-7.142857142857148E-2</v>
      </c>
      <c r="J40" s="759">
        <v>377.57</v>
      </c>
      <c r="K40" s="759">
        <v>330.12</v>
      </c>
      <c r="L40" s="290">
        <f t="shared" si="20"/>
        <v>-0.12567206080991603</v>
      </c>
      <c r="M40" s="682">
        <v>1.45</v>
      </c>
      <c r="N40" s="682">
        <v>1.48</v>
      </c>
      <c r="O40" s="628">
        <f t="shared" si="19"/>
        <v>2.0689655172413814E-2</v>
      </c>
      <c r="P40" s="682">
        <v>30.73</v>
      </c>
      <c r="Q40" s="682">
        <v>25.45</v>
      </c>
      <c r="R40" s="290">
        <f t="shared" si="21"/>
        <v>-0.17181906931337459</v>
      </c>
      <c r="S40" s="26"/>
      <c r="T40" s="116"/>
      <c r="U40" s="131"/>
      <c r="V40" s="131"/>
      <c r="W40" s="76"/>
      <c r="X40" s="116"/>
      <c r="Y40" s="291"/>
      <c r="Z40" s="291"/>
      <c r="AA40" s="293"/>
      <c r="AB40" s="32"/>
    </row>
    <row r="41" spans="1:28" ht="18" x14ac:dyDescent="0.25">
      <c r="A41" s="33" t="s">
        <v>69</v>
      </c>
      <c r="B41" s="67">
        <v>6.88</v>
      </c>
      <c r="C41" s="572">
        <f>'VITAL (Ear.+Exp.) Dec-21'!B12</f>
        <v>7.53</v>
      </c>
      <c r="D41" s="42">
        <f t="shared" si="16"/>
        <v>9.4476744186046568E-2</v>
      </c>
      <c r="E41" s="37">
        <f>'VITAL (Ear.+Exp.) Dec-21'!C12</f>
        <v>5.05</v>
      </c>
      <c r="F41" s="37">
        <f>'VITAL (Ear.+Exp.) Dec-21'!D12</f>
        <v>5.44</v>
      </c>
      <c r="G41" s="37">
        <f>'VITAL (Ear.+Exp.) Dec-21'!E12</f>
        <v>5.61</v>
      </c>
      <c r="H41" s="41">
        <f t="shared" si="17"/>
        <v>0.16999999999999993</v>
      </c>
      <c r="I41" s="42">
        <f t="shared" si="18"/>
        <v>0.11089108910891099</v>
      </c>
      <c r="J41" s="759">
        <v>607.66999999999996</v>
      </c>
      <c r="K41" s="759">
        <v>586.78</v>
      </c>
      <c r="L41" s="290">
        <f t="shared" si="20"/>
        <v>-3.4377211315352062E-2</v>
      </c>
      <c r="M41" s="682">
        <v>2.0499999999999998</v>
      </c>
      <c r="N41" s="682">
        <v>2.04</v>
      </c>
      <c r="O41" s="628">
        <f t="shared" si="19"/>
        <v>-4.8780487804877017E-3</v>
      </c>
      <c r="P41" s="682">
        <v>628.30999999999995</v>
      </c>
      <c r="Q41" s="682">
        <v>671.94</v>
      </c>
      <c r="R41" s="290">
        <f t="shared" si="21"/>
        <v>6.9440244465311884E-2</v>
      </c>
      <c r="S41" s="26"/>
      <c r="T41" s="116"/>
      <c r="U41" s="116"/>
      <c r="V41" s="131"/>
      <c r="W41" s="2"/>
      <c r="X41" s="116"/>
      <c r="Y41" s="291"/>
      <c r="Z41" s="291"/>
      <c r="AA41" s="293"/>
      <c r="AB41" s="32"/>
    </row>
    <row r="42" spans="1:28" ht="18" x14ac:dyDescent="0.25">
      <c r="A42" s="33" t="s">
        <v>71</v>
      </c>
      <c r="B42" s="67">
        <v>2.44</v>
      </c>
      <c r="C42" s="572">
        <f>'VITAL (Ear.+Exp.) Dec-21'!B13</f>
        <v>3.29</v>
      </c>
      <c r="D42" s="42">
        <f t="shared" si="16"/>
        <v>0.34836065573770497</v>
      </c>
      <c r="E42" s="37">
        <f>'VITAL (Ear.+Exp.) Dec-21'!C13</f>
        <v>1.78</v>
      </c>
      <c r="F42" s="37">
        <f>'VITAL (Ear.+Exp.) Dec-21'!D13</f>
        <v>2.36</v>
      </c>
      <c r="G42" s="37">
        <f>'VITAL (Ear.+Exp.) Dec-21'!E13</f>
        <v>2.08</v>
      </c>
      <c r="H42" s="41">
        <f t="shared" si="17"/>
        <v>-0.2799999999999998</v>
      </c>
      <c r="I42" s="42">
        <f t="shared" si="18"/>
        <v>0.16853932584269665</v>
      </c>
      <c r="J42" s="759">
        <v>906.98</v>
      </c>
      <c r="K42" s="759">
        <v>921.01</v>
      </c>
      <c r="L42" s="290">
        <f t="shared" si="20"/>
        <v>1.5468918829522119E-2</v>
      </c>
      <c r="M42" s="682">
        <v>1.23</v>
      </c>
      <c r="N42" s="682">
        <v>1.29</v>
      </c>
      <c r="O42" s="628">
        <f t="shared" si="19"/>
        <v>4.8780487804878092E-2</v>
      </c>
      <c r="P42" s="682">
        <v>198.78</v>
      </c>
      <c r="Q42" s="682">
        <v>247.35</v>
      </c>
      <c r="R42" s="290">
        <f t="shared" si="21"/>
        <v>0.24434047690914576</v>
      </c>
      <c r="S42" s="105"/>
      <c r="T42" s="116"/>
      <c r="U42" s="131"/>
      <c r="V42" s="131"/>
      <c r="W42" s="294"/>
      <c r="X42" s="116"/>
      <c r="Y42" s="291"/>
      <c r="Z42" s="291"/>
      <c r="AA42" s="293"/>
      <c r="AB42" s="32"/>
    </row>
    <row r="43" spans="1:28" ht="18" x14ac:dyDescent="0.25">
      <c r="A43" s="33" t="s">
        <v>73</v>
      </c>
      <c r="B43" s="67">
        <v>2.25</v>
      </c>
      <c r="C43" s="572">
        <f>'VITAL (Ear.+Exp.) Dec-21'!B14</f>
        <v>2.8</v>
      </c>
      <c r="D43" s="42">
        <f t="shared" si="16"/>
        <v>0.24444444444444435</v>
      </c>
      <c r="E43" s="37">
        <f>'VITAL (Ear.+Exp.) Dec-21'!C14</f>
        <v>1.5</v>
      </c>
      <c r="F43" s="37">
        <f>'VITAL (Ear.+Exp.) Dec-21'!D14</f>
        <v>2.0099999999999998</v>
      </c>
      <c r="G43" s="37">
        <f>'VITAL (Ear.+Exp.) Dec-21'!E14</f>
        <v>2.04</v>
      </c>
      <c r="H43" s="41">
        <f t="shared" si="17"/>
        <v>3.0000000000000249E-2</v>
      </c>
      <c r="I43" s="42">
        <f t="shared" si="18"/>
        <v>0.36000000000000004</v>
      </c>
      <c r="J43" s="759">
        <v>405.48</v>
      </c>
      <c r="K43" s="759">
        <v>504.65</v>
      </c>
      <c r="L43" s="290">
        <f t="shared" si="20"/>
        <v>0.24457433165630846</v>
      </c>
      <c r="M43" s="682">
        <v>1.6</v>
      </c>
      <c r="N43" s="682">
        <v>1.39</v>
      </c>
      <c r="O43" s="628">
        <f t="shared" si="19"/>
        <v>-0.13125000000000012</v>
      </c>
      <c r="P43" s="682">
        <v>97.32</v>
      </c>
      <c r="Q43" s="682">
        <v>143</v>
      </c>
      <c r="R43" s="290">
        <f t="shared" si="21"/>
        <v>0.46937936703658045</v>
      </c>
      <c r="S43" s="26"/>
      <c r="T43" s="116"/>
      <c r="U43" s="131"/>
      <c r="V43" s="131"/>
      <c r="W43" s="116"/>
      <c r="X43" s="116"/>
      <c r="Y43" s="291"/>
      <c r="Z43" s="291"/>
      <c r="AA43" s="293"/>
      <c r="AB43" s="142"/>
    </row>
    <row r="44" spans="1:28" ht="18" x14ac:dyDescent="0.25">
      <c r="A44" s="295" t="s">
        <v>85</v>
      </c>
      <c r="B44" s="160">
        <f>SUM(B38:B43)</f>
        <v>16.61</v>
      </c>
      <c r="C44" s="426">
        <f>SUM(C38:C43)</f>
        <v>19.59</v>
      </c>
      <c r="D44" s="296">
        <f t="shared" si="16"/>
        <v>0.17940999397953045</v>
      </c>
      <c r="E44" s="426">
        <f>SUM(E38:E43)</f>
        <v>11.819999999999999</v>
      </c>
      <c r="F44" s="426">
        <f>SUM(F38:F43)</f>
        <v>14.11</v>
      </c>
      <c r="G44" s="756">
        <f>SUM(G38:G43)</f>
        <v>13.760000000000002</v>
      </c>
      <c r="H44" s="41">
        <f t="shared" si="17"/>
        <v>-0.34999999999999787</v>
      </c>
      <c r="I44" s="42">
        <f t="shared" si="18"/>
        <v>0.16412859560067711</v>
      </c>
      <c r="J44" s="760">
        <v>658.97</v>
      </c>
      <c r="K44" s="760">
        <v>651.58000000000004</v>
      </c>
      <c r="L44" s="297">
        <f t="shared" si="20"/>
        <v>-1.1214471068485646E-2</v>
      </c>
      <c r="M44" s="761">
        <v>1.61</v>
      </c>
      <c r="N44" s="761">
        <v>1.58</v>
      </c>
      <c r="O44" s="731">
        <f t="shared" si="19"/>
        <v>-1.8633540372670822E-2</v>
      </c>
      <c r="P44" s="761">
        <f>P37+P38+P39+P40+P41+P42+P43</f>
        <v>1254.1299999999999</v>
      </c>
      <c r="Q44" s="761">
        <f>SUM(Q37:Q43)</f>
        <v>1418.55</v>
      </c>
      <c r="R44" s="297">
        <f>(Q44-P44)/P44</f>
        <v>0.13110283622909913</v>
      </c>
      <c r="S44" s="225"/>
      <c r="T44" s="131"/>
      <c r="U44" s="131"/>
      <c r="V44" s="131"/>
      <c r="W44" s="131"/>
      <c r="X44" s="131"/>
      <c r="Y44" s="291"/>
      <c r="Z44" s="291"/>
      <c r="AA44" s="298"/>
      <c r="AB44" s="142"/>
    </row>
    <row r="45" spans="1:28" ht="15.75" x14ac:dyDescent="0.25">
      <c r="A45" s="299"/>
      <c r="B45" s="300"/>
      <c r="C45" s="300"/>
      <c r="D45" s="301"/>
      <c r="E45" s="302"/>
      <c r="F45" s="302"/>
      <c r="G45" s="301"/>
      <c r="H45" s="302"/>
      <c r="I45" s="302"/>
      <c r="J45" s="301"/>
      <c r="K45" s="303"/>
      <c r="L45" s="303"/>
      <c r="M45" s="303"/>
      <c r="N45" s="303"/>
      <c r="O45" s="303"/>
      <c r="P45" s="303"/>
      <c r="Q45" s="304"/>
      <c r="R45" s="303"/>
      <c r="S45" s="303"/>
      <c r="T45" s="305"/>
      <c r="U45" s="306"/>
      <c r="V45" s="307"/>
      <c r="W45" s="308"/>
      <c r="X45" s="305"/>
      <c r="Y45" s="305"/>
      <c r="Z45" s="305"/>
      <c r="AA45" s="305"/>
      <c r="AB45" s="309"/>
    </row>
    <row r="46" spans="1:28" ht="15.75" x14ac:dyDescent="0.25">
      <c r="A46" s="227"/>
      <c r="B46" s="227"/>
      <c r="C46" s="230" t="s">
        <v>87</v>
      </c>
      <c r="D46" s="230" t="s">
        <v>391</v>
      </c>
      <c r="E46" s="230" t="s">
        <v>88</v>
      </c>
      <c r="F46" s="230" t="s">
        <v>89</v>
      </c>
      <c r="G46" s="230" t="s">
        <v>354</v>
      </c>
      <c r="H46" s="230" t="s">
        <v>355</v>
      </c>
      <c r="I46" s="230" t="s">
        <v>91</v>
      </c>
      <c r="J46" s="230" t="s">
        <v>92</v>
      </c>
      <c r="K46" s="230" t="s">
        <v>93</v>
      </c>
      <c r="L46" s="230" t="s">
        <v>94</v>
      </c>
      <c r="M46" s="596" t="s">
        <v>95</v>
      </c>
      <c r="N46" s="596" t="s">
        <v>96</v>
      </c>
      <c r="O46" s="227"/>
      <c r="P46" s="227"/>
      <c r="Q46" s="230" t="s">
        <v>87</v>
      </c>
      <c r="R46" s="230" t="s">
        <v>392</v>
      </c>
      <c r="S46" s="230" t="s">
        <v>88</v>
      </c>
      <c r="T46" s="230" t="s">
        <v>89</v>
      </c>
      <c r="U46" s="230" t="s">
        <v>354</v>
      </c>
      <c r="V46" s="230" t="s">
        <v>355</v>
      </c>
      <c r="W46" s="230" t="s">
        <v>91</v>
      </c>
      <c r="X46" s="230" t="s">
        <v>92</v>
      </c>
      <c r="Y46" s="230" t="s">
        <v>93</v>
      </c>
      <c r="Z46" s="230" t="s">
        <v>94</v>
      </c>
      <c r="AA46" s="686" t="s">
        <v>95</v>
      </c>
      <c r="AB46" s="687" t="s">
        <v>96</v>
      </c>
    </row>
    <row r="47" spans="1:28" ht="31.5" x14ac:dyDescent="0.25">
      <c r="A47" s="596" t="s">
        <v>97</v>
      </c>
      <c r="B47" s="685" t="s">
        <v>100</v>
      </c>
      <c r="C47" s="72">
        <v>-56.66</v>
      </c>
      <c r="D47" s="43">
        <v>17.54</v>
      </c>
      <c r="E47" s="72">
        <v>43.1</v>
      </c>
      <c r="F47" s="72">
        <v>90.1</v>
      </c>
      <c r="G47" s="72">
        <v>146.68</v>
      </c>
      <c r="H47" s="72">
        <v>178.05</v>
      </c>
      <c r="I47" s="72">
        <v>222.97</v>
      </c>
      <c r="J47" s="72">
        <v>204.7</v>
      </c>
      <c r="K47" s="72">
        <v>265.24</v>
      </c>
      <c r="L47" s="229">
        <v>313.41000000000003</v>
      </c>
      <c r="M47" s="229">
        <v>331.91</v>
      </c>
      <c r="N47" s="229">
        <v>313.83</v>
      </c>
      <c r="O47" s="228" t="s">
        <v>99</v>
      </c>
      <c r="P47" s="685" t="s">
        <v>100</v>
      </c>
      <c r="Q47" s="72">
        <v>0.33</v>
      </c>
      <c r="R47" s="37">
        <v>1.62</v>
      </c>
      <c r="S47" s="72">
        <v>3.1</v>
      </c>
      <c r="T47" s="72">
        <v>14.62</v>
      </c>
      <c r="U47" s="72">
        <v>3.52</v>
      </c>
      <c r="V47" s="72">
        <v>4.84</v>
      </c>
      <c r="W47" s="72">
        <v>6.27</v>
      </c>
      <c r="X47" s="72">
        <v>7.48</v>
      </c>
      <c r="Y47" s="72">
        <v>10.53</v>
      </c>
      <c r="Z47" s="229">
        <v>10.210000000000001</v>
      </c>
      <c r="AA47" s="72">
        <v>6.48</v>
      </c>
      <c r="AB47" s="229">
        <v>12.06</v>
      </c>
    </row>
    <row r="48" spans="1:28" ht="18" x14ac:dyDescent="0.25">
      <c r="A48" s="227"/>
      <c r="B48" s="685" t="s">
        <v>375</v>
      </c>
      <c r="C48" s="229">
        <v>147.99</v>
      </c>
      <c r="D48" s="43">
        <v>106.03</v>
      </c>
      <c r="E48" s="229">
        <v>303.19</v>
      </c>
      <c r="F48" s="229">
        <v>360.41</v>
      </c>
      <c r="G48" s="72">
        <v>384.82</v>
      </c>
      <c r="H48" s="229">
        <v>402.09</v>
      </c>
      <c r="I48" s="72">
        <v>417.12</v>
      </c>
      <c r="J48" s="229">
        <v>398.03</v>
      </c>
      <c r="K48" s="72">
        <v>374.08</v>
      </c>
      <c r="L48" s="229">
        <v>0</v>
      </c>
      <c r="M48" s="229">
        <v>0</v>
      </c>
      <c r="N48" s="229">
        <v>0</v>
      </c>
      <c r="O48" s="230"/>
      <c r="P48" s="685" t="s">
        <v>375</v>
      </c>
      <c r="Q48" s="229">
        <v>11.14</v>
      </c>
      <c r="R48" s="37">
        <v>11.52</v>
      </c>
      <c r="S48" s="229">
        <v>13.36</v>
      </c>
      <c r="T48" s="229">
        <v>11.07</v>
      </c>
      <c r="U48" s="72">
        <v>11.58</v>
      </c>
      <c r="V48" s="229">
        <v>14.07</v>
      </c>
      <c r="W48" s="72">
        <v>13.57</v>
      </c>
      <c r="X48" s="229">
        <v>20.05</v>
      </c>
      <c r="Y48" s="72">
        <v>17.82</v>
      </c>
      <c r="Z48" s="229">
        <v>0</v>
      </c>
      <c r="AA48" s="72">
        <v>0</v>
      </c>
      <c r="AB48" s="229">
        <v>0</v>
      </c>
    </row>
    <row r="49" spans="1:28" ht="18" x14ac:dyDescent="0.25">
      <c r="A49" s="596" t="s">
        <v>101</v>
      </c>
      <c r="B49" s="685" t="s">
        <v>100</v>
      </c>
      <c r="C49" s="72">
        <v>281.32</v>
      </c>
      <c r="D49" s="37">
        <v>371.34</v>
      </c>
      <c r="E49" s="72">
        <v>533.41999999999996</v>
      </c>
      <c r="F49" s="229">
        <v>518.67999999999995</v>
      </c>
      <c r="G49" s="72">
        <v>598.32000000000005</v>
      </c>
      <c r="H49" s="72">
        <v>762.78</v>
      </c>
      <c r="I49" s="72">
        <v>708.36</v>
      </c>
      <c r="J49" s="72">
        <v>657.94</v>
      </c>
      <c r="K49" s="72">
        <v>736.16</v>
      </c>
      <c r="L49" s="229">
        <v>802.16</v>
      </c>
      <c r="M49" s="229">
        <v>735.93</v>
      </c>
      <c r="N49" s="229">
        <v>868.26</v>
      </c>
      <c r="O49" s="230" t="s">
        <v>102</v>
      </c>
      <c r="P49" s="685" t="s">
        <v>100</v>
      </c>
      <c r="Q49" s="72">
        <v>2.77</v>
      </c>
      <c r="R49" s="37">
        <v>4.2</v>
      </c>
      <c r="S49" s="229">
        <v>6.94</v>
      </c>
      <c r="T49" s="229">
        <v>35.83</v>
      </c>
      <c r="U49" s="72">
        <v>20.43</v>
      </c>
      <c r="V49" s="72">
        <v>6.74</v>
      </c>
      <c r="W49" s="72">
        <v>7.23</v>
      </c>
      <c r="X49" s="229">
        <v>16.02</v>
      </c>
      <c r="Y49" s="72">
        <v>11.63</v>
      </c>
      <c r="Z49" s="229">
        <v>14.16</v>
      </c>
      <c r="AA49" s="72">
        <v>5.49</v>
      </c>
      <c r="AB49" s="229">
        <v>55.12</v>
      </c>
    </row>
    <row r="50" spans="1:28" ht="18" x14ac:dyDescent="0.25">
      <c r="A50" s="227"/>
      <c r="B50" s="685" t="s">
        <v>375</v>
      </c>
      <c r="C50" s="229">
        <v>759.14</v>
      </c>
      <c r="D50" s="43">
        <v>840.33</v>
      </c>
      <c r="E50" s="229">
        <v>730.84</v>
      </c>
      <c r="F50" s="229">
        <v>805.66</v>
      </c>
      <c r="G50" s="72">
        <v>785.23</v>
      </c>
      <c r="H50" s="229">
        <v>827.39</v>
      </c>
      <c r="I50" s="72">
        <v>973.89</v>
      </c>
      <c r="J50" s="229">
        <v>851.79</v>
      </c>
      <c r="K50" s="72">
        <v>880.42</v>
      </c>
      <c r="L50" s="229">
        <v>0</v>
      </c>
      <c r="M50" s="229">
        <v>0</v>
      </c>
      <c r="N50" s="229">
        <v>0</v>
      </c>
      <c r="O50" s="227"/>
      <c r="P50" s="685" t="s">
        <v>375</v>
      </c>
      <c r="Q50" s="229">
        <v>6.46</v>
      </c>
      <c r="R50" s="37">
        <v>4.78</v>
      </c>
      <c r="S50" s="229">
        <v>18.39</v>
      </c>
      <c r="T50" s="229">
        <v>44.62</v>
      </c>
      <c r="U50" s="72">
        <v>10.41</v>
      </c>
      <c r="V50" s="229">
        <v>10.53</v>
      </c>
      <c r="W50" s="72">
        <v>7.71</v>
      </c>
      <c r="X50" s="229">
        <v>8.0500000000000007</v>
      </c>
      <c r="Y50" s="72">
        <v>7.16</v>
      </c>
      <c r="Z50" s="229">
        <v>0</v>
      </c>
      <c r="AA50" s="72">
        <v>0</v>
      </c>
      <c r="AB50" s="229">
        <v>0</v>
      </c>
    </row>
    <row r="51" spans="1:28" ht="16.5" thickBot="1" x14ac:dyDescent="0.3">
      <c r="A51" s="2"/>
      <c r="B51" s="2"/>
      <c r="C51" s="2"/>
      <c r="D51" s="2"/>
      <c r="E51" s="2"/>
      <c r="F51" s="2"/>
      <c r="G51" s="39"/>
      <c r="H51" s="39"/>
      <c r="I51" s="39"/>
      <c r="J51" s="39"/>
      <c r="K51" s="39"/>
      <c r="L51" s="39"/>
      <c r="M51" s="2"/>
      <c r="N51" s="2"/>
      <c r="O51" s="2"/>
      <c r="P51" s="2"/>
      <c r="Q51" s="189"/>
      <c r="R51" s="76"/>
      <c r="S51" s="232"/>
      <c r="T51" s="718"/>
      <c r="U51" s="76"/>
      <c r="V51" s="233"/>
      <c r="W51" s="233"/>
      <c r="X51" s="233"/>
      <c r="Y51" s="233"/>
      <c r="Z51" s="233"/>
      <c r="AA51" s="233"/>
      <c r="AB51" s="234"/>
    </row>
    <row r="52" spans="1:28" ht="15.75" x14ac:dyDescent="0.25">
      <c r="A52" s="235" t="s">
        <v>103</v>
      </c>
      <c r="B52" s="236"/>
      <c r="C52" s="236"/>
      <c r="D52" s="236"/>
      <c r="E52" s="237"/>
      <c r="F52" s="237"/>
      <c r="G52" s="231"/>
      <c r="H52" s="231"/>
      <c r="I52" s="231"/>
      <c r="J52" s="231"/>
      <c r="K52" s="231"/>
      <c r="L52" s="231"/>
      <c r="M52" s="231"/>
      <c r="N52" s="231"/>
      <c r="O52" s="239"/>
      <c r="P52" s="231"/>
      <c r="Q52" s="240"/>
      <c r="R52" s="241"/>
      <c r="S52" s="242"/>
      <c r="T52" s="243"/>
      <c r="U52" s="76"/>
      <c r="V52" s="233"/>
      <c r="W52" s="233"/>
      <c r="X52" s="233"/>
      <c r="Y52" s="233"/>
      <c r="Z52" s="233"/>
      <c r="AA52" s="233"/>
      <c r="AB52" s="234"/>
    </row>
    <row r="53" spans="1:28" ht="15.75" x14ac:dyDescent="0.25">
      <c r="A53" s="244"/>
      <c r="B53" s="184" t="s">
        <v>104</v>
      </c>
      <c r="C53" s="184"/>
      <c r="D53" s="184"/>
      <c r="E53" s="39"/>
      <c r="F53" s="39"/>
      <c r="G53" s="116"/>
      <c r="H53" s="245"/>
      <c r="I53" s="238"/>
      <c r="J53" s="238"/>
      <c r="K53" s="2"/>
      <c r="L53" s="2"/>
      <c r="M53" s="2"/>
      <c r="N53" s="2"/>
      <c r="O53" s="2"/>
      <c r="P53" s="2"/>
      <c r="Q53" s="189"/>
      <c r="R53" s="247"/>
      <c r="S53" s="248"/>
      <c r="T53" s="249"/>
      <c r="U53" s="76"/>
      <c r="V53" s="233"/>
      <c r="W53" s="233"/>
      <c r="X53" s="233"/>
      <c r="Y53" s="233"/>
      <c r="Z53" s="233"/>
      <c r="AA53" s="233"/>
      <c r="AB53" s="234"/>
    </row>
    <row r="54" spans="1:28" ht="16.5" thickBot="1" x14ac:dyDescent="0.3">
      <c r="A54" s="251" t="s">
        <v>105</v>
      </c>
      <c r="B54" s="252"/>
      <c r="C54" s="252"/>
      <c r="D54" s="252"/>
      <c r="E54" s="252"/>
      <c r="F54" s="252"/>
      <c r="G54" s="253"/>
      <c r="H54" s="254"/>
      <c r="I54" s="246"/>
      <c r="J54" s="246"/>
      <c r="K54" s="255"/>
      <c r="L54" s="255"/>
      <c r="M54" s="255"/>
      <c r="N54" s="255"/>
      <c r="O54" s="255"/>
      <c r="P54" s="255"/>
      <c r="Q54" s="256"/>
      <c r="R54" s="256"/>
      <c r="S54" s="256"/>
      <c r="T54" s="257"/>
      <c r="U54" s="252"/>
      <c r="V54" s="258"/>
      <c r="W54" s="258"/>
      <c r="X54" s="258"/>
      <c r="Y54" s="258"/>
      <c r="Z54" s="258"/>
      <c r="AA54" s="258"/>
      <c r="AB54" s="259"/>
    </row>
  </sheetData>
  <mergeCells count="1">
    <mergeCell ref="K3:P3"/>
  </mergeCells>
  <pageMargins left="0.25" right="0.17" top="0.5" bottom="0" header="0.5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75"/>
  <sheetViews>
    <sheetView view="pageBreakPreview" topLeftCell="D15" zoomScaleNormal="100" zoomScaleSheetLayoutView="100" workbookViewId="0">
      <selection activeCell="I28" sqref="I28"/>
    </sheetView>
  </sheetViews>
  <sheetFormatPr defaultRowHeight="15" x14ac:dyDescent="0.25"/>
  <cols>
    <col min="1" max="1" width="9.140625" hidden="1" customWidth="1"/>
    <col min="2" max="2" width="23.85546875" customWidth="1"/>
    <col min="3" max="3" width="23.5703125" customWidth="1"/>
    <col min="4" max="4" width="13.7109375" customWidth="1"/>
    <col min="5" max="5" width="15.28515625" customWidth="1"/>
    <col min="6" max="6" width="16.7109375" customWidth="1"/>
    <col min="7" max="7" width="14.5703125" customWidth="1"/>
    <col min="8" max="8" width="16" bestFit="1" customWidth="1"/>
    <col min="9" max="9" width="13.85546875" customWidth="1"/>
    <col min="10" max="10" width="14.7109375" customWidth="1"/>
    <col min="11" max="11" width="16.42578125" customWidth="1"/>
    <col min="12" max="12" width="11.7109375" customWidth="1"/>
    <col min="13" max="13" width="12.42578125" customWidth="1"/>
    <col min="14" max="14" width="11.140625" customWidth="1"/>
    <col min="15" max="15" width="10.5703125" customWidth="1"/>
    <col min="16" max="16" width="19.7109375" customWidth="1"/>
    <col min="17" max="17" width="16.28515625" customWidth="1"/>
    <col min="18" max="18" width="28.7109375" customWidth="1"/>
    <col min="19" max="19" width="31.7109375" customWidth="1"/>
    <col min="20" max="20" width="20.140625" customWidth="1"/>
    <col min="21" max="21" width="17" bestFit="1" customWidth="1"/>
    <col min="22" max="22" width="18.140625" customWidth="1"/>
    <col min="23" max="23" width="11.28515625" customWidth="1"/>
    <col min="24" max="24" width="15.140625" customWidth="1"/>
    <col min="25" max="25" width="13.42578125" customWidth="1"/>
    <col min="26" max="26" width="12.7109375" customWidth="1"/>
    <col min="27" max="27" width="13.28515625" customWidth="1"/>
  </cols>
  <sheetData>
    <row r="1" spans="1:29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</row>
    <row r="2" spans="1:29" ht="18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2"/>
      <c r="L2" s="2"/>
      <c r="M2" s="5" t="s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 t="s">
        <v>1</v>
      </c>
      <c r="Y2" s="6" t="s">
        <v>438</v>
      </c>
      <c r="Z2" s="6"/>
      <c r="AA2" s="6"/>
      <c r="AB2" s="6"/>
      <c r="AC2" s="7"/>
    </row>
    <row r="3" spans="1:29" ht="18.75" thickBot="1" x14ac:dyDescent="0.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5" t="s">
        <v>353</v>
      </c>
      <c r="M3" s="4"/>
      <c r="N3" s="4"/>
      <c r="O3" s="4"/>
      <c r="P3" s="8">
        <v>44531</v>
      </c>
      <c r="Q3" s="4"/>
      <c r="R3" s="4" t="s">
        <v>111</v>
      </c>
      <c r="S3" s="4"/>
      <c r="T3" s="4"/>
      <c r="U3" s="4"/>
      <c r="V3" s="4"/>
      <c r="W3" s="4"/>
      <c r="X3" s="4"/>
      <c r="Y3" s="4"/>
      <c r="Z3" s="4"/>
      <c r="AA3" s="4"/>
      <c r="AB3" s="4"/>
      <c r="AC3" s="7"/>
    </row>
    <row r="4" spans="1:29" ht="18.75" thickBot="1" x14ac:dyDescent="0.3">
      <c r="A4" s="3"/>
      <c r="B4" s="9" t="s">
        <v>2</v>
      </c>
      <c r="C4" s="10"/>
      <c r="D4" s="10"/>
      <c r="E4" s="10"/>
      <c r="F4" s="11" t="s">
        <v>3</v>
      </c>
      <c r="G4" s="12"/>
      <c r="H4" s="12"/>
      <c r="I4" s="12"/>
      <c r="J4" s="12"/>
      <c r="K4" s="13"/>
      <c r="L4" s="928" t="s">
        <v>4</v>
      </c>
      <c r="M4" s="928"/>
      <c r="N4" s="928"/>
      <c r="O4" s="928"/>
      <c r="P4" s="928"/>
      <c r="Q4" s="929"/>
      <c r="R4" s="14" t="s">
        <v>5</v>
      </c>
      <c r="S4" s="15"/>
      <c r="T4" s="15"/>
      <c r="U4" s="15"/>
      <c r="V4" s="16" t="s">
        <v>3</v>
      </c>
      <c r="W4" s="17"/>
      <c r="X4" s="17"/>
      <c r="Y4" s="17"/>
      <c r="Z4" s="17"/>
      <c r="AA4" s="598"/>
      <c r="AB4" s="6"/>
      <c r="AC4" s="18"/>
    </row>
    <row r="5" spans="1:29" ht="48" thickBot="1" x14ac:dyDescent="0.3">
      <c r="A5" s="3"/>
      <c r="B5" s="19" t="s">
        <v>6</v>
      </c>
      <c r="C5" s="20" t="s">
        <v>378</v>
      </c>
      <c r="D5" s="22" t="s">
        <v>377</v>
      </c>
      <c r="E5" s="21" t="s">
        <v>7</v>
      </c>
      <c r="F5" s="263" t="s">
        <v>419</v>
      </c>
      <c r="G5" s="264" t="s">
        <v>420</v>
      </c>
      <c r="H5" s="265" t="s">
        <v>421</v>
      </c>
      <c r="I5" s="23" t="s">
        <v>8</v>
      </c>
      <c r="J5" s="24" t="s">
        <v>9</v>
      </c>
      <c r="K5" s="25" t="s">
        <v>10</v>
      </c>
      <c r="L5" s="26"/>
      <c r="M5" s="26"/>
      <c r="N5" s="26"/>
      <c r="O5" s="26"/>
      <c r="P5" s="26"/>
      <c r="Q5" s="26"/>
      <c r="R5" s="27"/>
      <c r="S5" s="28" t="s">
        <v>384</v>
      </c>
      <c r="T5" s="29" t="s">
        <v>383</v>
      </c>
      <c r="U5" s="24" t="s">
        <v>7</v>
      </c>
      <c r="V5" s="627" t="str">
        <f>F5</f>
        <v>Actual Dec'20</v>
      </c>
      <c r="W5" s="22" t="str">
        <f>G5</f>
        <v>BP Dec'21</v>
      </c>
      <c r="X5" s="21" t="str">
        <f>H5</f>
        <v>Actual Dec'21</v>
      </c>
      <c r="Y5" s="30" t="s">
        <v>8</v>
      </c>
      <c r="Z5" s="31" t="s">
        <v>9</v>
      </c>
      <c r="AA5" s="180" t="s">
        <v>10</v>
      </c>
      <c r="AB5" s="4"/>
      <c r="AC5" s="32"/>
    </row>
    <row r="6" spans="1:29" ht="18" x14ac:dyDescent="0.25">
      <c r="A6" s="3"/>
      <c r="B6" s="33" t="s">
        <v>11</v>
      </c>
      <c r="C6" s="34">
        <f>'VITAL (Ear.+Exp.) Dec-21'!B26</f>
        <v>799.32</v>
      </c>
      <c r="D6" s="109">
        <f>'VITAL (Ear.+Exp.) Dec-21'!B37</f>
        <v>1596.42</v>
      </c>
      <c r="E6" s="36">
        <f>(D6-C6)/C6</f>
        <v>0.99722263924335686</v>
      </c>
      <c r="F6" s="37">
        <f>'VITAL (Ear.+Exp.) Dec-21'!C26</f>
        <v>112.81</v>
      </c>
      <c r="G6" s="37">
        <f>'VITAL (Ear.+Exp.) Dec-21'!D26</f>
        <v>132.68</v>
      </c>
      <c r="H6" s="37">
        <f>'VITAL (Ear.+Exp.) Dec-21'!E26</f>
        <v>170.43</v>
      </c>
      <c r="I6" s="34">
        <f>+H6-G6</f>
        <v>37.75</v>
      </c>
      <c r="J6" s="724">
        <f>(H6-F6)/F6</f>
        <v>0.51077032177998405</v>
      </c>
      <c r="K6" s="727">
        <f>H6/D6</f>
        <v>0.10675762017514188</v>
      </c>
      <c r="L6" s="38"/>
      <c r="M6" s="39"/>
      <c r="N6" s="39"/>
      <c r="O6" s="39"/>
      <c r="P6" s="39"/>
      <c r="Q6" s="39"/>
      <c r="R6" s="40" t="s">
        <v>11</v>
      </c>
      <c r="S6" s="41">
        <f>'VITAL (Ear.+Exp.) Dec-21'!O10</f>
        <v>2070.88</v>
      </c>
      <c r="T6" s="37">
        <f>'VITAL (Ear.+Exp.) Dec-21'!P21</f>
        <v>4584.01</v>
      </c>
      <c r="U6" s="42">
        <f t="shared" ref="U6:U12" si="0">(T6-S6)/S6</f>
        <v>1.2135565556671559</v>
      </c>
      <c r="V6" s="43">
        <f>'VITAL (Ear.+Exp.) Dec-21'!P10</f>
        <v>265.24</v>
      </c>
      <c r="W6" s="43">
        <f>'VITAL (Ear.+Exp.) Dec-21'!Q10</f>
        <v>523.74</v>
      </c>
      <c r="X6" s="37">
        <f>'VITAL (Ear.+Exp.) Dec-21'!R10</f>
        <v>374.08</v>
      </c>
      <c r="Y6" s="442">
        <f t="shared" ref="Y6:Y12" si="1">+X6-W6</f>
        <v>-149.66000000000003</v>
      </c>
      <c r="Z6" s="44">
        <f t="shared" ref="Z6:Z12" si="2">(X6-V6)/V6</f>
        <v>0.41034534760971186</v>
      </c>
      <c r="AA6" s="75">
        <f>X6/T6</f>
        <v>8.1605406619968096E-2</v>
      </c>
      <c r="AB6" s="45"/>
      <c r="AC6" s="46"/>
    </row>
    <row r="7" spans="1:29" ht="18" x14ac:dyDescent="0.25">
      <c r="A7" s="3"/>
      <c r="B7" s="33" t="s">
        <v>12</v>
      </c>
      <c r="C7" s="34">
        <f>'VITAL (Ear.+Exp.) Dec-21'!B27</f>
        <v>77.489999999999995</v>
      </c>
      <c r="D7" s="35">
        <f>'VITAL (Ear.+Exp.) Dec-21'!B38</f>
        <v>85.24</v>
      </c>
      <c r="E7" s="36">
        <f>(D7-C7)/C7</f>
        <v>0.10001290489095367</v>
      </c>
      <c r="F7" s="37">
        <f>'VITAL (Ear.+Exp.) Dec-21'!C27</f>
        <v>9.76</v>
      </c>
      <c r="G7" s="37">
        <f>'VITAL (Ear.+Exp.) Dec-21'!D27</f>
        <v>10.74</v>
      </c>
      <c r="H7" s="37">
        <f>'VITAL (Ear.+Exp.) Dec-21'!E27</f>
        <v>13.26</v>
      </c>
      <c r="I7" s="34">
        <f>+H7-G7</f>
        <v>2.5199999999999996</v>
      </c>
      <c r="J7" s="724">
        <f>(H7-F7)/F7</f>
        <v>0.35860655737704916</v>
      </c>
      <c r="K7" s="727">
        <f>H7/D7</f>
        <v>0.15556076959174098</v>
      </c>
      <c r="L7" s="39"/>
      <c r="M7" s="39"/>
      <c r="N7" s="39"/>
      <c r="O7" s="39"/>
      <c r="P7" s="39"/>
      <c r="Q7" s="39"/>
      <c r="R7" s="40" t="s">
        <v>12</v>
      </c>
      <c r="S7" s="41">
        <f>'VITAL (Ear.+Exp.) Dec-21'!O11</f>
        <v>81.069999999999993</v>
      </c>
      <c r="T7" s="37">
        <f>'VITAL (Ear.+Exp.) Dec-21'!P22</f>
        <v>169.45</v>
      </c>
      <c r="U7" s="42">
        <f t="shared" si="0"/>
        <v>1.0901689897619342</v>
      </c>
      <c r="V7" s="43">
        <f>'VITAL (Ear.+Exp.) Dec-21'!P11</f>
        <v>10.53</v>
      </c>
      <c r="W7" s="43">
        <f>'VITAL (Ear.+Exp.) Dec-21'!Q11</f>
        <v>17.149999999999999</v>
      </c>
      <c r="X7" s="37">
        <f>'VITAL (Ear.+Exp.) Dec-21'!R11</f>
        <v>17.82</v>
      </c>
      <c r="Y7" s="442">
        <f t="shared" si="1"/>
        <v>0.67000000000000171</v>
      </c>
      <c r="Z7" s="44">
        <f t="shared" si="2"/>
        <v>0.6923076923076924</v>
      </c>
      <c r="AA7" s="42">
        <f t="shared" ref="AA7:AA12" si="3">X7/T7</f>
        <v>0.10516376512245501</v>
      </c>
      <c r="AB7" s="6"/>
      <c r="AC7" s="46"/>
    </row>
    <row r="8" spans="1:29" ht="18" x14ac:dyDescent="0.25">
      <c r="A8" s="3"/>
      <c r="B8" s="33" t="s">
        <v>13</v>
      </c>
      <c r="C8" s="34">
        <f>'VITAL (Ear.+Exp.) Dec-21'!B28</f>
        <v>1764.98</v>
      </c>
      <c r="D8" s="35">
        <f>'VITAL (Ear.+Exp.) Dec-21'!B39</f>
        <v>1862.37</v>
      </c>
      <c r="E8" s="36">
        <f>(D8-C8)/C8</f>
        <v>5.5179095513830115E-2</v>
      </c>
      <c r="F8" s="37">
        <f>'VITAL (Ear.+Exp.) Dec-21'!C28</f>
        <v>181.79</v>
      </c>
      <c r="G8" s="37">
        <f>'VITAL (Ear.+Exp.) Dec-21'!D28</f>
        <v>191.54</v>
      </c>
      <c r="H8" s="37">
        <f>'VITAL (Ear.+Exp.) Dec-21'!E28</f>
        <v>195.52</v>
      </c>
      <c r="I8" s="34">
        <f>+H8-G8</f>
        <v>3.9800000000000182</v>
      </c>
      <c r="J8" s="724">
        <f>(H8-F8)/F8</f>
        <v>7.5526706639529234E-2</v>
      </c>
      <c r="K8" s="727">
        <f>H8/D8</f>
        <v>0.10498450898586212</v>
      </c>
      <c r="L8" s="48"/>
      <c r="M8" s="39"/>
      <c r="N8" s="39"/>
      <c r="O8" s="39"/>
      <c r="P8" s="39"/>
      <c r="Q8" s="39"/>
      <c r="R8" s="40" t="s">
        <v>13</v>
      </c>
      <c r="S8" s="41">
        <f>'VITAL (Ear.+Exp.) Dec-21'!O12</f>
        <v>7577.66</v>
      </c>
      <c r="T8" s="37">
        <f>'VITAL (Ear.+Exp.) Dec-21'!P23</f>
        <v>10484.08</v>
      </c>
      <c r="U8" s="42">
        <f t="shared" si="0"/>
        <v>0.38355112264208213</v>
      </c>
      <c r="V8" s="43">
        <f>'VITAL (Ear.+Exp.) Dec-21'!P12</f>
        <v>736.16</v>
      </c>
      <c r="W8" s="43">
        <f>'VITAL (Ear.+Exp.) Dec-21'!Q12</f>
        <v>768.37</v>
      </c>
      <c r="X8" s="37">
        <f>'VITAL (Ear.+Exp.) Dec-21'!R12</f>
        <v>880.42</v>
      </c>
      <c r="Y8" s="442">
        <f t="shared" si="1"/>
        <v>112.04999999999995</v>
      </c>
      <c r="Z8" s="44">
        <f t="shared" si="2"/>
        <v>0.19596283416648555</v>
      </c>
      <c r="AA8" s="42">
        <f t="shared" si="3"/>
        <v>8.3976848707754986E-2</v>
      </c>
      <c r="AB8" s="6"/>
      <c r="AC8" s="46"/>
    </row>
    <row r="9" spans="1:29" ht="18.75" thickBot="1" x14ac:dyDescent="0.3">
      <c r="A9" s="3"/>
      <c r="B9" s="49" t="s">
        <v>14</v>
      </c>
      <c r="C9" s="34">
        <f>'VITAL (Ear.+Exp.) Dec-21'!B29</f>
        <v>186.56</v>
      </c>
      <c r="D9" s="35">
        <f>'VITAL (Ear.+Exp.) Dec-21'!B40</f>
        <v>288.49</v>
      </c>
      <c r="E9" s="51">
        <f>(D9-C9)/C9</f>
        <v>0.54636578044596917</v>
      </c>
      <c r="F9" s="37">
        <f>'VITAL (Ear.+Exp.) Dec-21'!C29</f>
        <v>11.63</v>
      </c>
      <c r="G9" s="37">
        <f>'VITAL (Ear.+Exp.) Dec-21'!D29</f>
        <v>26.21</v>
      </c>
      <c r="H9" s="37">
        <f>'VITAL (Ear.+Exp.) Dec-21'!E29</f>
        <v>7.16</v>
      </c>
      <c r="I9" s="50">
        <f>+H9-G9</f>
        <v>-19.05</v>
      </c>
      <c r="J9" s="725">
        <f>(H9-F9)/F9</f>
        <v>-0.38435081685296651</v>
      </c>
      <c r="K9" s="727">
        <f>H9/D9</f>
        <v>2.4818884536725708E-2</v>
      </c>
      <c r="L9" s="39"/>
      <c r="M9" s="39"/>
      <c r="N9" s="39"/>
      <c r="O9" s="39"/>
      <c r="P9" s="39"/>
      <c r="Q9" s="39"/>
      <c r="R9" s="53" t="s">
        <v>14</v>
      </c>
      <c r="S9" s="41">
        <f>'VITAL (Ear.+Exp.) Dec-21'!O13</f>
        <v>186.56</v>
      </c>
      <c r="T9" s="37">
        <f>'VITAL (Ear.+Exp.) Dec-21'!P24</f>
        <v>233.08</v>
      </c>
      <c r="U9" s="55">
        <f t="shared" si="0"/>
        <v>0.24935677530017158</v>
      </c>
      <c r="V9" s="43">
        <f>'VITAL (Ear.+Exp.) Dec-21'!P13</f>
        <v>11.63</v>
      </c>
      <c r="W9" s="43">
        <f>'VITAL (Ear.+Exp.) Dec-21'!Q13</f>
        <v>26.21</v>
      </c>
      <c r="X9" s="37">
        <f>'VITAL (Ear.+Exp.) Dec-21'!R13</f>
        <v>7.16</v>
      </c>
      <c r="Y9" s="443">
        <f t="shared" si="1"/>
        <v>-19.05</v>
      </c>
      <c r="Z9" s="56">
        <f t="shared" si="2"/>
        <v>-0.38435081685296651</v>
      </c>
      <c r="AA9" s="55">
        <f t="shared" si="3"/>
        <v>3.0719066414964819E-2</v>
      </c>
      <c r="AB9" s="6"/>
      <c r="AC9" s="46"/>
    </row>
    <row r="10" spans="1:29" ht="18.75" thickBot="1" x14ac:dyDescent="0.3">
      <c r="A10" s="3"/>
      <c r="B10" s="57" t="s">
        <v>15</v>
      </c>
      <c r="C10" s="58">
        <f>SUM(C6:C9)</f>
        <v>2828.35</v>
      </c>
      <c r="D10" s="58">
        <f>SUM(D6:D9)</f>
        <v>3832.5199999999995</v>
      </c>
      <c r="E10" s="60">
        <f>(D10-C10)/C10</f>
        <v>0.35503738929057566</v>
      </c>
      <c r="F10" s="58">
        <f>SUM(F6:F9)</f>
        <v>315.99</v>
      </c>
      <c r="G10" s="684">
        <f>SUM(G6:G9)</f>
        <v>361.17</v>
      </c>
      <c r="H10" s="786">
        <f>SUM(H6:H9)</f>
        <v>386.37000000000006</v>
      </c>
      <c r="I10" s="651">
        <f>+H10-G10</f>
        <v>25.200000000000045</v>
      </c>
      <c r="J10" s="737">
        <f>(H10-F10)/F10</f>
        <v>0.22272856735972674</v>
      </c>
      <c r="K10" s="726">
        <f>H10/D10</f>
        <v>0.10081356392138857</v>
      </c>
      <c r="L10" s="39"/>
      <c r="M10" s="39"/>
      <c r="N10" s="39"/>
      <c r="O10" s="39"/>
      <c r="P10" s="39"/>
      <c r="Q10" s="39"/>
      <c r="R10" s="62" t="s">
        <v>15</v>
      </c>
      <c r="S10" s="63">
        <f>SUM(S6:S9)</f>
        <v>9916.17</v>
      </c>
      <c r="T10" s="64">
        <f>SUM(T6:T9)</f>
        <v>15470.62</v>
      </c>
      <c r="U10" s="65">
        <f t="shared" si="0"/>
        <v>0.56014065914561784</v>
      </c>
      <c r="V10" s="445">
        <f>SUM(V6:V9)</f>
        <v>1023.56</v>
      </c>
      <c r="W10" s="603">
        <f>SUM(W6:W9)</f>
        <v>1335.47</v>
      </c>
      <c r="X10" s="782">
        <f>SUM(X6:X9)</f>
        <v>1279.48</v>
      </c>
      <c r="Y10" s="63">
        <f t="shared" si="1"/>
        <v>-55.990000000000009</v>
      </c>
      <c r="Z10" s="68">
        <f t="shared" si="2"/>
        <v>0.2500293094689125</v>
      </c>
      <c r="AA10" s="65">
        <f t="shared" si="3"/>
        <v>8.2703860608042856E-2</v>
      </c>
      <c r="AB10" s="6"/>
      <c r="AC10" s="46"/>
    </row>
    <row r="11" spans="1:29" ht="18" x14ac:dyDescent="0.25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39"/>
      <c r="M11" s="39"/>
      <c r="N11" s="39"/>
      <c r="O11" s="39"/>
      <c r="P11" s="39"/>
      <c r="Q11" s="39"/>
      <c r="R11" s="600" t="s">
        <v>16</v>
      </c>
      <c r="S11" s="70">
        <f>'VITAL (Ear.+Exp.) Dec-21'!O15</f>
        <v>3.3</v>
      </c>
      <c r="T11" s="37">
        <f>'VITAL (Ear.+Exp.) Dec-21'!P26</f>
        <v>7</v>
      </c>
      <c r="U11" s="71">
        <f t="shared" si="0"/>
        <v>1.1212121212121213</v>
      </c>
      <c r="V11" s="444">
        <f>'VITAL (Ear.+Exp.) Dec-21'!P15</f>
        <v>-13.69</v>
      </c>
      <c r="W11" s="37">
        <f>'VITAL (Ear.+Exp.) Dec-21'!Q15</f>
        <v>0</v>
      </c>
      <c r="X11" s="444">
        <f>'VITAL (Ear.+Exp.) Dec-21'!R15</f>
        <v>14.18</v>
      </c>
      <c r="Y11" s="73">
        <f t="shared" si="1"/>
        <v>14.18</v>
      </c>
      <c r="Z11" s="74">
        <f t="shared" si="2"/>
        <v>-2.0357925493060627</v>
      </c>
      <c r="AA11" s="75">
        <f t="shared" si="3"/>
        <v>2.0257142857142858</v>
      </c>
      <c r="AB11" s="76"/>
      <c r="AC11" s="46"/>
    </row>
    <row r="12" spans="1:29" ht="18.75" thickBot="1" x14ac:dyDescent="0.3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39"/>
      <c r="M12" s="39"/>
      <c r="N12" s="39"/>
      <c r="O12" s="39"/>
      <c r="P12" s="39"/>
      <c r="Q12" s="39"/>
      <c r="R12" s="601" t="s">
        <v>17</v>
      </c>
      <c r="S12" s="78">
        <f>S10+S11</f>
        <v>9919.4699999999993</v>
      </c>
      <c r="T12" s="78">
        <f>T10+T11</f>
        <v>15477.62</v>
      </c>
      <c r="U12" s="606">
        <f t="shared" si="0"/>
        <v>0.5603273158747395</v>
      </c>
      <c r="V12" s="66">
        <f>SUM(V10:V11)</f>
        <v>1009.8699999999999</v>
      </c>
      <c r="W12" s="681">
        <f>W10+W11</f>
        <v>1335.47</v>
      </c>
      <c r="X12" s="783">
        <f>X10+X11</f>
        <v>1293.6600000000001</v>
      </c>
      <c r="Y12" s="204">
        <f t="shared" si="1"/>
        <v>-41.809999999999945</v>
      </c>
      <c r="Z12" s="605">
        <f t="shared" si="2"/>
        <v>0.28101636844346323</v>
      </c>
      <c r="AA12" s="205">
        <f t="shared" si="3"/>
        <v>8.3582617999408179E-2</v>
      </c>
      <c r="AB12" s="76"/>
      <c r="AC12" s="46"/>
    </row>
    <row r="13" spans="1:29" ht="18.75" thickBot="1" x14ac:dyDescent="0.3">
      <c r="A13" s="3"/>
      <c r="B13" s="79" t="s">
        <v>2</v>
      </c>
      <c r="C13" s="80"/>
      <c r="D13" s="81"/>
      <c r="E13" s="81"/>
      <c r="F13" s="11" t="s">
        <v>18</v>
      </c>
      <c r="G13" s="81"/>
      <c r="H13" s="82"/>
      <c r="I13" s="11" t="s">
        <v>19</v>
      </c>
      <c r="J13" s="83"/>
      <c r="K13" s="84"/>
      <c r="L13" s="39"/>
      <c r="M13" s="39"/>
      <c r="N13" s="39"/>
      <c r="O13" s="39"/>
      <c r="P13" s="39"/>
      <c r="Q13" s="39"/>
      <c r="R13" s="62"/>
      <c r="S13" s="85" t="s">
        <v>18</v>
      </c>
      <c r="T13" s="86"/>
      <c r="U13" s="86"/>
      <c r="V13" s="87"/>
      <c r="W13" s="88"/>
      <c r="X13" s="88"/>
      <c r="Y13" s="89" t="s">
        <v>19</v>
      </c>
      <c r="Z13" s="90"/>
      <c r="AA13" s="91"/>
      <c r="AB13" s="92"/>
      <c r="AC13" s="46"/>
    </row>
    <row r="14" spans="1:29" ht="54" x14ac:dyDescent="0.25">
      <c r="A14" s="3"/>
      <c r="B14" s="93" t="s">
        <v>6</v>
      </c>
      <c r="C14" s="263" t="s">
        <v>422</v>
      </c>
      <c r="D14" s="264" t="s">
        <v>423</v>
      </c>
      <c r="E14" s="265" t="s">
        <v>424</v>
      </c>
      <c r="F14" s="94" t="s">
        <v>8</v>
      </c>
      <c r="G14" s="95" t="s">
        <v>9</v>
      </c>
      <c r="H14" s="96" t="s">
        <v>10</v>
      </c>
      <c r="I14" s="97" t="s">
        <v>382</v>
      </c>
      <c r="J14" s="98" t="s">
        <v>422</v>
      </c>
      <c r="K14" s="99" t="s">
        <v>424</v>
      </c>
      <c r="L14" s="39"/>
      <c r="M14" s="39"/>
      <c r="N14" s="39"/>
      <c r="O14" s="39"/>
      <c r="P14" s="39"/>
      <c r="Q14" s="39"/>
      <c r="R14" s="100"/>
      <c r="S14" s="273" t="str">
        <f>C14</f>
        <v>Actual upto Dec'20</v>
      </c>
      <c r="T14" s="264" t="str">
        <f>D14</f>
        <v>BP upto Dec'21</v>
      </c>
      <c r="U14" s="265" t="str">
        <f>E14</f>
        <v>Actual upto Dec'21</v>
      </c>
      <c r="V14" s="23" t="s">
        <v>8</v>
      </c>
      <c r="W14" s="30" t="s">
        <v>9</v>
      </c>
      <c r="X14" s="101" t="s">
        <v>10</v>
      </c>
      <c r="Y14" s="102" t="s">
        <v>385</v>
      </c>
      <c r="Z14" s="103" t="str">
        <f>F23</f>
        <v>Actual upto Dec'20</v>
      </c>
      <c r="AA14" s="104" t="str">
        <f>H23</f>
        <v>Actual upto Dec'21</v>
      </c>
      <c r="AB14" s="105"/>
      <c r="AC14" s="106"/>
    </row>
    <row r="15" spans="1:29" ht="18" x14ac:dyDescent="0.25">
      <c r="A15" s="3"/>
      <c r="B15" s="107" t="s">
        <v>11</v>
      </c>
      <c r="C15" s="37">
        <f>'VITAL (Ear.+Exp.) Dec-21'!C37</f>
        <v>428.77</v>
      </c>
      <c r="D15" s="175">
        <f>'VITAL (Ear.+Exp.) Dec-21'!D37</f>
        <v>1190.7</v>
      </c>
      <c r="E15" s="37">
        <f>'MOD-I (EARNING) Dec-21'!D14</f>
        <v>1290.99</v>
      </c>
      <c r="F15" s="41">
        <f>+E15-D15</f>
        <v>100.28999999999996</v>
      </c>
      <c r="G15" s="42">
        <f>(E15-C15)/C15</f>
        <v>2.0109149427431956</v>
      </c>
      <c r="H15" s="44">
        <f>E15/D6</f>
        <v>0.80867816739955645</v>
      </c>
      <c r="I15" s="108">
        <f>D6/365</f>
        <v>4.3737534246575347</v>
      </c>
      <c r="J15" s="109">
        <f>C15/275</f>
        <v>1.5591636363636363</v>
      </c>
      <c r="K15" s="110">
        <f>E15/275</f>
        <v>4.694509090909091</v>
      </c>
      <c r="L15" s="39"/>
      <c r="M15" s="39"/>
      <c r="N15" s="39"/>
      <c r="O15" s="39"/>
      <c r="P15" s="39"/>
      <c r="Q15" s="39"/>
      <c r="R15" s="111" t="s">
        <v>11</v>
      </c>
      <c r="S15" s="37">
        <f>'VITAL (Ear.+Exp.) Dec-21'!O21</f>
        <v>1111.73</v>
      </c>
      <c r="T15" s="37">
        <f>'VITAL (Ear.+Exp.) Dec-21'!Q21</f>
        <v>4157.62</v>
      </c>
      <c r="U15" s="43">
        <f>'MOD-I (EARNING) Dec-21'!T14</f>
        <v>2893.76</v>
      </c>
      <c r="V15" s="112">
        <f t="shared" ref="V15:V21" si="4">+U15-T15</f>
        <v>-1263.8599999999997</v>
      </c>
      <c r="W15" s="113">
        <f t="shared" ref="W15:W21" si="5">(U15-S15)/S15</f>
        <v>1.602934165669722</v>
      </c>
      <c r="X15" s="114">
        <f>U15/T6</f>
        <v>0.63127261938782853</v>
      </c>
      <c r="Y15" s="41">
        <f>T6/365</f>
        <v>12.558931506849316</v>
      </c>
      <c r="Z15" s="109">
        <f>S15/275</f>
        <v>4.0426545454545453</v>
      </c>
      <c r="AA15" s="109">
        <f>U15/275</f>
        <v>10.522763636363637</v>
      </c>
      <c r="AB15" s="116"/>
      <c r="AC15" s="106"/>
    </row>
    <row r="16" spans="1:29" ht="18" x14ac:dyDescent="0.25">
      <c r="A16" s="3"/>
      <c r="B16" s="107" t="s">
        <v>12</v>
      </c>
      <c r="C16" s="37">
        <f>'VITAL (Ear.+Exp.) Dec-21'!C38</f>
        <v>45.19</v>
      </c>
      <c r="D16" s="37">
        <f>'VITAL (Ear.+Exp.) Dec-21'!D38</f>
        <v>49.7</v>
      </c>
      <c r="E16" s="37">
        <f>'MOD-I (EARNING) Dec-21'!D15</f>
        <v>111.59</v>
      </c>
      <c r="F16" s="41">
        <f>+E16-D16</f>
        <v>61.89</v>
      </c>
      <c r="G16" s="42">
        <f>(E16-C16)/C16</f>
        <v>1.4693516264660325</v>
      </c>
      <c r="H16" s="44">
        <f>E16/D7</f>
        <v>1.3091271703425622</v>
      </c>
      <c r="I16" s="108">
        <f t="shared" ref="I16:I19" si="6">D7/365</f>
        <v>0.23353424657534244</v>
      </c>
      <c r="J16" s="109">
        <f t="shared" ref="J16:J19" si="7">C16/275</f>
        <v>0.16432727272727271</v>
      </c>
      <c r="K16" s="110">
        <f t="shared" ref="K16:K19" si="8">E16/275</f>
        <v>0.40578181818181819</v>
      </c>
      <c r="L16" s="6"/>
      <c r="M16" s="6"/>
      <c r="N16" s="6"/>
      <c r="O16" s="6"/>
      <c r="P16" s="6"/>
      <c r="Q16" s="6"/>
      <c r="R16" s="111" t="s">
        <v>12</v>
      </c>
      <c r="S16" s="37">
        <f>'VITAL (Ear.+Exp.) Dec-21'!O22</f>
        <v>52.31</v>
      </c>
      <c r="T16" s="37">
        <f>'VITAL (Ear.+Exp.) Dec-21'!Q22</f>
        <v>166.86</v>
      </c>
      <c r="U16" s="43">
        <f>'MOD-I (EARNING) Dec-21'!T15</f>
        <v>124.18</v>
      </c>
      <c r="V16" s="112">
        <f t="shared" si="4"/>
        <v>-42.680000000000007</v>
      </c>
      <c r="W16" s="113">
        <f t="shared" si="5"/>
        <v>1.3739246797935385</v>
      </c>
      <c r="X16" s="114">
        <f t="shared" ref="X16:X21" si="9">U16/T7</f>
        <v>0.73284154617881392</v>
      </c>
      <c r="Y16" s="41">
        <f t="shared" ref="Y16:Y19" si="10">T7/365</f>
        <v>0.46424657534246572</v>
      </c>
      <c r="Z16" s="109">
        <f t="shared" ref="Z16:Z19" si="11">S16/275</f>
        <v>0.19021818181818181</v>
      </c>
      <c r="AA16" s="109">
        <f t="shared" ref="AA16:AA19" si="12">U16/275</f>
        <v>0.45156363636363639</v>
      </c>
      <c r="AB16" s="116"/>
      <c r="AC16" s="106"/>
    </row>
    <row r="17" spans="1:29" ht="18" x14ac:dyDescent="0.25">
      <c r="A17" s="3"/>
      <c r="B17" s="107" t="s">
        <v>13</v>
      </c>
      <c r="C17" s="37">
        <f>'VITAL (Ear.+Exp.) Dec-21'!C39</f>
        <v>1280.27</v>
      </c>
      <c r="D17" s="37">
        <f>'VITAL (Ear.+Exp.) Dec-21'!D39</f>
        <v>1348.9</v>
      </c>
      <c r="E17" s="37">
        <f>'MOD-I (EARNING) Dec-21'!D16</f>
        <v>1455.79</v>
      </c>
      <c r="F17" s="41">
        <f>+E17-D17</f>
        <v>106.88999999999987</v>
      </c>
      <c r="G17" s="42">
        <f>(E17-C17)/C17</f>
        <v>0.13709608129535175</v>
      </c>
      <c r="H17" s="44">
        <f>E17/D8</f>
        <v>0.78168677545278331</v>
      </c>
      <c r="I17" s="108">
        <f t="shared" si="6"/>
        <v>5.1023835616438351</v>
      </c>
      <c r="J17" s="109">
        <f t="shared" si="7"/>
        <v>4.655527272727273</v>
      </c>
      <c r="K17" s="110">
        <f t="shared" si="8"/>
        <v>5.2937818181818184</v>
      </c>
      <c r="L17" s="6"/>
      <c r="M17" s="6"/>
      <c r="N17" s="6"/>
      <c r="O17" s="6"/>
      <c r="P17" s="6"/>
      <c r="Q17" s="6"/>
      <c r="R17" s="111" t="s">
        <v>13</v>
      </c>
      <c r="S17" s="37">
        <f>'VITAL (Ear.+Exp.) Dec-21'!O23</f>
        <v>5168.32</v>
      </c>
      <c r="T17" s="37">
        <f>'VITAL (Ear.+Exp.) Dec-21'!Q23</f>
        <v>5968.58</v>
      </c>
      <c r="U17" s="43">
        <f>'MOD-I (EARNING) Dec-21'!T16</f>
        <v>7454.69</v>
      </c>
      <c r="V17" s="112">
        <f t="shared" si="4"/>
        <v>1486.1099999999997</v>
      </c>
      <c r="W17" s="113">
        <f t="shared" si="5"/>
        <v>0.44238166367407589</v>
      </c>
      <c r="X17" s="114">
        <f t="shared" si="9"/>
        <v>0.71104856124714799</v>
      </c>
      <c r="Y17" s="41">
        <f t="shared" si="10"/>
        <v>28.723506849315068</v>
      </c>
      <c r="Z17" s="109">
        <f t="shared" si="11"/>
        <v>18.793890909090909</v>
      </c>
      <c r="AA17" s="109">
        <f t="shared" si="12"/>
        <v>27.107963636363635</v>
      </c>
      <c r="AB17" s="116"/>
      <c r="AC17" s="106"/>
    </row>
    <row r="18" spans="1:29" ht="18.75" thickBot="1" x14ac:dyDescent="0.3">
      <c r="A18" s="3"/>
      <c r="B18" s="117" t="s">
        <v>14</v>
      </c>
      <c r="C18" s="37">
        <f>'VITAL (Ear.+Exp.) Dec-21'!C40</f>
        <v>111.79</v>
      </c>
      <c r="D18" s="37">
        <f>'VITAL (Ear.+Exp.) Dec-21'!D40</f>
        <v>181.94</v>
      </c>
      <c r="E18" s="37">
        <f>'MOD-I (EARNING) Dec-21'!D17</f>
        <v>118.11</v>
      </c>
      <c r="F18" s="54">
        <f>+E18-D18</f>
        <v>-63.83</v>
      </c>
      <c r="G18" s="55">
        <f>(E18-C18)/C18</f>
        <v>5.6534573754360794E-2</v>
      </c>
      <c r="H18" s="56">
        <f>E18/D9</f>
        <v>0.4094076051162952</v>
      </c>
      <c r="I18" s="108">
        <f t="shared" si="6"/>
        <v>0.79038356164383561</v>
      </c>
      <c r="J18" s="109">
        <f t="shared" si="7"/>
        <v>0.40650909090909093</v>
      </c>
      <c r="K18" s="110">
        <f t="shared" si="8"/>
        <v>0.42949090909090909</v>
      </c>
      <c r="L18" s="39"/>
      <c r="M18" s="39"/>
      <c r="N18" s="39"/>
      <c r="O18" s="39"/>
      <c r="P18" s="39"/>
      <c r="Q18" s="39"/>
      <c r="R18" s="119" t="s">
        <v>14</v>
      </c>
      <c r="S18" s="37">
        <f>'VITAL (Ear.+Exp.) Dec-21'!O24</f>
        <v>111.79</v>
      </c>
      <c r="T18" s="37">
        <f>'VITAL (Ear.+Exp.) Dec-21'!Q24</f>
        <v>181.94</v>
      </c>
      <c r="U18" s="43">
        <f>'MOD-I (EARNING) Dec-21'!T17</f>
        <v>118.11</v>
      </c>
      <c r="V18" s="120">
        <f t="shared" si="4"/>
        <v>-63.83</v>
      </c>
      <c r="W18" s="121">
        <f t="shared" si="5"/>
        <v>5.6534573754360794E-2</v>
      </c>
      <c r="X18" s="122">
        <f t="shared" si="9"/>
        <v>0.50673588467478969</v>
      </c>
      <c r="Y18" s="41">
        <f t="shared" si="10"/>
        <v>0.63857534246575343</v>
      </c>
      <c r="Z18" s="109">
        <f t="shared" si="11"/>
        <v>0.40650909090909093</v>
      </c>
      <c r="AA18" s="109">
        <f t="shared" si="12"/>
        <v>0.42949090909090909</v>
      </c>
      <c r="AB18" s="116"/>
      <c r="AC18" s="123"/>
    </row>
    <row r="19" spans="1:29" ht="18.75" thickBot="1" x14ac:dyDescent="0.3">
      <c r="A19" s="3"/>
      <c r="B19" s="124" t="s">
        <v>15</v>
      </c>
      <c r="C19" s="63">
        <f>SUM(C15:C18)</f>
        <v>1866.02</v>
      </c>
      <c r="D19" s="733">
        <f>SUM(D15:D18)</f>
        <v>2771.2400000000002</v>
      </c>
      <c r="E19" s="67">
        <f>'MOD-I (EARNING) Dec-21'!D18</f>
        <v>2976.48</v>
      </c>
      <c r="F19" s="575">
        <f>SUM(F15:F18)</f>
        <v>205.23999999999984</v>
      </c>
      <c r="G19" s="68">
        <f>(E19-C19)/C19</f>
        <v>0.59509544377873769</v>
      </c>
      <c r="H19" s="296">
        <f>E19/D10</f>
        <v>0.77663782576477103</v>
      </c>
      <c r="I19" s="723">
        <f t="shared" si="6"/>
        <v>10.500054794520546</v>
      </c>
      <c r="J19" s="160">
        <f t="shared" si="7"/>
        <v>6.7855272727272729</v>
      </c>
      <c r="K19" s="706">
        <f t="shared" si="8"/>
        <v>10.823563636363636</v>
      </c>
      <c r="L19" s="126"/>
      <c r="M19" s="39"/>
      <c r="N19" s="39"/>
      <c r="O19" s="39"/>
      <c r="P19" s="39"/>
      <c r="Q19" s="39"/>
      <c r="R19" s="127" t="s">
        <v>15</v>
      </c>
      <c r="S19" s="67">
        <f>SUM(S15:S18)</f>
        <v>6444.15</v>
      </c>
      <c r="T19" s="270">
        <f>SUM(T15:T18)</f>
        <v>10475</v>
      </c>
      <c r="U19" s="784">
        <f>'MOD-I (EARNING) Dec-21'!T18</f>
        <v>10590.74</v>
      </c>
      <c r="V19" s="128">
        <f t="shared" si="4"/>
        <v>115.73999999999978</v>
      </c>
      <c r="W19" s="129">
        <f t="shared" si="5"/>
        <v>0.64346577903990443</v>
      </c>
      <c r="X19" s="130">
        <f t="shared" si="9"/>
        <v>0.68457114194518376</v>
      </c>
      <c r="Y19" s="551">
        <f t="shared" si="10"/>
        <v>42.385260273972605</v>
      </c>
      <c r="Z19" s="160">
        <f t="shared" si="11"/>
        <v>23.433272727272726</v>
      </c>
      <c r="AA19" s="160">
        <f t="shared" si="12"/>
        <v>38.511781818181817</v>
      </c>
      <c r="AB19" s="131"/>
      <c r="AC19" s="106"/>
    </row>
    <row r="20" spans="1:29" ht="18" x14ac:dyDescent="0.25">
      <c r="A20" s="3"/>
      <c r="B20" s="132"/>
      <c r="C20" s="133"/>
      <c r="D20" s="133"/>
      <c r="E20" s="583"/>
      <c r="F20" s="133"/>
      <c r="G20" s="133"/>
      <c r="H20" s="133"/>
      <c r="I20" s="133"/>
      <c r="J20" s="134"/>
      <c r="K20" s="134"/>
      <c r="L20" s="39"/>
      <c r="M20" s="39"/>
      <c r="N20" s="39"/>
      <c r="O20" s="39"/>
      <c r="P20" s="39"/>
      <c r="Q20" s="39"/>
      <c r="R20" s="602" t="s">
        <v>16</v>
      </c>
      <c r="S20" s="37">
        <f>'VITAL (Ear.+Exp.) Dec-21'!O26</f>
        <v>-47.49</v>
      </c>
      <c r="T20" s="229">
        <f>'VITAL (Ear.+Exp.) Dec-21'!Q26</f>
        <v>7</v>
      </c>
      <c r="U20" s="37">
        <f>'VITAL (Ear.+Exp.) Dec-21'!R26</f>
        <v>-64.599999999999994</v>
      </c>
      <c r="V20" s="135">
        <f t="shared" si="4"/>
        <v>-71.599999999999994</v>
      </c>
      <c r="W20" s="136">
        <f t="shared" si="5"/>
        <v>0.36028637607917441</v>
      </c>
      <c r="X20" s="137">
        <f t="shared" si="9"/>
        <v>-9.2285714285714278</v>
      </c>
      <c r="Y20" s="138"/>
      <c r="Z20" s="139"/>
      <c r="AA20" s="140"/>
      <c r="AB20" s="141"/>
      <c r="AC20" s="142"/>
    </row>
    <row r="21" spans="1:29" ht="18.75" thickBot="1" x14ac:dyDescent="0.3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39"/>
      <c r="M21" s="39"/>
      <c r="N21" s="39"/>
      <c r="O21" s="39"/>
      <c r="P21" s="39"/>
      <c r="Q21" s="39"/>
      <c r="R21" s="173" t="s">
        <v>17</v>
      </c>
      <c r="S21" s="66">
        <f>SUM(S19:S20)</f>
        <v>6396.66</v>
      </c>
      <c r="T21" s="229">
        <f>SUM(T19:T20)</f>
        <v>10482</v>
      </c>
      <c r="U21" s="270">
        <f>SUM(U19:U20)</f>
        <v>10526.14</v>
      </c>
      <c r="V21" s="578">
        <f t="shared" si="4"/>
        <v>44.139999999999418</v>
      </c>
      <c r="W21" s="579">
        <f t="shared" si="5"/>
        <v>0.64556815588135052</v>
      </c>
      <c r="X21" s="580">
        <f t="shared" si="9"/>
        <v>0.68008776543163607</v>
      </c>
      <c r="Y21" s="144"/>
      <c r="Z21" s="145"/>
      <c r="AA21" s="146"/>
      <c r="AB21" s="6"/>
      <c r="AC21" s="142"/>
    </row>
    <row r="22" spans="1:29" ht="18.75" thickBot="1" x14ac:dyDescent="0.3">
      <c r="A22" s="3"/>
      <c r="B22" s="147" t="s">
        <v>21</v>
      </c>
      <c r="C22" s="2"/>
      <c r="D22" s="2"/>
      <c r="E22" s="2"/>
      <c r="F22" s="2"/>
      <c r="G22" s="2"/>
      <c r="H22" s="2"/>
      <c r="I22" s="2"/>
      <c r="J22" s="2"/>
      <c r="K22" s="2"/>
      <c r="L22" s="4"/>
      <c r="M22" s="4"/>
      <c r="N22" s="4"/>
      <c r="O22" s="4"/>
      <c r="P22" s="4"/>
      <c r="Q22" s="4"/>
      <c r="R22" s="592" t="s">
        <v>22</v>
      </c>
      <c r="S22" s="593"/>
      <c r="T22" s="148"/>
      <c r="U22" s="148"/>
      <c r="V22" s="148"/>
      <c r="W22" s="39"/>
      <c r="X22" s="149" t="s">
        <v>23</v>
      </c>
      <c r="Y22" s="39"/>
      <c r="Z22" s="39"/>
      <c r="AA22" s="39"/>
      <c r="AB22" s="2"/>
      <c r="AC22" s="150"/>
    </row>
    <row r="23" spans="1:29" ht="48" thickBot="1" x14ac:dyDescent="0.3">
      <c r="A23" s="3"/>
      <c r="B23" s="25"/>
      <c r="C23" s="20" t="s">
        <v>379</v>
      </c>
      <c r="D23" s="151" t="s">
        <v>380</v>
      </c>
      <c r="E23" s="152" t="s">
        <v>7</v>
      </c>
      <c r="F23" s="153" t="str">
        <f>C14</f>
        <v>Actual upto Dec'20</v>
      </c>
      <c r="G23" s="151" t="str">
        <f>D14</f>
        <v>BP upto Dec'21</v>
      </c>
      <c r="H23" s="152" t="str">
        <f>E14</f>
        <v>Actual upto Dec'21</v>
      </c>
      <c r="I23" s="153" t="s">
        <v>8</v>
      </c>
      <c r="J23" s="152" t="s">
        <v>9</v>
      </c>
      <c r="K23" s="2"/>
      <c r="L23" s="154"/>
      <c r="M23" s="154"/>
      <c r="N23" s="154"/>
      <c r="O23" s="154"/>
      <c r="P23" s="154"/>
      <c r="Q23" s="154"/>
      <c r="R23" s="155" t="s">
        <v>24</v>
      </c>
      <c r="S23" s="279" t="s">
        <v>386</v>
      </c>
      <c r="T23" s="153" t="str">
        <f>F23</f>
        <v>Actual upto Dec'20</v>
      </c>
      <c r="U23" s="152" t="str">
        <f>H23</f>
        <v>Actual upto Dec'21</v>
      </c>
      <c r="V23" s="279" t="s">
        <v>9</v>
      </c>
      <c r="W23" s="105"/>
      <c r="X23" s="2"/>
      <c r="Y23" s="153" t="str">
        <f>F23</f>
        <v>Actual upto Dec'20</v>
      </c>
      <c r="Z23" s="152" t="str">
        <f>H23</f>
        <v>Actual upto Dec'21</v>
      </c>
      <c r="AA23" s="156" t="s">
        <v>9</v>
      </c>
      <c r="AB23" s="2"/>
      <c r="AC23" s="157"/>
    </row>
    <row r="24" spans="1:29" ht="31.5" x14ac:dyDescent="0.25">
      <c r="A24" s="3"/>
      <c r="B24" s="158" t="s">
        <v>25</v>
      </c>
      <c r="C24" s="159">
        <f>'MOD-I (EARNING) Dec-21'!B23</f>
        <v>16.88</v>
      </c>
      <c r="D24" s="159">
        <f>'MOD-I (EARNING) Dec-21'!C23</f>
        <v>0</v>
      </c>
      <c r="E24" s="42">
        <f>(D24-C24)/C24</f>
        <v>-1</v>
      </c>
      <c r="F24" s="571">
        <f>'MOD-I (EARNING) Dec-21'!E23</f>
        <v>8.31</v>
      </c>
      <c r="G24" s="571">
        <f>'MOD-I (EARNING) Dec-21'!F23</f>
        <v>0</v>
      </c>
      <c r="H24" s="571">
        <f>'MOD-I (EARNING) Dec-21'!G23</f>
        <v>40.450000000000003</v>
      </c>
      <c r="I24" s="41">
        <f>+H24-G24</f>
        <v>40.450000000000003</v>
      </c>
      <c r="J24" s="730">
        <f>(H24-F24)/F24</f>
        <v>3.8676293622141995</v>
      </c>
      <c r="K24" s="2"/>
      <c r="L24" s="154"/>
      <c r="M24" s="154"/>
      <c r="N24" s="154"/>
      <c r="O24" s="154"/>
      <c r="P24" s="154"/>
      <c r="Q24" s="154"/>
      <c r="R24" s="161" t="s">
        <v>26</v>
      </c>
      <c r="S24" s="629">
        <v>81.96</v>
      </c>
      <c r="T24" s="774">
        <v>42.48</v>
      </c>
      <c r="U24" s="775">
        <v>131.25</v>
      </c>
      <c r="V24" s="729">
        <f t="shared" ref="V24:V35" si="13">(U24-T24)/T24</f>
        <v>2.0896892655367236</v>
      </c>
      <c r="W24" s="162"/>
      <c r="X24" s="163" t="s">
        <v>27</v>
      </c>
      <c r="Y24" s="753"/>
      <c r="Z24" s="753"/>
      <c r="AA24" s="754"/>
      <c r="AB24" s="2"/>
      <c r="AC24" s="7"/>
    </row>
    <row r="25" spans="1:29" ht="18" x14ac:dyDescent="0.25">
      <c r="A25" s="3"/>
      <c r="B25" s="111" t="s">
        <v>28</v>
      </c>
      <c r="C25" s="159">
        <f>'MOD-I (EARNING) Dec-21'!B24</f>
        <v>16.260000000000002</v>
      </c>
      <c r="D25" s="159">
        <f>'MOD-I (EARNING) Dec-21'!C24</f>
        <v>0</v>
      </c>
      <c r="E25" s="164" t="s">
        <v>29</v>
      </c>
      <c r="F25" s="571">
        <f>'MOD-I (EARNING) Dec-21'!E24</f>
        <v>8.0299999999999994</v>
      </c>
      <c r="G25" s="571" t="str">
        <f>'MOD-I (EARNING) Dec-21'!F24</f>
        <v>NA</v>
      </c>
      <c r="H25" s="571">
        <f>'MOD-I (EARNING) Dec-21'!G24</f>
        <v>27.47</v>
      </c>
      <c r="I25" s="165"/>
      <c r="J25" s="730">
        <f t="shared" ref="J25:J30" si="14">(H25-F25)/F25</f>
        <v>2.4209215442092153</v>
      </c>
      <c r="K25" s="2"/>
      <c r="L25" s="154"/>
      <c r="M25" s="154"/>
      <c r="N25" s="154"/>
      <c r="O25" s="154"/>
      <c r="P25" s="154"/>
      <c r="Q25" s="154"/>
      <c r="R25" s="166" t="s">
        <v>31</v>
      </c>
      <c r="S25" s="424">
        <v>28460.6</v>
      </c>
      <c r="T25" s="167">
        <v>15134.31</v>
      </c>
      <c r="U25" s="776">
        <v>40569.879999999997</v>
      </c>
      <c r="V25" s="729">
        <f t="shared" si="13"/>
        <v>1.6806560721962218</v>
      </c>
      <c r="W25" s="39"/>
      <c r="X25" s="168" t="s">
        <v>32</v>
      </c>
      <c r="Y25" s="572">
        <f>'MOD-I (EARNING) Dec-21'!X24</f>
        <v>4739.76</v>
      </c>
      <c r="Z25" s="572">
        <f>'MOD-I (EARNING) Dec-21'!Y24</f>
        <v>6943.01</v>
      </c>
      <c r="AA25" s="418">
        <f>(Z25-Y25)/Y25</f>
        <v>0.46484421152125843</v>
      </c>
      <c r="AB25" s="2"/>
      <c r="AC25" s="32"/>
    </row>
    <row r="26" spans="1:29" ht="18" x14ac:dyDescent="0.25">
      <c r="A26" s="3"/>
      <c r="B26" s="111" t="s">
        <v>33</v>
      </c>
      <c r="C26" s="159">
        <v>133.80000000000001</v>
      </c>
      <c r="D26" s="159">
        <f>'MOD-I (EARNING) Dec-21'!C25</f>
        <v>0</v>
      </c>
      <c r="E26" s="164"/>
      <c r="F26" s="571">
        <f>'MOD-I (EARNING) Dec-21'!E25</f>
        <v>0.28000000000000003</v>
      </c>
      <c r="G26" s="571" t="s">
        <v>30</v>
      </c>
      <c r="H26" s="571">
        <f>'MOD-I (EARNING) Dec-21'!G25</f>
        <v>12.98</v>
      </c>
      <c r="I26" s="165"/>
      <c r="J26" s="730">
        <f t="shared" si="14"/>
        <v>45.357142857142854</v>
      </c>
      <c r="K26" s="2"/>
      <c r="L26" s="154"/>
      <c r="M26" s="154"/>
      <c r="N26" s="154"/>
      <c r="O26" s="154"/>
      <c r="P26" s="154"/>
      <c r="Q26" s="154"/>
      <c r="R26" s="166" t="s">
        <v>34</v>
      </c>
      <c r="S26" s="631">
        <v>51110</v>
      </c>
      <c r="T26" s="777">
        <v>275</v>
      </c>
      <c r="U26" s="777" t="s">
        <v>30</v>
      </c>
      <c r="V26" s="630" t="e">
        <f t="shared" si="13"/>
        <v>#VALUE!</v>
      </c>
      <c r="W26" s="39"/>
      <c r="X26" s="168" t="s">
        <v>35</v>
      </c>
      <c r="Y26" s="572">
        <f>'MOD-I (EARNING) Dec-21'!X25</f>
        <v>815.84</v>
      </c>
      <c r="Z26" s="572">
        <f>'MOD-I (EARNING) Dec-21'!Y25</f>
        <v>916.28</v>
      </c>
      <c r="AA26" s="418">
        <f>(Z26-Y26)/Y26</f>
        <v>0.12311237497548531</v>
      </c>
      <c r="AB26" s="2"/>
      <c r="AC26" s="32"/>
    </row>
    <row r="27" spans="1:29" ht="18.75" thickBot="1" x14ac:dyDescent="0.3">
      <c r="A27" s="3"/>
      <c r="B27" s="158" t="s">
        <v>36</v>
      </c>
      <c r="C27" s="159">
        <f>'MOD-I (EARNING) Dec-21'!B26</f>
        <v>16.61</v>
      </c>
      <c r="D27" s="159">
        <f>'MOD-I (EARNING) Dec-21'!C26</f>
        <v>0</v>
      </c>
      <c r="E27" s="42">
        <f>+(D27-C27)/C27</f>
        <v>-1</v>
      </c>
      <c r="F27" s="571">
        <f>'MOD-I (EARNING) Dec-21'!E26</f>
        <v>11.82</v>
      </c>
      <c r="G27" s="571">
        <v>16.940000000000001</v>
      </c>
      <c r="H27" s="571">
        <f>'MOD-I (EARNING) Dec-21'!G26</f>
        <v>13.76</v>
      </c>
      <c r="I27" s="169">
        <f>H27-G27</f>
        <v>-3.1800000000000015</v>
      </c>
      <c r="J27" s="730">
        <f t="shared" si="14"/>
        <v>0.16412859560067677</v>
      </c>
      <c r="K27" s="2"/>
      <c r="L27" s="170"/>
      <c r="M27" s="154"/>
      <c r="N27" s="154"/>
      <c r="O27" s="154"/>
      <c r="P27" s="154"/>
      <c r="Q27" s="154"/>
      <c r="R27" s="166" t="s">
        <v>37</v>
      </c>
      <c r="S27" s="631">
        <v>7196</v>
      </c>
      <c r="T27" s="777" t="s">
        <v>30</v>
      </c>
      <c r="U27" s="777" t="s">
        <v>30</v>
      </c>
      <c r="V27" s="630" t="e">
        <f t="shared" si="13"/>
        <v>#VALUE!</v>
      </c>
      <c r="W27" s="162"/>
      <c r="X27" s="607" t="s">
        <v>38</v>
      </c>
      <c r="Y27" s="426">
        <f>'MOD-I (EARNING) Dec-21'!X26</f>
        <v>3923.92</v>
      </c>
      <c r="Z27" s="426">
        <f>'MOD-I (EARNING) Dec-21'!Y26</f>
        <v>6026.7300000000005</v>
      </c>
      <c r="AA27" s="420">
        <f>(Z27-Y27)/Y27</f>
        <v>0.53589522722175797</v>
      </c>
      <c r="AB27" s="2"/>
      <c r="AC27" s="32"/>
    </row>
    <row r="28" spans="1:29" ht="31.5" x14ac:dyDescent="0.25">
      <c r="A28" s="3"/>
      <c r="B28" s="158" t="s">
        <v>39</v>
      </c>
      <c r="C28" s="623">
        <f>'MOD-I (EARNING) Dec-21'!B27</f>
        <v>2.15</v>
      </c>
      <c r="D28" s="623">
        <f>'MOD-I (EARNING) Dec-21'!C27</f>
        <v>2.4</v>
      </c>
      <c r="E28" s="418">
        <f>+(D28-C28)/C28</f>
        <v>0.11627906976744186</v>
      </c>
      <c r="F28" s="571">
        <f>'MOD-I (EARNING) Dec-21'!E27</f>
        <v>1.72</v>
      </c>
      <c r="G28" s="571" t="str">
        <f>'MOD-I (EARNING) Dec-21'!F27</f>
        <v>NA</v>
      </c>
      <c r="H28" s="571">
        <f>'MOD-I (EARNING) Dec-21'!G27</f>
        <v>1.56</v>
      </c>
      <c r="I28" s="604" t="e">
        <f>H28-G28</f>
        <v>#VALUE!</v>
      </c>
      <c r="J28" s="730">
        <f t="shared" si="14"/>
        <v>-9.3023255813953445E-2</v>
      </c>
      <c r="K28" s="2"/>
      <c r="L28" s="154"/>
      <c r="M28" s="154"/>
      <c r="N28" s="154"/>
      <c r="O28" s="154"/>
      <c r="P28" s="154"/>
      <c r="Q28" s="154"/>
      <c r="R28" s="171" t="s">
        <v>40</v>
      </c>
      <c r="S28" s="632">
        <f>1457+112</f>
        <v>1569</v>
      </c>
      <c r="T28" s="777" t="s">
        <v>30</v>
      </c>
      <c r="U28" s="777" t="s">
        <v>30</v>
      </c>
      <c r="V28" s="630" t="e">
        <f t="shared" si="13"/>
        <v>#VALUE!</v>
      </c>
      <c r="W28" s="162"/>
      <c r="X28" s="163" t="s">
        <v>11</v>
      </c>
      <c r="Y28" s="608"/>
      <c r="Z28" s="608"/>
      <c r="AA28" s="609"/>
      <c r="AB28" s="2" t="s">
        <v>24</v>
      </c>
      <c r="AC28" s="32"/>
    </row>
    <row r="29" spans="1:29" ht="18" x14ac:dyDescent="0.25">
      <c r="A29" s="3"/>
      <c r="B29" s="111" t="s">
        <v>41</v>
      </c>
      <c r="C29" s="623">
        <f>'MOD-I (EARNING) Dec-21'!B28</f>
        <v>241</v>
      </c>
      <c r="D29" s="623">
        <f>'MOD-I (EARNING) Dec-21'!C28</f>
        <v>247.5</v>
      </c>
      <c r="E29" s="418">
        <f>+(D29-C29)/C29</f>
        <v>2.6970954356846474E-2</v>
      </c>
      <c r="F29" s="571">
        <f>'MOD-I (EARNING) Dec-21'!E28</f>
        <v>290</v>
      </c>
      <c r="G29" s="571" t="str">
        <f>'MOD-I (EARNING) Dec-21'!F28</f>
        <v>NA</v>
      </c>
      <c r="H29" s="571">
        <f>'MOD-I (EARNING) Dec-21'!G28</f>
        <v>275</v>
      </c>
      <c r="I29" s="604"/>
      <c r="J29" s="730">
        <f t="shared" si="14"/>
        <v>-5.1724137931034482E-2</v>
      </c>
      <c r="K29" s="172"/>
      <c r="L29" s="154"/>
      <c r="M29" s="154"/>
      <c r="N29" s="154"/>
      <c r="O29" s="154"/>
      <c r="P29" s="154"/>
      <c r="Q29" s="154"/>
      <c r="R29" s="171" t="s">
        <v>42</v>
      </c>
      <c r="S29" s="632">
        <v>136.25</v>
      </c>
      <c r="T29" s="778">
        <v>94.97</v>
      </c>
      <c r="U29" s="775">
        <v>126.87</v>
      </c>
      <c r="V29" s="729">
        <f t="shared" si="13"/>
        <v>0.33589554596188276</v>
      </c>
      <c r="W29" s="39"/>
      <c r="X29" s="168" t="s">
        <v>43</v>
      </c>
      <c r="Y29" s="572">
        <f>'MOD-I (EARNING) Dec-21'!X28</f>
        <v>855.98</v>
      </c>
      <c r="Z29" s="572">
        <f>'MOD-I (EARNING) Dec-21'!Y28</f>
        <v>2117.86</v>
      </c>
      <c r="AA29" s="418">
        <f>(Z29-Y29)/Y29</f>
        <v>1.474193322273885</v>
      </c>
      <c r="AB29" s="2"/>
      <c r="AC29" s="32"/>
    </row>
    <row r="30" spans="1:29" ht="18.75" thickBot="1" x14ac:dyDescent="0.3">
      <c r="A30" s="3"/>
      <c r="B30" s="173" t="s">
        <v>44</v>
      </c>
      <c r="C30" s="716">
        <f>'MOD-I (EARNING) Dec-21'!B29</f>
        <v>9003</v>
      </c>
      <c r="D30" s="623">
        <f>'MOD-I (EARNING) Dec-21'!C29</f>
        <v>8422</v>
      </c>
      <c r="E30" s="705">
        <f>+(D30-C30)/C30</f>
        <v>-6.4534044207486388E-2</v>
      </c>
      <c r="F30" s="571">
        <f>'MOD-I (EARNING) Dec-21'!E29</f>
        <v>5102</v>
      </c>
      <c r="G30" s="785" t="str">
        <f>'MOD-I (EARNING) Dec-21'!F29</f>
        <v>NA</v>
      </c>
      <c r="H30" s="571">
        <f>'MOD-I (EARNING) Dec-21'!G29</f>
        <v>5808</v>
      </c>
      <c r="I30" s="604" t="e">
        <f>H30-G30</f>
        <v>#VALUE!</v>
      </c>
      <c r="J30" s="730">
        <f t="shared" si="14"/>
        <v>0.13837710701685613</v>
      </c>
      <c r="K30" s="2"/>
      <c r="L30" s="154"/>
      <c r="M30" s="154"/>
      <c r="N30" s="154"/>
      <c r="O30" s="154"/>
      <c r="P30" s="154"/>
      <c r="Q30" s="154"/>
      <c r="R30" s="171" t="s">
        <v>45</v>
      </c>
      <c r="S30" s="632">
        <v>77.78</v>
      </c>
      <c r="T30" s="778">
        <v>52.82</v>
      </c>
      <c r="U30" s="775">
        <v>75.11</v>
      </c>
      <c r="V30" s="729">
        <f t="shared" si="13"/>
        <v>0.42199924271109429</v>
      </c>
      <c r="W30" s="39"/>
      <c r="X30" s="168" t="s">
        <v>46</v>
      </c>
      <c r="Y30" s="572">
        <f>'MOD-I (EARNING) Dec-21'!X29</f>
        <v>177.95</v>
      </c>
      <c r="Z30" s="572">
        <f>'MOD-I (EARNING) Dec-21'!Y29</f>
        <v>504.58</v>
      </c>
      <c r="AA30" s="418">
        <f>(Z30-Y30)/Y30</f>
        <v>1.835515594268053</v>
      </c>
      <c r="AB30" s="48"/>
      <c r="AC30" s="32"/>
    </row>
    <row r="31" spans="1:29" ht="32.25" thickBot="1" x14ac:dyDescent="0.3">
      <c r="A31" s="3"/>
      <c r="B31" s="712"/>
      <c r="C31" s="103" t="s">
        <v>381</v>
      </c>
      <c r="D31" s="714"/>
      <c r="E31" s="152"/>
      <c r="F31" s="153" t="s">
        <v>403</v>
      </c>
      <c r="G31" s="613" t="s">
        <v>404</v>
      </c>
      <c r="H31" s="152" t="s">
        <v>405</v>
      </c>
      <c r="I31" s="153" t="s">
        <v>8</v>
      </c>
      <c r="J31" s="174" t="s">
        <v>9</v>
      </c>
      <c r="K31" s="2"/>
      <c r="L31" s="4"/>
      <c r="M31" s="4"/>
      <c r="N31" s="4"/>
      <c r="O31" s="4"/>
      <c r="P31" s="4"/>
      <c r="Q31" s="4"/>
      <c r="R31" s="171" t="s">
        <v>47</v>
      </c>
      <c r="S31" s="632">
        <v>5703</v>
      </c>
      <c r="T31" s="778">
        <v>5227</v>
      </c>
      <c r="U31" s="775">
        <v>7780</v>
      </c>
      <c r="V31" s="729">
        <f t="shared" si="13"/>
        <v>0.48842548306868183</v>
      </c>
      <c r="W31" s="39"/>
      <c r="X31" s="607" t="s">
        <v>38</v>
      </c>
      <c r="Y31" s="426">
        <f>'MOD-I (EARNING) Dec-21'!X30</f>
        <v>678.03</v>
      </c>
      <c r="Z31" s="426">
        <f t="shared" ref="Z31" si="15">Z29-Z30</f>
        <v>1613.2800000000002</v>
      </c>
      <c r="AA31" s="705">
        <f>(Z31-Y31)/Y31</f>
        <v>1.3793637449670373</v>
      </c>
      <c r="AB31" s="48"/>
      <c r="AC31" s="32"/>
    </row>
    <row r="32" spans="1:29" ht="18" x14ac:dyDescent="0.25">
      <c r="A32" s="3"/>
      <c r="B32" s="27" t="s">
        <v>48</v>
      </c>
      <c r="C32" s="728">
        <f>'MOD-I (EARNING) Dec-21'!B31</f>
        <v>646</v>
      </c>
      <c r="D32" s="715"/>
      <c r="E32" s="175"/>
      <c r="F32" s="708">
        <f>'MOD-I (EARNING) Dec-21'!E31</f>
        <v>659</v>
      </c>
      <c r="G32" s="707">
        <f>'MOD-II (EARNING) Dec-21'!E31</f>
        <v>0</v>
      </c>
      <c r="H32" s="175">
        <f>'MOD-I (EARNING) Dec-21'!G31</f>
        <v>652</v>
      </c>
      <c r="I32" s="109">
        <f>H32-G32</f>
        <v>652</v>
      </c>
      <c r="J32" s="730">
        <f>(H32-F32)/F32</f>
        <v>-1.0622154779969651E-2</v>
      </c>
      <c r="K32" s="176"/>
      <c r="L32" s="4"/>
      <c r="M32" s="4"/>
      <c r="N32" s="4"/>
      <c r="O32" s="4"/>
      <c r="P32" s="4"/>
      <c r="Q32" s="4"/>
      <c r="R32" s="171" t="s">
        <v>49</v>
      </c>
      <c r="S32" s="632">
        <v>388</v>
      </c>
      <c r="T32" s="778">
        <v>370</v>
      </c>
      <c r="U32" s="775">
        <v>383</v>
      </c>
      <c r="V32" s="729">
        <f t="shared" si="13"/>
        <v>3.5135135135135137E-2</v>
      </c>
      <c r="W32" s="39"/>
      <c r="X32" s="2"/>
      <c r="Y32" s="2"/>
      <c r="Z32" s="2"/>
      <c r="AA32" s="2"/>
      <c r="AB32" s="177"/>
      <c r="AC32" s="32"/>
    </row>
    <row r="33" spans="1:29" ht="18" x14ac:dyDescent="0.25">
      <c r="A33" s="3"/>
      <c r="B33" s="27" t="s">
        <v>50</v>
      </c>
      <c r="C33" s="728">
        <f>'MOD-I (EARNING) Dec-21'!B32</f>
        <v>10735.07</v>
      </c>
      <c r="D33" s="715"/>
      <c r="E33" s="175"/>
      <c r="F33" s="708">
        <f>'MOD-I (EARNING) Dec-21'!E32</f>
        <v>7789.74</v>
      </c>
      <c r="G33" s="707">
        <v>0</v>
      </c>
      <c r="H33" s="175">
        <f>'MOD-I (EARNING) Dec-21'!G32</f>
        <v>8966.42</v>
      </c>
      <c r="I33" s="109">
        <f t="shared" ref="I33:I34" si="16">H33-G33</f>
        <v>8966.42</v>
      </c>
      <c r="J33" s="730">
        <f t="shared" ref="J33:J34" si="17">(H33-F33)/F33</f>
        <v>0.15105510581867948</v>
      </c>
      <c r="K33" s="2"/>
      <c r="L33" s="4"/>
      <c r="M33" s="178"/>
      <c r="N33" s="178"/>
      <c r="O33" s="178"/>
      <c r="P33" s="179"/>
      <c r="Q33" s="179"/>
      <c r="R33" s="171" t="s">
        <v>51</v>
      </c>
      <c r="S33" s="632">
        <v>52807</v>
      </c>
      <c r="T33" s="778">
        <v>35158</v>
      </c>
      <c r="U33" s="775">
        <v>48580</v>
      </c>
      <c r="V33" s="729">
        <f t="shared" si="13"/>
        <v>0.38176233005290405</v>
      </c>
      <c r="W33" s="39"/>
      <c r="X33" s="39"/>
      <c r="Y33" s="39"/>
      <c r="Z33" s="39"/>
      <c r="AA33" s="39"/>
      <c r="AB33" s="48"/>
      <c r="AC33" s="32"/>
    </row>
    <row r="34" spans="1:29" ht="18.75" thickBot="1" x14ac:dyDescent="0.3">
      <c r="A34" s="3"/>
      <c r="B34" s="713" t="s">
        <v>52</v>
      </c>
      <c r="C34" s="728">
        <f>'MOD-I (EARNING) Dec-21'!B33</f>
        <v>1.62</v>
      </c>
      <c r="D34" s="422"/>
      <c r="E34" s="175"/>
      <c r="F34" s="711">
        <f>'MOD-I (EARNING) Dec-21'!E33</f>
        <v>1.61</v>
      </c>
      <c r="G34" s="707">
        <v>0</v>
      </c>
      <c r="H34" s="175">
        <f>'MOD-I (EARNING) Dec-21'!G33</f>
        <v>1.58</v>
      </c>
      <c r="I34" s="109">
        <f t="shared" si="16"/>
        <v>1.58</v>
      </c>
      <c r="J34" s="730">
        <f t="shared" si="17"/>
        <v>-1.8633540372670822E-2</v>
      </c>
      <c r="K34" s="2"/>
      <c r="L34" s="4"/>
      <c r="M34" s="170"/>
      <c r="N34" s="170"/>
      <c r="O34" s="170"/>
      <c r="P34" s="170"/>
      <c r="Q34" s="154"/>
      <c r="R34" s="181" t="s">
        <v>53</v>
      </c>
      <c r="S34" s="632">
        <v>400</v>
      </c>
      <c r="T34" s="779">
        <v>366</v>
      </c>
      <c r="U34" s="775">
        <v>507</v>
      </c>
      <c r="V34" s="729">
        <f>(U34-T34)/T34</f>
        <v>0.38524590163934425</v>
      </c>
      <c r="W34" s="39"/>
      <c r="X34" s="39"/>
      <c r="Y34" s="39"/>
      <c r="Z34" s="39"/>
      <c r="AA34" s="39"/>
      <c r="AB34" s="177"/>
      <c r="AC34" s="32"/>
    </row>
    <row r="35" spans="1:29" ht="18.75" thickBot="1" x14ac:dyDescent="0.3">
      <c r="A35" s="3"/>
      <c r="B35" s="2"/>
      <c r="C35" s="2"/>
      <c r="D35" s="2"/>
      <c r="E35" s="2"/>
      <c r="F35" s="2"/>
      <c r="G35" s="2"/>
      <c r="H35" s="2"/>
      <c r="I35" s="2"/>
      <c r="J35" s="2"/>
      <c r="K35" s="182"/>
      <c r="L35" s="2"/>
      <c r="M35" s="2"/>
      <c r="N35" s="2"/>
      <c r="O35" s="2"/>
      <c r="P35" s="2"/>
      <c r="Q35" s="2"/>
      <c r="R35" s="183" t="s">
        <v>54</v>
      </c>
      <c r="S35" s="633">
        <v>19384</v>
      </c>
      <c r="T35" s="780">
        <v>17659</v>
      </c>
      <c r="U35" s="781">
        <v>24917</v>
      </c>
      <c r="V35" s="734">
        <f t="shared" si="13"/>
        <v>0.41100855088057081</v>
      </c>
      <c r="W35" s="39"/>
      <c r="X35" s="39" t="s">
        <v>24</v>
      </c>
      <c r="Y35" s="39"/>
      <c r="Z35" s="184"/>
      <c r="AA35" s="184"/>
      <c r="AB35" s="184"/>
      <c r="AC35" s="32"/>
    </row>
    <row r="36" spans="1:29" ht="16.5" thickBot="1" x14ac:dyDescent="0.3">
      <c r="A36" s="3"/>
      <c r="B36" s="185" t="s">
        <v>55</v>
      </c>
      <c r="C36" s="186" t="s">
        <v>56</v>
      </c>
      <c r="D36" s="187"/>
      <c r="E36" s="187"/>
      <c r="F36" s="187"/>
      <c r="G36" s="187"/>
      <c r="H36" s="187"/>
      <c r="I36" s="187"/>
      <c r="J36" s="188"/>
      <c r="K36" s="189"/>
      <c r="L36" s="2"/>
      <c r="M36" s="2"/>
      <c r="N36" s="2"/>
      <c r="O36" s="2"/>
      <c r="P36" s="2"/>
      <c r="Q36" s="2"/>
      <c r="R36" s="1"/>
      <c r="S36" s="1"/>
      <c r="T36" s="26" t="s">
        <v>57</v>
      </c>
      <c r="U36" s="184"/>
      <c r="V36" s="184"/>
      <c r="W36" s="190"/>
      <c r="X36" s="184"/>
      <c r="Y36" s="184"/>
      <c r="Z36" s="184"/>
      <c r="AA36" s="184"/>
      <c r="AB36" s="105"/>
      <c r="AC36" s="32"/>
    </row>
    <row r="37" spans="1:29" ht="60" x14ac:dyDescent="0.25">
      <c r="A37" s="3"/>
      <c r="B37" s="191" t="s">
        <v>58</v>
      </c>
      <c r="C37" s="28" t="s">
        <v>376</v>
      </c>
      <c r="D37" s="192" t="s">
        <v>382</v>
      </c>
      <c r="E37" s="193" t="s">
        <v>7</v>
      </c>
      <c r="F37" s="156" t="str">
        <f>F23</f>
        <v>Actual upto Dec'20</v>
      </c>
      <c r="G37" s="192" t="str">
        <f>G23</f>
        <v>BP upto Dec'21</v>
      </c>
      <c r="H37" s="193" t="str">
        <f>H23</f>
        <v>Actual upto Dec'21</v>
      </c>
      <c r="I37" s="156" t="s">
        <v>8</v>
      </c>
      <c r="J37" s="193" t="s">
        <v>9</v>
      </c>
      <c r="K37" s="2"/>
      <c r="L37" s="105"/>
      <c r="M37" s="2"/>
      <c r="N37" s="2"/>
      <c r="O37" s="2"/>
      <c r="P37" s="2"/>
      <c r="Q37" s="2"/>
      <c r="R37" s="1"/>
      <c r="S37" s="1"/>
      <c r="T37" s="194" t="s">
        <v>59</v>
      </c>
      <c r="U37" s="587" t="s">
        <v>60</v>
      </c>
      <c r="V37" s="587" t="s">
        <v>377</v>
      </c>
      <c r="W37" s="588" t="s">
        <v>439</v>
      </c>
      <c r="X37" s="589" t="s">
        <v>406</v>
      </c>
      <c r="Y37" s="589" t="s">
        <v>440</v>
      </c>
      <c r="Z37" s="591" t="s">
        <v>61</v>
      </c>
      <c r="AA37" s="587" t="s">
        <v>62</v>
      </c>
      <c r="AB37" s="597" t="s">
        <v>394</v>
      </c>
      <c r="AC37" s="32"/>
    </row>
    <row r="38" spans="1:29" ht="18" x14ac:dyDescent="0.25">
      <c r="A38" s="3"/>
      <c r="B38" s="33" t="s">
        <v>63</v>
      </c>
      <c r="C38" s="648">
        <f>'MOD-I (EARNING) Dec-21'!B38</f>
        <v>2.4500000000000002</v>
      </c>
      <c r="D38" s="109">
        <f>'VITAL (Ear.+Exp.) Dec-21'!B9</f>
        <v>3.14</v>
      </c>
      <c r="E38" s="42">
        <f t="shared" ref="E38:E44" si="18">(D38-C38)/C38</f>
        <v>0.28163265306122442</v>
      </c>
      <c r="F38" s="195">
        <f>'VITAL (Ear.+Exp.) Dec-21'!C9</f>
        <v>1.6</v>
      </c>
      <c r="G38" s="37">
        <f>'VITAL (Ear.+Exp.) Dec-21'!D9</f>
        <v>2.2599999999999998</v>
      </c>
      <c r="H38" s="37">
        <f>'MOD-I (EARNING) Dec-21'!G38</f>
        <v>2.17</v>
      </c>
      <c r="I38" s="41">
        <f t="shared" ref="I38:I43" si="19">+H38-G38</f>
        <v>-8.9999999999999858E-2</v>
      </c>
      <c r="J38" s="42">
        <f>(H38-F38)/F38</f>
        <v>0.3562499999999999</v>
      </c>
      <c r="K38" s="2"/>
      <c r="L38" s="2"/>
      <c r="M38" s="2"/>
      <c r="N38" s="2"/>
      <c r="O38" s="2"/>
      <c r="P38" s="2"/>
      <c r="Q38" s="2"/>
      <c r="R38" s="1"/>
      <c r="S38" s="1"/>
      <c r="T38" s="196" t="s">
        <v>64</v>
      </c>
      <c r="U38" s="682">
        <v>1.0900000000000001</v>
      </c>
      <c r="V38" s="197">
        <v>0</v>
      </c>
      <c r="W38" s="682">
        <v>2.74</v>
      </c>
      <c r="X38" s="572">
        <v>0.01</v>
      </c>
      <c r="Y38" s="572">
        <v>0.01</v>
      </c>
      <c r="Z38" s="197">
        <f>+Y38-X38</f>
        <v>0</v>
      </c>
      <c r="AA38" s="197">
        <f>+Y38-W38</f>
        <v>-2.7300000000000004</v>
      </c>
      <c r="AB38" s="197">
        <f>+Y38-U38</f>
        <v>-1.08</v>
      </c>
      <c r="AC38" s="32"/>
    </row>
    <row r="39" spans="1:29" ht="18" x14ac:dyDescent="0.25">
      <c r="A39" s="198"/>
      <c r="B39" s="33" t="s">
        <v>65</v>
      </c>
      <c r="C39" s="648">
        <f>'MOD-I (EARNING) Dec-21'!B39</f>
        <v>1.88</v>
      </c>
      <c r="D39" s="109">
        <f>'VITAL (Ear.+Exp.) Dec-21'!B10</f>
        <v>2.13</v>
      </c>
      <c r="E39" s="42">
        <f t="shared" si="18"/>
        <v>0.13297872340425532</v>
      </c>
      <c r="F39" s="195">
        <f>'VITAL (Ear.+Exp.) Dec-21'!C10</f>
        <v>1.33</v>
      </c>
      <c r="G39" s="37">
        <f>'VITAL (Ear.+Exp.) Dec-21'!D10</f>
        <v>1.54</v>
      </c>
      <c r="H39" s="37">
        <f>'MOD-I (EARNING) Dec-21'!G39</f>
        <v>1.34</v>
      </c>
      <c r="I39" s="41">
        <f t="shared" si="19"/>
        <v>-0.19999999999999996</v>
      </c>
      <c r="J39" s="42">
        <f t="shared" ref="J39:J44" si="20">(H39-F39)/F39</f>
        <v>7.5187969924812095E-3</v>
      </c>
      <c r="K39" s="2"/>
      <c r="L39" s="189"/>
      <c r="M39" s="189"/>
      <c r="N39" s="189"/>
      <c r="O39" s="189"/>
      <c r="P39" s="189"/>
      <c r="Q39" s="6"/>
      <c r="R39" s="199"/>
      <c r="S39" s="199"/>
      <c r="T39" s="196" t="s">
        <v>66</v>
      </c>
      <c r="U39" s="682">
        <v>1.67</v>
      </c>
      <c r="V39" s="197">
        <v>0</v>
      </c>
      <c r="W39" s="682">
        <v>1.32</v>
      </c>
      <c r="X39" s="572">
        <v>1.05</v>
      </c>
      <c r="Y39" s="572">
        <v>1.2</v>
      </c>
      <c r="Z39" s="197">
        <f t="shared" ref="Z39:Z49" si="21">+Y39-X39</f>
        <v>0.14999999999999991</v>
      </c>
      <c r="AA39" s="197">
        <f t="shared" ref="AA39:AA49" si="22">+Y39-W39</f>
        <v>-0.12000000000000011</v>
      </c>
      <c r="AB39" s="197">
        <f t="shared" ref="AB39:AB49" si="23">+Y39-U39</f>
        <v>-0.47</v>
      </c>
      <c r="AC39" s="32"/>
    </row>
    <row r="40" spans="1:29" ht="18" x14ac:dyDescent="0.25">
      <c r="A40" s="3"/>
      <c r="B40" s="33" t="s">
        <v>67</v>
      </c>
      <c r="C40" s="648">
        <f>'MOD-I (EARNING) Dec-21'!B40</f>
        <v>0.71</v>
      </c>
      <c r="D40" s="109">
        <f>'VITAL (Ear.+Exp.) Dec-21'!B11</f>
        <v>0.7</v>
      </c>
      <c r="E40" s="42">
        <f t="shared" si="18"/>
        <v>-1.4084507042253534E-2</v>
      </c>
      <c r="F40" s="195">
        <f>'VITAL (Ear.+Exp.) Dec-21'!C11</f>
        <v>0.56000000000000005</v>
      </c>
      <c r="G40" s="37">
        <f>'VITAL (Ear.+Exp.) Dec-21'!D11</f>
        <v>0.5</v>
      </c>
      <c r="H40" s="37">
        <f>'MOD-I (EARNING) Dec-21'!G40</f>
        <v>0.52</v>
      </c>
      <c r="I40" s="41">
        <f t="shared" si="19"/>
        <v>2.0000000000000018E-2</v>
      </c>
      <c r="J40" s="42">
        <f t="shared" si="20"/>
        <v>-7.142857142857148E-2</v>
      </c>
      <c r="K40" s="2"/>
      <c r="L40" s="2"/>
      <c r="M40" s="2"/>
      <c r="N40" s="2"/>
      <c r="O40" s="2"/>
      <c r="P40" s="2"/>
      <c r="Q40" s="200"/>
      <c r="R40" s="1"/>
      <c r="S40" s="1"/>
      <c r="T40" s="196" t="s">
        <v>68</v>
      </c>
      <c r="U40" s="572">
        <v>2.39</v>
      </c>
      <c r="V40" s="109">
        <v>0</v>
      </c>
      <c r="W40" s="572">
        <v>3.6</v>
      </c>
      <c r="X40" s="572">
        <v>4.1900000000000004</v>
      </c>
      <c r="Y40" s="572">
        <v>4.3499999999999996</v>
      </c>
      <c r="Z40" s="197">
        <f t="shared" si="21"/>
        <v>0.15999999999999925</v>
      </c>
      <c r="AA40" s="197">
        <f t="shared" si="22"/>
        <v>0.74999999999999956</v>
      </c>
      <c r="AB40" s="197">
        <f t="shared" si="23"/>
        <v>1.9599999999999995</v>
      </c>
      <c r="AC40" s="32"/>
    </row>
    <row r="41" spans="1:29" ht="18" x14ac:dyDescent="0.25">
      <c r="A41" s="3"/>
      <c r="B41" s="33" t="s">
        <v>69</v>
      </c>
      <c r="C41" s="648">
        <f>'MOD-I (EARNING) Dec-21'!B41</f>
        <v>6.88</v>
      </c>
      <c r="D41" s="109">
        <f>'VITAL (Ear.+Exp.) Dec-21'!B12</f>
        <v>7.53</v>
      </c>
      <c r="E41" s="42">
        <f t="shared" si="18"/>
        <v>9.4476744186046568E-2</v>
      </c>
      <c r="F41" s="195">
        <f>'VITAL (Ear.+Exp.) Dec-21'!C12</f>
        <v>5.05</v>
      </c>
      <c r="G41" s="37">
        <f>'VITAL (Ear.+Exp.) Dec-21'!D12</f>
        <v>5.44</v>
      </c>
      <c r="H41" s="37">
        <f>'MOD-I (EARNING) Dec-21'!G41</f>
        <v>5.61</v>
      </c>
      <c r="I41" s="41">
        <f t="shared" si="19"/>
        <v>0.16999999999999993</v>
      </c>
      <c r="J41" s="42">
        <f t="shared" si="20"/>
        <v>0.11089108910891099</v>
      </c>
      <c r="K41" s="2"/>
      <c r="L41" s="2"/>
      <c r="M41" s="2"/>
      <c r="N41" s="2"/>
      <c r="O41" s="2"/>
      <c r="P41" s="2"/>
      <c r="Q41" s="141"/>
      <c r="R41" s="1"/>
      <c r="S41" s="1"/>
      <c r="T41" s="196" t="s">
        <v>70</v>
      </c>
      <c r="U41" s="572">
        <v>7.51</v>
      </c>
      <c r="V41" s="109">
        <v>0</v>
      </c>
      <c r="W41" s="572">
        <v>5.54</v>
      </c>
      <c r="X41" s="572">
        <v>8.9</v>
      </c>
      <c r="Y41" s="572">
        <v>7.95</v>
      </c>
      <c r="Z41" s="197">
        <f t="shared" si="21"/>
        <v>-0.95000000000000018</v>
      </c>
      <c r="AA41" s="197">
        <f t="shared" si="22"/>
        <v>2.41</v>
      </c>
      <c r="AB41" s="197">
        <f t="shared" si="23"/>
        <v>0.44000000000000039</v>
      </c>
      <c r="AC41" s="32"/>
    </row>
    <row r="42" spans="1:29" ht="18" x14ac:dyDescent="0.25">
      <c r="A42" s="3"/>
      <c r="B42" s="33" t="s">
        <v>71</v>
      </c>
      <c r="C42" s="648">
        <f>'MOD-I (EARNING) Dec-21'!B42</f>
        <v>2.44</v>
      </c>
      <c r="D42" s="109">
        <f>'VITAL (Ear.+Exp.) Dec-21'!B13</f>
        <v>3.29</v>
      </c>
      <c r="E42" s="42">
        <f t="shared" si="18"/>
        <v>0.34836065573770497</v>
      </c>
      <c r="F42" s="195">
        <f>'VITAL (Ear.+Exp.) Dec-21'!C13</f>
        <v>1.78</v>
      </c>
      <c r="G42" s="37">
        <f>'VITAL (Ear.+Exp.) Dec-21'!D13</f>
        <v>2.36</v>
      </c>
      <c r="H42" s="37">
        <f>'MOD-I (EARNING) Dec-21'!G42</f>
        <v>2.08</v>
      </c>
      <c r="I42" s="41">
        <f t="shared" si="19"/>
        <v>-0.2799999999999998</v>
      </c>
      <c r="J42" s="42">
        <f t="shared" si="20"/>
        <v>0.16853932584269665</v>
      </c>
      <c r="K42" s="2"/>
      <c r="L42" s="2"/>
      <c r="M42" s="2"/>
      <c r="N42" s="2"/>
      <c r="O42" s="2"/>
      <c r="P42" s="2"/>
      <c r="Q42" s="48"/>
      <c r="R42" s="1"/>
      <c r="S42" s="1"/>
      <c r="T42" s="201" t="s">
        <v>72</v>
      </c>
      <c r="U42" s="572">
        <v>1.87</v>
      </c>
      <c r="V42" s="109">
        <v>0</v>
      </c>
      <c r="W42" s="572">
        <v>1.25</v>
      </c>
      <c r="X42" s="572">
        <v>0.99</v>
      </c>
      <c r="Y42" s="572">
        <v>0.92</v>
      </c>
      <c r="Z42" s="197">
        <f t="shared" si="21"/>
        <v>-6.9999999999999951E-2</v>
      </c>
      <c r="AA42" s="197">
        <f t="shared" si="22"/>
        <v>-0.32999999999999996</v>
      </c>
      <c r="AB42" s="197">
        <f t="shared" si="23"/>
        <v>-0.95000000000000007</v>
      </c>
      <c r="AC42" s="32"/>
    </row>
    <row r="43" spans="1:29" ht="18.75" thickBot="1" x14ac:dyDescent="0.3">
      <c r="A43" s="3"/>
      <c r="B43" s="33" t="s">
        <v>73</v>
      </c>
      <c r="C43" s="648">
        <f>'MOD-I (EARNING) Dec-21'!B43</f>
        <v>2.25</v>
      </c>
      <c r="D43" s="109">
        <f>'VITAL (Ear.+Exp.) Dec-21'!B14</f>
        <v>2.8</v>
      </c>
      <c r="E43" s="42">
        <f t="shared" si="18"/>
        <v>0.24444444444444435</v>
      </c>
      <c r="F43" s="195">
        <f>'VITAL (Ear.+Exp.) Dec-21'!C14</f>
        <v>1.5</v>
      </c>
      <c r="G43" s="37">
        <f>'VITAL (Ear.+Exp.) Dec-21'!D14</f>
        <v>2.0099999999999998</v>
      </c>
      <c r="H43" s="37">
        <f>'MOD-I (EARNING) Dec-21'!G43</f>
        <v>2.04</v>
      </c>
      <c r="I43" s="41">
        <f t="shared" si="19"/>
        <v>3.0000000000000249E-2</v>
      </c>
      <c r="J43" s="42">
        <f t="shared" si="20"/>
        <v>0.36000000000000004</v>
      </c>
      <c r="K43" s="2"/>
      <c r="L43" s="2"/>
      <c r="M43" s="2"/>
      <c r="N43" s="2"/>
      <c r="O43" s="2"/>
      <c r="P43" s="2"/>
      <c r="Q43" s="6"/>
      <c r="R43" s="1"/>
      <c r="S43" s="1"/>
      <c r="T43" s="202" t="s">
        <v>74</v>
      </c>
      <c r="U43" s="572">
        <v>3.79</v>
      </c>
      <c r="V43" s="109">
        <v>0</v>
      </c>
      <c r="W43" s="572">
        <v>5.21</v>
      </c>
      <c r="X43" s="572">
        <v>3.9</v>
      </c>
      <c r="Y43" s="572">
        <v>4.03</v>
      </c>
      <c r="Z43" s="197">
        <f t="shared" si="21"/>
        <v>0.13000000000000034</v>
      </c>
      <c r="AA43" s="197">
        <f t="shared" si="22"/>
        <v>-1.1799999999999997</v>
      </c>
      <c r="AB43" s="197">
        <f t="shared" si="23"/>
        <v>0.24000000000000021</v>
      </c>
      <c r="AC43" s="142"/>
    </row>
    <row r="44" spans="1:29" ht="18.75" thickBot="1" x14ac:dyDescent="0.3">
      <c r="A44" s="3"/>
      <c r="B44" s="203" t="s">
        <v>75</v>
      </c>
      <c r="C44" s="204">
        <f>SUM(C38:C43)</f>
        <v>16.61</v>
      </c>
      <c r="D44" s="204">
        <f>SUM(D38:D43)</f>
        <v>19.59</v>
      </c>
      <c r="E44" s="205">
        <f t="shared" si="18"/>
        <v>0.17940999397953045</v>
      </c>
      <c r="F44" s="204">
        <f>SUM(F38:F43)</f>
        <v>11.819999999999999</v>
      </c>
      <c r="G44" s="67">
        <f>'VITAL (Ear.+Exp.) Dec-21'!D15</f>
        <v>14.11</v>
      </c>
      <c r="H44" s="67">
        <f>'MOD-I (EARNING) Dec-21'!G44</f>
        <v>13.760000000000002</v>
      </c>
      <c r="I44" s="551">
        <f>+H44-G44</f>
        <v>-0.34999999999999787</v>
      </c>
      <c r="J44" s="205">
        <f t="shared" si="20"/>
        <v>0.16412859560067711</v>
      </c>
      <c r="K44" s="2"/>
      <c r="L44" s="2"/>
      <c r="M44" s="2"/>
      <c r="N44" s="2"/>
      <c r="O44" s="2"/>
      <c r="P44" s="2"/>
      <c r="Q44" s="184"/>
      <c r="R44" s="1"/>
      <c r="S44" s="1"/>
      <c r="T44" s="206" t="s">
        <v>76</v>
      </c>
      <c r="U44" s="572">
        <f>SUM(U38:U43)</f>
        <v>18.32</v>
      </c>
      <c r="V44" s="109">
        <f>SUM(V38:V43)</f>
        <v>0</v>
      </c>
      <c r="W44" s="572">
        <f>W38+W39+W40+W41+W42+W43</f>
        <v>19.66</v>
      </c>
      <c r="X44" s="572">
        <f>SUM(X38:X43)</f>
        <v>19.04</v>
      </c>
      <c r="Y44" s="572">
        <f>SUM(Y38:Y43)</f>
        <v>18.46</v>
      </c>
      <c r="Z44" s="197">
        <f t="shared" si="21"/>
        <v>-0.57999999999999829</v>
      </c>
      <c r="AA44" s="197">
        <f t="shared" si="22"/>
        <v>-1.1999999999999993</v>
      </c>
      <c r="AB44" s="197">
        <f t="shared" si="23"/>
        <v>0.14000000000000057</v>
      </c>
      <c r="AC44" s="142"/>
    </row>
    <row r="45" spans="1:29" ht="18.75" thickBot="1" x14ac:dyDescent="0.3">
      <c r="A45" s="3"/>
      <c r="B45" s="2"/>
      <c r="C45" s="2"/>
      <c r="D45" s="2"/>
      <c r="E45" s="2"/>
      <c r="F45" s="2"/>
      <c r="G45" s="2"/>
      <c r="H45" s="421"/>
      <c r="I45" s="2"/>
      <c r="J45" s="2"/>
      <c r="K45" s="207"/>
      <c r="L45" s="2"/>
      <c r="M45" s="2"/>
      <c r="N45" s="2"/>
      <c r="O45" s="2"/>
      <c r="P45" s="2"/>
      <c r="Q45" s="2"/>
      <c r="R45" s="1"/>
      <c r="S45" s="1"/>
      <c r="T45" s="208" t="s">
        <v>77</v>
      </c>
      <c r="U45" s="683">
        <v>0</v>
      </c>
      <c r="V45" s="209">
        <v>0</v>
      </c>
      <c r="W45" s="683">
        <v>4.51</v>
      </c>
      <c r="X45" s="572">
        <v>5.42</v>
      </c>
      <c r="Y45" s="572">
        <v>25.54</v>
      </c>
      <c r="Z45" s="210">
        <f t="shared" si="21"/>
        <v>20.119999999999997</v>
      </c>
      <c r="AA45" s="210">
        <f t="shared" si="22"/>
        <v>21.03</v>
      </c>
      <c r="AB45" s="211">
        <f t="shared" si="23"/>
        <v>25.54</v>
      </c>
      <c r="AC45" s="142"/>
    </row>
    <row r="46" spans="1:29" ht="18.75" thickBot="1" x14ac:dyDescent="0.3">
      <c r="A46" s="3"/>
      <c r="B46" s="212"/>
      <c r="C46" s="282" t="s">
        <v>78</v>
      </c>
      <c r="D46" s="283"/>
      <c r="E46" s="284"/>
      <c r="F46" s="285" t="s">
        <v>79</v>
      </c>
      <c r="G46" s="283"/>
      <c r="H46" s="284"/>
      <c r="I46" s="285" t="s">
        <v>80</v>
      </c>
      <c r="J46" s="283"/>
      <c r="K46" s="287"/>
      <c r="L46" s="2"/>
      <c r="M46" s="2"/>
      <c r="N46" s="2"/>
      <c r="O46" s="2"/>
      <c r="P46" s="2"/>
      <c r="Q46" s="39"/>
      <c r="R46" s="1"/>
      <c r="S46" s="1"/>
      <c r="T46" s="196" t="s">
        <v>81</v>
      </c>
      <c r="U46" s="572">
        <v>0</v>
      </c>
      <c r="V46" s="109">
        <v>0</v>
      </c>
      <c r="W46" s="572">
        <v>2.91</v>
      </c>
      <c r="X46" s="572">
        <v>5.56</v>
      </c>
      <c r="Y46" s="572">
        <v>13.13</v>
      </c>
      <c r="Z46" s="197">
        <f t="shared" si="21"/>
        <v>7.5700000000000012</v>
      </c>
      <c r="AA46" s="197">
        <f t="shared" si="22"/>
        <v>10.220000000000001</v>
      </c>
      <c r="AB46" s="213">
        <f t="shared" si="23"/>
        <v>13.13</v>
      </c>
      <c r="AC46" s="142"/>
    </row>
    <row r="47" spans="1:29" ht="47.25" x14ac:dyDescent="0.25">
      <c r="A47" s="3"/>
      <c r="B47" s="214" t="s">
        <v>58</v>
      </c>
      <c r="C47" s="153" t="str">
        <f>F23</f>
        <v>Actual upto Dec'20</v>
      </c>
      <c r="D47" s="576" t="str">
        <f>H23</f>
        <v>Actual upto Dec'21</v>
      </c>
      <c r="E47" s="286" t="s">
        <v>82</v>
      </c>
      <c r="F47" s="153" t="str">
        <f>F23</f>
        <v>Actual upto Dec'20</v>
      </c>
      <c r="G47" s="576" t="str">
        <f>H23</f>
        <v>Actual upto Dec'21</v>
      </c>
      <c r="H47" s="287" t="s">
        <v>82</v>
      </c>
      <c r="I47" s="153" t="str">
        <f>F23</f>
        <v>Actual upto Dec'20</v>
      </c>
      <c r="J47" s="576" t="str">
        <f>H23</f>
        <v>Actual upto Dec'21</v>
      </c>
      <c r="K47" s="287" t="s">
        <v>82</v>
      </c>
      <c r="L47" s="2"/>
      <c r="M47" s="2"/>
      <c r="N47" s="2"/>
      <c r="O47" s="2"/>
      <c r="P47" s="2"/>
      <c r="Q47" s="39"/>
      <c r="R47" s="1"/>
      <c r="S47" s="1"/>
      <c r="T47" s="196" t="s">
        <v>83</v>
      </c>
      <c r="U47" s="572">
        <v>0</v>
      </c>
      <c r="V47" s="109">
        <v>0</v>
      </c>
      <c r="W47" s="572">
        <v>0.36</v>
      </c>
      <c r="X47" s="572">
        <v>0.94</v>
      </c>
      <c r="Y47" s="572">
        <v>1.29</v>
      </c>
      <c r="Z47" s="197">
        <f>+Y47-X47</f>
        <v>0.35000000000000009</v>
      </c>
      <c r="AA47" s="197">
        <f>+Y47-W47</f>
        <v>0.93</v>
      </c>
      <c r="AB47" s="213">
        <f>+Y47-U47</f>
        <v>1.29</v>
      </c>
      <c r="AC47" s="215"/>
    </row>
    <row r="48" spans="1:29" ht="18.75" thickBot="1" x14ac:dyDescent="0.3">
      <c r="A48" s="3"/>
      <c r="B48" s="216" t="s">
        <v>63</v>
      </c>
      <c r="C48" s="759">
        <f>'MOD-I (EARNING) Dec-21'!J38</f>
        <v>341.09</v>
      </c>
      <c r="D48" s="682">
        <f>'MOD-I (EARNING) Dec-21'!K38</f>
        <v>363.33</v>
      </c>
      <c r="E48" s="290">
        <f>(D48-C48)/C48</f>
        <v>6.5202732416664258E-2</v>
      </c>
      <c r="F48" s="682">
        <f>'MOD-I (EARNING) Dec-21'!M38</f>
        <v>1.56</v>
      </c>
      <c r="G48" s="572">
        <f>'MOD-I (EARNING) Dec-21'!N38</f>
        <v>1.44</v>
      </c>
      <c r="H48" s="290">
        <f>(G48-F48)/F48</f>
        <v>-7.6923076923076983E-2</v>
      </c>
      <c r="I48" s="682">
        <f>'MOD-I (EARNING) Dec-21'!P38</f>
        <v>85.08</v>
      </c>
      <c r="J48" s="682">
        <f>'MOD-I (EARNING) Dec-21'!Q38</f>
        <v>113.36</v>
      </c>
      <c r="K48" s="290">
        <f>(J48-I48)/I48</f>
        <v>0.33239304184297136</v>
      </c>
      <c r="L48" s="217"/>
      <c r="M48" s="217"/>
      <c r="N48" s="217"/>
      <c r="O48" s="217"/>
      <c r="P48" s="217"/>
      <c r="Q48" s="217"/>
      <c r="R48" s="1"/>
      <c r="S48" s="1"/>
      <c r="T48" s="202" t="s">
        <v>84</v>
      </c>
      <c r="U48" s="590">
        <v>10.47</v>
      </c>
      <c r="V48" s="218">
        <v>0</v>
      </c>
      <c r="W48" s="590">
        <v>26.11</v>
      </c>
      <c r="X48" s="590">
        <v>40.83</v>
      </c>
      <c r="Y48" s="590">
        <v>38.97</v>
      </c>
      <c r="Z48" s="219">
        <f>+Y48-X48</f>
        <v>-1.8599999999999994</v>
      </c>
      <c r="AA48" s="219">
        <f>+Y48-W48</f>
        <v>12.86</v>
      </c>
      <c r="AB48" s="220">
        <f>+Y48-U48</f>
        <v>28.5</v>
      </c>
      <c r="AC48" s="221"/>
    </row>
    <row r="49" spans="1:29" ht="18.75" thickBot="1" x14ac:dyDescent="0.3">
      <c r="A49" s="3"/>
      <c r="B49" s="216" t="s">
        <v>65</v>
      </c>
      <c r="C49" s="759">
        <f>'MOD-I (EARNING) Dec-21'!J39</f>
        <v>1309.08</v>
      </c>
      <c r="D49" s="682">
        <f>'MOD-I (EARNING) Dec-21'!K39</f>
        <v>1320.25</v>
      </c>
      <c r="E49" s="290">
        <f t="shared" ref="E49:E54" si="24">(D49-C49)/C49</f>
        <v>8.532709994805569E-3</v>
      </c>
      <c r="F49" s="682">
        <f>'MOD-I (EARNING) Dec-21'!M39</f>
        <v>1.23</v>
      </c>
      <c r="G49" s="572">
        <f>'MOD-I (EARNING) Dec-21'!N39</f>
        <v>1.23</v>
      </c>
      <c r="H49" s="290">
        <f t="shared" ref="H49:H54" si="25">(G49-F49)/F49</f>
        <v>0</v>
      </c>
      <c r="I49" s="682">
        <f>'MOD-I (EARNING) Dec-21'!P39</f>
        <v>213.85</v>
      </c>
      <c r="J49" s="682">
        <f>'MOD-I (EARNING) Dec-21'!Q39</f>
        <v>217.22</v>
      </c>
      <c r="K49" s="290">
        <f t="shared" ref="K49:K54" si="26">(J49-I49)/I49</f>
        <v>1.5758709375730675E-2</v>
      </c>
      <c r="L49" s="39"/>
      <c r="M49" s="39"/>
      <c r="N49" s="39"/>
      <c r="O49" s="39"/>
      <c r="P49" s="39"/>
      <c r="Q49" s="39"/>
      <c r="R49" s="1"/>
      <c r="S49" s="1"/>
      <c r="T49" s="222" t="s">
        <v>85</v>
      </c>
      <c r="U49" s="603">
        <f>U44+U45+U46+U47+U48</f>
        <v>28.79</v>
      </c>
      <c r="V49" s="64">
        <v>15.52</v>
      </c>
      <c r="W49" s="603">
        <f>W44+W45+W46+W47+W48</f>
        <v>53.55</v>
      </c>
      <c r="X49" s="603">
        <f>X44+X45+X46+X47+X48</f>
        <v>71.789999999999992</v>
      </c>
      <c r="Y49" s="603">
        <f>Y44+Y45+Y46+Y47+Y48</f>
        <v>97.39</v>
      </c>
      <c r="Z49" s="599">
        <f t="shared" si="21"/>
        <v>25.600000000000009</v>
      </c>
      <c r="AA49" s="599">
        <f t="shared" si="22"/>
        <v>43.84</v>
      </c>
      <c r="AB49" s="223">
        <f t="shared" si="23"/>
        <v>68.599999999999994</v>
      </c>
      <c r="AC49" s="221"/>
    </row>
    <row r="50" spans="1:29" ht="18" x14ac:dyDescent="0.25">
      <c r="A50" s="3"/>
      <c r="B50" s="216" t="s">
        <v>67</v>
      </c>
      <c r="C50" s="759">
        <f>'MOD-I (EARNING) Dec-21'!J40</f>
        <v>377.57</v>
      </c>
      <c r="D50" s="682">
        <f>'MOD-I (EARNING) Dec-21'!K40</f>
        <v>330.12</v>
      </c>
      <c r="E50" s="290">
        <f t="shared" si="24"/>
        <v>-0.12567206080991603</v>
      </c>
      <c r="F50" s="682">
        <f>'MOD-I (EARNING) Dec-21'!M40</f>
        <v>1.45</v>
      </c>
      <c r="G50" s="572">
        <f>'MOD-I (EARNING) Dec-21'!N40</f>
        <v>1.48</v>
      </c>
      <c r="H50" s="290">
        <f t="shared" si="25"/>
        <v>2.0689655172413814E-2</v>
      </c>
      <c r="I50" s="682">
        <f>'MOD-I (EARNING) Dec-21'!P40</f>
        <v>30.73</v>
      </c>
      <c r="J50" s="682">
        <f>'MOD-I (EARNING) Dec-21'!Q40</f>
        <v>25.45</v>
      </c>
      <c r="K50" s="290">
        <f t="shared" si="26"/>
        <v>-0.17181906931337459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76"/>
      <c r="X50" s="2"/>
      <c r="Y50" s="48"/>
      <c r="Z50" s="48"/>
      <c r="AA50" s="48"/>
      <c r="AB50" s="48"/>
      <c r="AC50" s="221"/>
    </row>
    <row r="51" spans="1:29" ht="18" x14ac:dyDescent="0.25">
      <c r="A51" s="3"/>
      <c r="B51" s="216" t="s">
        <v>69</v>
      </c>
      <c r="C51" s="759">
        <f>'MOD-I (EARNING) Dec-21'!J41</f>
        <v>607.66999999999996</v>
      </c>
      <c r="D51" s="682">
        <f>'MOD-I (EARNING) Dec-21'!K41</f>
        <v>586.78</v>
      </c>
      <c r="E51" s="290">
        <f t="shared" si="24"/>
        <v>-3.4377211315352062E-2</v>
      </c>
      <c r="F51" s="682">
        <f>'MOD-I (EARNING) Dec-21'!M41</f>
        <v>2.0499999999999998</v>
      </c>
      <c r="G51" s="572">
        <f>'MOD-I (EARNING) Dec-21'!N41</f>
        <v>2.04</v>
      </c>
      <c r="H51" s="290">
        <f t="shared" si="25"/>
        <v>-4.8780487804877017E-3</v>
      </c>
      <c r="I51" s="682">
        <f>'MOD-I (EARNING) Dec-21'!P41</f>
        <v>628.30999999999995</v>
      </c>
      <c r="J51" s="682">
        <f>'MOD-I (EARNING) Dec-21'!Q41</f>
        <v>671.94</v>
      </c>
      <c r="K51" s="290">
        <f t="shared" si="26"/>
        <v>6.9440244465311884E-2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48"/>
      <c r="Z51" s="48"/>
      <c r="AA51" s="48"/>
      <c r="AB51" s="48"/>
      <c r="AC51" s="221"/>
    </row>
    <row r="52" spans="1:29" ht="18" x14ac:dyDescent="0.25">
      <c r="A52" s="3"/>
      <c r="B52" s="216" t="s">
        <v>71</v>
      </c>
      <c r="C52" s="759">
        <f>'MOD-I (EARNING) Dec-21'!J42</f>
        <v>906.98</v>
      </c>
      <c r="D52" s="682">
        <f>'MOD-I (EARNING) Dec-21'!K42</f>
        <v>921.01</v>
      </c>
      <c r="E52" s="290">
        <f t="shared" si="24"/>
        <v>1.5468918829522119E-2</v>
      </c>
      <c r="F52" s="682">
        <f>'MOD-I (EARNING) Dec-21'!M42</f>
        <v>1.23</v>
      </c>
      <c r="G52" s="572">
        <f>'MOD-I (EARNING) Dec-21'!N42</f>
        <v>1.29</v>
      </c>
      <c r="H52" s="290">
        <f t="shared" si="25"/>
        <v>4.8780487804878092E-2</v>
      </c>
      <c r="I52" s="682">
        <f>'MOD-I (EARNING) Dec-21'!P42</f>
        <v>198.78</v>
      </c>
      <c r="J52" s="682">
        <f>'MOD-I (EARNING) Dec-21'!Q42</f>
        <v>247.35</v>
      </c>
      <c r="K52" s="290">
        <f t="shared" si="26"/>
        <v>0.24434047690914576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48"/>
      <c r="Z52" s="48"/>
      <c r="AA52" s="48"/>
      <c r="AB52" s="48"/>
      <c r="AC52" s="215"/>
    </row>
    <row r="53" spans="1:29" ht="18" x14ac:dyDescent="0.25">
      <c r="A53" s="3"/>
      <c r="B53" s="216" t="s">
        <v>73</v>
      </c>
      <c r="C53" s="759">
        <f>'MOD-I (EARNING) Dec-21'!J43</f>
        <v>405.48</v>
      </c>
      <c r="D53" s="682">
        <f>'MOD-I (EARNING) Dec-21'!K43</f>
        <v>504.65</v>
      </c>
      <c r="E53" s="290">
        <f t="shared" si="24"/>
        <v>0.24457433165630846</v>
      </c>
      <c r="F53" s="682">
        <f>'MOD-I (EARNING) Dec-21'!M43</f>
        <v>1.6</v>
      </c>
      <c r="G53" s="572">
        <f>'MOD-I (EARNING) Dec-21'!N43</f>
        <v>1.39</v>
      </c>
      <c r="H53" s="290">
        <f t="shared" si="25"/>
        <v>-0.13125000000000012</v>
      </c>
      <c r="I53" s="682">
        <f>'MOD-I (EARNING) Dec-21'!P43</f>
        <v>97.32</v>
      </c>
      <c r="J53" s="682">
        <f>'MOD-I (EARNING) Dec-21'!Q43</f>
        <v>143</v>
      </c>
      <c r="K53" s="290">
        <f t="shared" si="26"/>
        <v>0.46937936703658045</v>
      </c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2"/>
      <c r="W53" s="39"/>
      <c r="X53" s="48"/>
      <c r="Y53" s="39"/>
      <c r="Z53" s="39"/>
      <c r="AA53" s="39"/>
      <c r="AB53" s="39"/>
      <c r="AC53" s="215"/>
    </row>
    <row r="54" spans="1:29" ht="18" x14ac:dyDescent="0.25">
      <c r="A54" s="3"/>
      <c r="B54" s="224" t="s">
        <v>85</v>
      </c>
      <c r="C54" s="760">
        <f>'MOD-I (EARNING) Dec-21'!J44</f>
        <v>658.97</v>
      </c>
      <c r="D54" s="761">
        <f>'MOD-I (EARNING) Dec-21'!K44</f>
        <v>651.58000000000004</v>
      </c>
      <c r="E54" s="297">
        <f t="shared" si="24"/>
        <v>-1.1214471068485646E-2</v>
      </c>
      <c r="F54" s="761">
        <f>'MOD-I (EARNING) Dec-21'!M44</f>
        <v>1.61</v>
      </c>
      <c r="G54" s="761">
        <f>'MOD-I (EARNING) Dec-21'!N44</f>
        <v>1.58</v>
      </c>
      <c r="H54" s="297">
        <f t="shared" si="25"/>
        <v>-1.8633540372670822E-2</v>
      </c>
      <c r="I54" s="761">
        <f>'MOD-I (EARNING) Dec-21'!P44</f>
        <v>1254.1299999999999</v>
      </c>
      <c r="J54" s="761">
        <f>'MOD-I (EARNING) Dec-21'!Q44</f>
        <v>1418.55</v>
      </c>
      <c r="K54" s="297">
        <f t="shared" si="26"/>
        <v>0.13110283622909913</v>
      </c>
      <c r="L54" s="2"/>
      <c r="M54" s="2"/>
      <c r="N54" s="2"/>
      <c r="O54" s="2"/>
      <c r="P54" s="2"/>
      <c r="Q54" s="2"/>
      <c r="R54" s="2"/>
      <c r="S54" s="2"/>
      <c r="T54" s="2"/>
      <c r="U54" s="76"/>
      <c r="V54" s="225" t="s">
        <v>393</v>
      </c>
      <c r="W54" s="39"/>
      <c r="X54" s="48"/>
      <c r="Y54" s="76"/>
      <c r="Z54" s="76"/>
      <c r="AA54" s="76"/>
      <c r="AB54" s="76"/>
      <c r="AC54" s="226"/>
    </row>
    <row r="55" spans="1:29" ht="15.75" x14ac:dyDescent="0.25">
      <c r="A55" s="3"/>
      <c r="B55" s="227"/>
      <c r="C55" s="227"/>
      <c r="D55" s="230" t="s">
        <v>87</v>
      </c>
      <c r="E55" s="230" t="s">
        <v>392</v>
      </c>
      <c r="F55" s="230" t="s">
        <v>88</v>
      </c>
      <c r="G55" s="230" t="s">
        <v>89</v>
      </c>
      <c r="H55" s="230" t="s">
        <v>90</v>
      </c>
      <c r="I55" s="596" t="s">
        <v>399</v>
      </c>
      <c r="J55" s="596" t="s">
        <v>91</v>
      </c>
      <c r="K55" s="230" t="s">
        <v>92</v>
      </c>
      <c r="L55" s="230" t="s">
        <v>93</v>
      </c>
      <c r="M55" s="230" t="s">
        <v>94</v>
      </c>
      <c r="N55" s="596" t="s">
        <v>95</v>
      </c>
      <c r="O55" s="596" t="s">
        <v>96</v>
      </c>
      <c r="P55" s="227"/>
      <c r="Q55" s="230"/>
      <c r="R55" s="230" t="s">
        <v>87</v>
      </c>
      <c r="S55" s="230" t="s">
        <v>392</v>
      </c>
      <c r="T55" s="230" t="s">
        <v>88</v>
      </c>
      <c r="U55" s="230" t="s">
        <v>89</v>
      </c>
      <c r="V55" s="230" t="s">
        <v>354</v>
      </c>
      <c r="W55" s="230" t="s">
        <v>355</v>
      </c>
      <c r="X55" s="230" t="s">
        <v>91</v>
      </c>
      <c r="Y55" s="690" t="s">
        <v>92</v>
      </c>
      <c r="Z55" s="230" t="s">
        <v>93</v>
      </c>
      <c r="AA55" s="230" t="s">
        <v>94</v>
      </c>
      <c r="AB55" s="686" t="s">
        <v>95</v>
      </c>
      <c r="AC55" s="687" t="s">
        <v>96</v>
      </c>
    </row>
    <row r="56" spans="1:29" ht="18" x14ac:dyDescent="0.25">
      <c r="A56" s="3"/>
      <c r="B56" s="596" t="s">
        <v>97</v>
      </c>
      <c r="C56" s="688" t="s">
        <v>100</v>
      </c>
      <c r="D56" s="195">
        <f>'MOD-I (EARNING) Dec-21'!C47</f>
        <v>-56.66</v>
      </c>
      <c r="E56" s="195">
        <f>'MOD-I (EARNING) Dec-21'!D47</f>
        <v>17.54</v>
      </c>
      <c r="F56" s="195">
        <f>'MOD-I (EARNING) Dec-21'!E47</f>
        <v>43.1</v>
      </c>
      <c r="G56" s="195">
        <f>'MOD-I (EARNING) Dec-21'!F47</f>
        <v>90.1</v>
      </c>
      <c r="H56" s="195">
        <f>'MOD-I (EARNING) Dec-21'!G47</f>
        <v>146.68</v>
      </c>
      <c r="I56" s="195">
        <f>'MOD-I (EARNING) Dec-21'!H47</f>
        <v>178.05</v>
      </c>
      <c r="J56" s="195">
        <f>'MOD-I (EARNING) Dec-21'!I47</f>
        <v>222.97</v>
      </c>
      <c r="K56" s="195">
        <f>'MOD-I (EARNING) Dec-21'!J47</f>
        <v>204.7</v>
      </c>
      <c r="L56" s="195">
        <f>'MOD-I (EARNING) Dec-21'!K47</f>
        <v>265.24</v>
      </c>
      <c r="M56" s="195">
        <f>'MOD-I (EARNING) Dec-21'!L47</f>
        <v>313.41000000000003</v>
      </c>
      <c r="N56" s="195">
        <f>'MOD-I (EARNING) Dec-21'!M47</f>
        <v>331.91</v>
      </c>
      <c r="O56" s="195">
        <f>'MOD-I (EARNING) Dec-21'!N47</f>
        <v>313.83</v>
      </c>
      <c r="P56" s="228" t="s">
        <v>99</v>
      </c>
      <c r="Q56" s="689" t="s">
        <v>100</v>
      </c>
      <c r="R56" s="72">
        <f>'MOD-I (EARNING) Dec-21'!Q47</f>
        <v>0.33</v>
      </c>
      <c r="S56" s="72">
        <f>'MOD-I (EARNING) Dec-21'!R47</f>
        <v>1.62</v>
      </c>
      <c r="T56" s="72">
        <f>'MOD-I (EARNING) Dec-21'!S47</f>
        <v>3.1</v>
      </c>
      <c r="U56" s="72">
        <f>'MOD-I (EARNING) Dec-21'!T47</f>
        <v>14.62</v>
      </c>
      <c r="V56" s="72">
        <f>'MOD-I (EARNING) Dec-21'!U47</f>
        <v>3.52</v>
      </c>
      <c r="W56" s="72">
        <f>'MOD-I (EARNING) Dec-21'!V47</f>
        <v>4.84</v>
      </c>
      <c r="X56" s="72">
        <f>'MOD-I (EARNING) Dec-21'!W47</f>
        <v>6.27</v>
      </c>
      <c r="Y56" s="229">
        <v>7.7</v>
      </c>
      <c r="Z56" s="72">
        <f>'MOD-I (EARNING) Dec-21'!Y47</f>
        <v>10.53</v>
      </c>
      <c r="AA56" s="72">
        <f>'MOD-I (EARNING) Dec-21'!Z47</f>
        <v>10.210000000000001</v>
      </c>
      <c r="AB56" s="72">
        <f>'MOD-I (EARNING) Dec-21'!AA47</f>
        <v>6.48</v>
      </c>
      <c r="AC56" s="72">
        <f>'MOD-I (EARNING) Dec-21'!AB47</f>
        <v>12.06</v>
      </c>
    </row>
    <row r="57" spans="1:29" ht="18" x14ac:dyDescent="0.25">
      <c r="A57" s="3"/>
      <c r="B57" s="230"/>
      <c r="C57" s="688" t="s">
        <v>375</v>
      </c>
      <c r="D57" s="195">
        <f>'MOD-I (EARNING) Dec-21'!C48</f>
        <v>147.99</v>
      </c>
      <c r="E57" s="195">
        <f>'MOD-I (EARNING) Dec-21'!D48</f>
        <v>106.03</v>
      </c>
      <c r="F57" s="37">
        <f>'MOD-I (EARNING) Dec-21'!E48</f>
        <v>303.19</v>
      </c>
      <c r="G57" s="195">
        <f>'MOD-I (EARNING) Dec-21'!F48</f>
        <v>360.41</v>
      </c>
      <c r="H57" s="195">
        <f>'MOD-I (EARNING) Dec-21'!G48</f>
        <v>384.82</v>
      </c>
      <c r="I57" s="37">
        <f>'MOD-I (EARNING) Dec-21'!H48</f>
        <v>402.09</v>
      </c>
      <c r="J57" s="195">
        <f>'MOD-I (EARNING) Dec-21'!I48</f>
        <v>417.12</v>
      </c>
      <c r="K57" s="37">
        <f>'MOD-I (EARNING) Dec-21'!J48</f>
        <v>398.03</v>
      </c>
      <c r="L57" s="37">
        <f>'MOD-I (EARNING) Dec-21'!K48</f>
        <v>374.08</v>
      </c>
      <c r="M57" s="37">
        <f>'MOD-I (EARNING) Dec-21'!L48</f>
        <v>0</v>
      </c>
      <c r="N57" s="37">
        <f>'MOD-I (EARNING) Dec-21'!M48</f>
        <v>0</v>
      </c>
      <c r="O57" s="37">
        <f>'MOD-I (EARNING) Dec-21'!N48</f>
        <v>0</v>
      </c>
      <c r="P57" s="230"/>
      <c r="Q57" s="689" t="s">
        <v>375</v>
      </c>
      <c r="R57" s="72">
        <f>'MOD-I (EARNING) Dec-21'!Q48</f>
        <v>11.14</v>
      </c>
      <c r="S57" s="72">
        <f>'MOD-I (EARNING) Dec-21'!R48</f>
        <v>11.52</v>
      </c>
      <c r="T57" s="229">
        <f>'MOD-I (EARNING) Dec-21'!S48</f>
        <v>13.36</v>
      </c>
      <c r="U57" s="72">
        <f>'MOD-I (EARNING) Dec-21'!T48</f>
        <v>11.07</v>
      </c>
      <c r="V57" s="72">
        <f>'MOD-I (EARNING) Dec-21'!U48</f>
        <v>11.58</v>
      </c>
      <c r="W57" s="229">
        <f>'MOD-I (EARNING) Dec-21'!V48</f>
        <v>14.07</v>
      </c>
      <c r="X57" s="72">
        <f>'MOD-I (EARNING) Dec-21'!W48</f>
        <v>13.57</v>
      </c>
      <c r="Y57" s="229">
        <f>'MOD-I (EARNING) Dec-21'!X48</f>
        <v>20.05</v>
      </c>
      <c r="Z57" s="229">
        <f>'MOD-I (EARNING) Dec-21'!Y48</f>
        <v>17.82</v>
      </c>
      <c r="AA57" s="229">
        <f>'MOD-I (EARNING) Dec-21'!Z48</f>
        <v>0</v>
      </c>
      <c r="AB57" s="229">
        <f>'MOD-I (EARNING) Dec-21'!AA48</f>
        <v>0</v>
      </c>
      <c r="AC57" s="229">
        <f>'MOD-I (EARNING) Dec-21'!AB48</f>
        <v>0</v>
      </c>
    </row>
    <row r="58" spans="1:29" ht="18" x14ac:dyDescent="0.25">
      <c r="A58" s="3"/>
      <c r="B58" s="596" t="s">
        <v>101</v>
      </c>
      <c r="C58" s="688" t="s">
        <v>100</v>
      </c>
      <c r="D58" s="195">
        <f>'MOD-I (EARNING) Dec-21'!C49</f>
        <v>281.32</v>
      </c>
      <c r="E58" s="195">
        <f>'MOD-I (EARNING) Dec-21'!D49</f>
        <v>371.34</v>
      </c>
      <c r="F58" s="37">
        <f>'MOD-I (EARNING) Dec-21'!E49</f>
        <v>533.41999999999996</v>
      </c>
      <c r="G58" s="195">
        <f>'MOD-I (EARNING) Dec-21'!F49</f>
        <v>518.67999999999995</v>
      </c>
      <c r="H58" s="195">
        <f>'MOD-I (EARNING) Dec-21'!G49</f>
        <v>598.32000000000005</v>
      </c>
      <c r="I58" s="195">
        <f>'MOD-I (EARNING) Dec-21'!H49</f>
        <v>762.78</v>
      </c>
      <c r="J58" s="195">
        <f>'MOD-I (EARNING) Dec-21'!I49</f>
        <v>708.36</v>
      </c>
      <c r="K58" s="195">
        <f>'MOD-I (EARNING) Dec-21'!J49</f>
        <v>657.94</v>
      </c>
      <c r="L58" s="195">
        <f>'MOD-I (EARNING) Dec-21'!K49</f>
        <v>736.16</v>
      </c>
      <c r="M58" s="195">
        <f>'MOD-I (EARNING) Dec-21'!L49</f>
        <v>802.16</v>
      </c>
      <c r="N58" s="195">
        <f>'MOD-I (EARNING) Dec-21'!M49</f>
        <v>735.93</v>
      </c>
      <c r="O58" s="195">
        <f>'MOD-I (EARNING) Dec-21'!N49</f>
        <v>868.26</v>
      </c>
      <c r="P58" s="230" t="s">
        <v>102</v>
      </c>
      <c r="Q58" s="689" t="s">
        <v>100</v>
      </c>
      <c r="R58" s="72">
        <f>'MOD-I (EARNING) Dec-21'!Q49</f>
        <v>2.77</v>
      </c>
      <c r="S58" s="72">
        <f>'MOD-I (EARNING) Dec-21'!R49</f>
        <v>4.2</v>
      </c>
      <c r="T58" s="229">
        <f>'MOD-I (EARNING) Dec-21'!S49</f>
        <v>6.94</v>
      </c>
      <c r="U58" s="72">
        <f>'MOD-I (EARNING) Dec-21'!T49</f>
        <v>35.83</v>
      </c>
      <c r="V58" s="72">
        <f>'MOD-I (EARNING) Dec-21'!U49</f>
        <v>20.43</v>
      </c>
      <c r="W58" s="72">
        <f>'MOD-I (EARNING) Dec-21'!V49</f>
        <v>6.74</v>
      </c>
      <c r="X58" s="72">
        <f>'MOD-I (EARNING) Dec-21'!W49</f>
        <v>7.23</v>
      </c>
      <c r="Y58" s="72">
        <v>13.37</v>
      </c>
      <c r="Z58" s="72">
        <f>'MOD-I (EARNING) Dec-21'!Y49</f>
        <v>11.63</v>
      </c>
      <c r="AA58" s="72">
        <f>'MOD-I (EARNING) Dec-21'!Z49</f>
        <v>14.16</v>
      </c>
      <c r="AB58" s="72">
        <f>'MOD-I (EARNING) Dec-21'!AA49</f>
        <v>5.49</v>
      </c>
      <c r="AC58" s="72">
        <f>'MOD-I (EARNING) Dec-21'!AB49</f>
        <v>55.12</v>
      </c>
    </row>
    <row r="59" spans="1:29" ht="18.75" thickBot="1" x14ac:dyDescent="0.3">
      <c r="A59" s="3"/>
      <c r="B59" s="230"/>
      <c r="C59" s="688" t="s">
        <v>375</v>
      </c>
      <c r="D59" s="195">
        <f>'MOD-I (EARNING) Dec-21'!C50</f>
        <v>759.14</v>
      </c>
      <c r="E59" s="195">
        <f>'MOD-I (EARNING) Dec-21'!D50</f>
        <v>840.33</v>
      </c>
      <c r="F59" s="37">
        <f>'MOD-I (EARNING) Dec-21'!E50</f>
        <v>730.84</v>
      </c>
      <c r="G59" s="195">
        <f>'MOD-I (EARNING) Dec-21'!F50</f>
        <v>805.66</v>
      </c>
      <c r="H59" s="195">
        <f>'MOD-I (EARNING) Dec-21'!G50</f>
        <v>785.23</v>
      </c>
      <c r="I59" s="37">
        <f>'MOD-I (EARNING) Dec-21'!H50</f>
        <v>827.39</v>
      </c>
      <c r="J59" s="195">
        <f>'MOD-I (EARNING) Dec-21'!I50</f>
        <v>973.89</v>
      </c>
      <c r="K59" s="37">
        <f>'MOD-I (EARNING) Dec-21'!J50</f>
        <v>851.79</v>
      </c>
      <c r="L59" s="37">
        <f>'MOD-I (EARNING) Dec-21'!K50</f>
        <v>880.42</v>
      </c>
      <c r="M59" s="37">
        <f>'MOD-I (EARNING) Dec-21'!L50</f>
        <v>0</v>
      </c>
      <c r="N59" s="37">
        <f>'MOD-I (EARNING) Dec-21'!M50</f>
        <v>0</v>
      </c>
      <c r="O59" s="37">
        <f>'MOD-I (EARNING) Dec-21'!N50</f>
        <v>0</v>
      </c>
      <c r="P59" s="227"/>
      <c r="Q59" s="689" t="s">
        <v>375</v>
      </c>
      <c r="R59" s="72">
        <f>'MOD-I (EARNING) Dec-21'!Q50</f>
        <v>6.46</v>
      </c>
      <c r="S59" s="72">
        <f>'MOD-I (EARNING) Dec-21'!R50</f>
        <v>4.78</v>
      </c>
      <c r="T59" s="229">
        <f>'MOD-I (EARNING) Dec-21'!S50</f>
        <v>18.39</v>
      </c>
      <c r="U59" s="72">
        <f>'MOD-I (EARNING) Dec-21'!T50</f>
        <v>44.62</v>
      </c>
      <c r="V59" s="72">
        <f>'MOD-I (EARNING) Dec-21'!U50</f>
        <v>10.41</v>
      </c>
      <c r="W59" s="229">
        <f>'MOD-I (EARNING) Dec-21'!V50</f>
        <v>10.53</v>
      </c>
      <c r="X59" s="72">
        <f>'MOD-I (EARNING) Dec-21'!W50</f>
        <v>7.71</v>
      </c>
      <c r="Y59" s="229">
        <f>'MOD-I (EARNING) Dec-21'!X50</f>
        <v>8.0500000000000007</v>
      </c>
      <c r="Z59" s="229">
        <f>'MOD-I (EARNING) Dec-21'!Y50</f>
        <v>7.16</v>
      </c>
      <c r="AA59" s="229">
        <f>'MOD-I (EARNING) Dec-21'!Z50</f>
        <v>0</v>
      </c>
      <c r="AB59" s="229">
        <f>'MOD-I (EARNING) Dec-21'!AA50</f>
        <v>0</v>
      </c>
      <c r="AC59" s="229">
        <f>'MOD-I (EARNING) Dec-21'!AB50</f>
        <v>0</v>
      </c>
    </row>
    <row r="60" spans="1:29" ht="16.5" thickBot="1" x14ac:dyDescent="0.3">
      <c r="A60" s="3"/>
      <c r="B60" s="2"/>
      <c r="C60" s="2"/>
      <c r="D60" s="2"/>
      <c r="E60" s="2"/>
      <c r="F60" s="2"/>
      <c r="G60" s="2"/>
      <c r="H60" s="39"/>
      <c r="I60" s="39"/>
      <c r="J60" s="39"/>
      <c r="K60" s="231"/>
      <c r="L60" s="39"/>
      <c r="M60" s="39"/>
      <c r="N60" s="2"/>
      <c r="O60" s="2"/>
      <c r="P60" s="2"/>
      <c r="Q60" s="2"/>
      <c r="R60" s="189"/>
      <c r="S60" s="76"/>
      <c r="T60" s="232"/>
      <c r="U60" s="76"/>
      <c r="V60" s="76"/>
      <c r="W60" s="233"/>
      <c r="X60" s="233"/>
      <c r="Y60" s="233"/>
      <c r="Z60" s="233"/>
      <c r="AA60" s="233"/>
      <c r="AB60" s="233"/>
      <c r="AC60" s="234"/>
    </row>
    <row r="61" spans="1:29" ht="15.75" x14ac:dyDescent="0.25">
      <c r="A61" s="3"/>
      <c r="B61" s="235" t="s">
        <v>103</v>
      </c>
      <c r="C61" s="236"/>
      <c r="D61" s="236"/>
      <c r="E61" s="236"/>
      <c r="F61" s="237"/>
      <c r="G61" s="237"/>
      <c r="H61" s="231"/>
      <c r="I61" s="231"/>
      <c r="J61" s="231"/>
      <c r="K61" s="468"/>
      <c r="L61" s="231"/>
      <c r="M61" s="231"/>
      <c r="N61" s="231"/>
      <c r="O61" s="231"/>
      <c r="P61" s="239"/>
      <c r="Q61" s="231"/>
      <c r="R61" s="240"/>
      <c r="S61" s="241"/>
      <c r="T61" s="242"/>
      <c r="U61" s="243"/>
      <c r="V61" s="76"/>
      <c r="W61" s="233"/>
      <c r="X61" s="233"/>
      <c r="Y61" s="233"/>
      <c r="Z61" s="233"/>
      <c r="AA61" s="233"/>
      <c r="AB61" s="233"/>
      <c r="AC61" s="234"/>
    </row>
    <row r="62" spans="1:29" ht="15.75" x14ac:dyDescent="0.25">
      <c r="A62" s="3"/>
      <c r="B62" s="244"/>
      <c r="C62" s="184" t="s">
        <v>104</v>
      </c>
      <c r="D62" s="184"/>
      <c r="E62" s="184"/>
      <c r="F62" s="39"/>
      <c r="G62" s="39"/>
      <c r="H62" s="116"/>
      <c r="I62" s="245"/>
      <c r="J62" s="238"/>
      <c r="K62" s="238"/>
      <c r="L62" s="2"/>
      <c r="M62" s="2"/>
      <c r="N62" s="2"/>
      <c r="O62" s="2"/>
      <c r="P62" s="2"/>
      <c r="Q62" s="2"/>
      <c r="R62" s="189"/>
      <c r="S62" s="247"/>
      <c r="T62" s="248"/>
      <c r="U62" s="249"/>
      <c r="V62" s="76"/>
      <c r="W62" s="233"/>
      <c r="X62" s="233"/>
      <c r="Y62" s="233"/>
      <c r="Z62" s="233"/>
      <c r="AA62" s="233"/>
      <c r="AB62" s="233"/>
      <c r="AC62" s="234"/>
    </row>
    <row r="63" spans="1:29" ht="16.5" thickBot="1" x14ac:dyDescent="0.3">
      <c r="A63" s="250"/>
      <c r="B63" s="251" t="s">
        <v>105</v>
      </c>
      <c r="C63" s="252"/>
      <c r="D63" s="252"/>
      <c r="E63" s="252"/>
      <c r="F63" s="252"/>
      <c r="G63" s="252"/>
      <c r="H63" s="253"/>
      <c r="I63" s="254"/>
      <c r="J63" s="246"/>
      <c r="K63" s="255"/>
      <c r="L63" s="255"/>
      <c r="M63" s="255"/>
      <c r="N63" s="255"/>
      <c r="O63" s="255"/>
      <c r="P63" s="255"/>
      <c r="Q63" s="255"/>
      <c r="R63" s="256"/>
      <c r="S63" s="256"/>
      <c r="T63" s="256"/>
      <c r="U63" s="257"/>
      <c r="V63" s="252"/>
      <c r="W63" s="258"/>
      <c r="X63" s="258"/>
      <c r="Y63" s="258"/>
      <c r="Z63" s="258"/>
      <c r="AA63" s="258"/>
      <c r="AB63" s="258"/>
      <c r="AC63" s="259"/>
    </row>
    <row r="65" spans="19:22" ht="20.25" x14ac:dyDescent="0.3">
      <c r="S65" s="593"/>
      <c r="T65" s="750" t="s">
        <v>352</v>
      </c>
      <c r="U65" s="593"/>
      <c r="V65" s="593"/>
    </row>
    <row r="66" spans="19:22" ht="31.5" x14ac:dyDescent="0.25">
      <c r="S66" s="594" t="s">
        <v>58</v>
      </c>
      <c r="T66" s="744" t="s">
        <v>400</v>
      </c>
      <c r="U66" s="744" t="s">
        <v>402</v>
      </c>
      <c r="V66" s="745" t="s">
        <v>82</v>
      </c>
    </row>
    <row r="67" spans="19:22" ht="18" x14ac:dyDescent="0.25">
      <c r="S67" s="735" t="s">
        <v>63</v>
      </c>
      <c r="T67" s="739">
        <v>428.5</v>
      </c>
      <c r="U67" s="739">
        <v>506.9</v>
      </c>
      <c r="V67" s="746">
        <f t="shared" ref="V67:V73" si="27">(U67-T67)/T67</f>
        <v>0.18296382730455071</v>
      </c>
    </row>
    <row r="68" spans="19:22" ht="18" x14ac:dyDescent="0.25">
      <c r="S68" s="735" t="s">
        <v>65</v>
      </c>
      <c r="T68" s="747">
        <v>389.4</v>
      </c>
      <c r="U68" s="748">
        <v>439.82</v>
      </c>
      <c r="V68" s="746">
        <f t="shared" si="27"/>
        <v>0.12948125321006682</v>
      </c>
    </row>
    <row r="69" spans="19:22" ht="18" x14ac:dyDescent="0.25">
      <c r="S69" s="735" t="s">
        <v>67</v>
      </c>
      <c r="T69" s="748">
        <v>190.13</v>
      </c>
      <c r="U69" s="748">
        <v>156.30000000000001</v>
      </c>
      <c r="V69" s="746">
        <f>(U69-T69)/T69</f>
        <v>-0.17793088939146892</v>
      </c>
    </row>
    <row r="70" spans="19:22" ht="18" x14ac:dyDescent="0.25">
      <c r="S70" s="735" t="s">
        <v>69</v>
      </c>
      <c r="T70" s="748">
        <v>322.2</v>
      </c>
      <c r="U70" s="748">
        <v>389.54</v>
      </c>
      <c r="V70" s="746">
        <f t="shared" si="27"/>
        <v>0.20900062073246442</v>
      </c>
    </row>
    <row r="71" spans="19:22" ht="18" x14ac:dyDescent="0.25">
      <c r="S71" s="735" t="s">
        <v>71</v>
      </c>
      <c r="T71" s="748">
        <v>111.92</v>
      </c>
      <c r="U71" s="748">
        <v>345.53</v>
      </c>
      <c r="V71" s="746">
        <f t="shared" si="27"/>
        <v>2.0872944960686199</v>
      </c>
    </row>
    <row r="72" spans="19:22" ht="18" x14ac:dyDescent="0.25">
      <c r="S72" s="735" t="s">
        <v>73</v>
      </c>
      <c r="T72" s="748">
        <v>686.9</v>
      </c>
      <c r="U72" s="747">
        <v>944.35</v>
      </c>
      <c r="V72" s="746">
        <f t="shared" si="27"/>
        <v>0.37479982530208189</v>
      </c>
    </row>
    <row r="73" spans="19:22" ht="18" x14ac:dyDescent="0.25">
      <c r="S73" s="736" t="s">
        <v>127</v>
      </c>
      <c r="T73" s="748">
        <v>1629.4</v>
      </c>
      <c r="U73" s="747">
        <v>2925.19</v>
      </c>
      <c r="V73" s="746">
        <f t="shared" si="27"/>
        <v>0.79525592242543264</v>
      </c>
    </row>
    <row r="74" spans="19:22" ht="18" x14ac:dyDescent="0.25">
      <c r="S74" s="735" t="s">
        <v>85</v>
      </c>
      <c r="T74" s="738">
        <f>SUM(T67:T73)</f>
        <v>3758.4500000000003</v>
      </c>
      <c r="U74" s="738">
        <f>SUM(U67:U73)</f>
        <v>5707.63</v>
      </c>
      <c r="V74" s="746">
        <f t="shared" ref="V74" si="28">(U74-T74)/T74</f>
        <v>0.51861272599076735</v>
      </c>
    </row>
    <row r="75" spans="19:22" ht="23.25" x14ac:dyDescent="0.35">
      <c r="T75" s="732"/>
      <c r="U75" s="732"/>
      <c r="V75" s="732"/>
    </row>
  </sheetData>
  <mergeCells count="1">
    <mergeCell ref="L4:Q4"/>
  </mergeCells>
  <pageMargins left="0.25" right="0" top="0.25" bottom="0" header="0" footer="0"/>
  <pageSetup paperSize="9" scale="31" orientation="landscape" r:id="rId1"/>
  <rowBreaks count="1" manualBreakCount="1">
    <brk id="6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2"/>
  <sheetViews>
    <sheetView view="pageBreakPreview" topLeftCell="A16" zoomScale="90" zoomScaleNormal="100" zoomScaleSheetLayoutView="90" workbookViewId="0">
      <selection activeCell="A21" sqref="A21"/>
    </sheetView>
  </sheetViews>
  <sheetFormatPr defaultRowHeight="15" x14ac:dyDescent="0.25"/>
  <cols>
    <col min="1" max="1" width="4" customWidth="1"/>
    <col min="2" max="2" width="22.140625" customWidth="1"/>
    <col min="3" max="3" width="9.28515625" customWidth="1"/>
    <col min="4" max="4" width="10.7109375" customWidth="1"/>
    <col min="5" max="5" width="10.28515625" customWidth="1"/>
    <col min="6" max="6" width="10.140625" customWidth="1"/>
    <col min="7" max="7" width="12.28515625" customWidth="1"/>
    <col min="8" max="8" width="9.5703125" customWidth="1"/>
    <col min="9" max="9" width="10.42578125" customWidth="1"/>
    <col min="10" max="10" width="10.7109375" customWidth="1"/>
    <col min="11" max="11" width="8.7109375" customWidth="1"/>
    <col min="12" max="12" width="10.140625" customWidth="1"/>
    <col min="13" max="13" width="7.28515625" customWidth="1"/>
    <col min="14" max="14" width="1" customWidth="1"/>
    <col min="15" max="15" width="8.42578125" customWidth="1"/>
    <col min="16" max="16" width="7.140625" customWidth="1"/>
    <col min="18" max="18" width="13.85546875" customWidth="1"/>
    <col min="19" max="19" width="10.42578125" bestFit="1" customWidth="1"/>
    <col min="20" max="20" width="9.28515625" bestFit="1" customWidth="1"/>
    <col min="21" max="21" width="9.85546875" bestFit="1" customWidth="1"/>
    <col min="23" max="23" width="10.42578125" customWidth="1"/>
    <col min="24" max="24" width="11.28515625" bestFit="1" customWidth="1"/>
    <col min="25" max="25" width="9.42578125" bestFit="1" customWidth="1"/>
  </cols>
  <sheetData>
    <row r="1" spans="1:26" x14ac:dyDescent="0.25">
      <c r="A1" s="556"/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</row>
    <row r="2" spans="1:26" ht="15.75" thickBot="1" x14ac:dyDescent="0.3">
      <c r="A2" s="556"/>
      <c r="B2" s="438" t="s">
        <v>286</v>
      </c>
      <c r="C2" s="438" t="s">
        <v>249</v>
      </c>
      <c r="D2" s="438"/>
      <c r="E2" s="556"/>
      <c r="F2" s="556"/>
      <c r="G2" s="752" t="s">
        <v>427</v>
      </c>
      <c r="H2" s="582"/>
      <c r="I2" s="582"/>
      <c r="J2" s="556"/>
      <c r="K2" s="556"/>
      <c r="L2" s="556"/>
      <c r="M2" s="556"/>
      <c r="N2" s="556"/>
      <c r="O2" s="581" t="s">
        <v>283</v>
      </c>
      <c r="P2" s="581"/>
    </row>
    <row r="3" spans="1:26" ht="60" x14ac:dyDescent="0.25">
      <c r="A3" s="557" t="s">
        <v>282</v>
      </c>
      <c r="B3" s="558" t="s">
        <v>271</v>
      </c>
      <c r="C3" s="634" t="s">
        <v>384</v>
      </c>
      <c r="D3" s="634" t="s">
        <v>430</v>
      </c>
      <c r="E3" s="558" t="s">
        <v>7</v>
      </c>
      <c r="F3" s="558" t="s">
        <v>272</v>
      </c>
      <c r="G3" s="559" t="s">
        <v>273</v>
      </c>
      <c r="H3" s="559" t="s">
        <v>274</v>
      </c>
      <c r="I3" s="559" t="s">
        <v>275</v>
      </c>
      <c r="J3" s="558" t="s">
        <v>8</v>
      </c>
      <c r="K3" s="558" t="s">
        <v>277</v>
      </c>
      <c r="L3" s="558" t="s">
        <v>270</v>
      </c>
      <c r="M3" s="558" t="s">
        <v>287</v>
      </c>
      <c r="N3" s="560"/>
      <c r="O3" s="560" t="s">
        <v>276</v>
      </c>
      <c r="P3" s="561" t="s">
        <v>275</v>
      </c>
      <c r="Q3" s="427"/>
      <c r="R3" s="638" t="s">
        <v>364</v>
      </c>
      <c r="S3" s="626" t="s">
        <v>372</v>
      </c>
      <c r="T3" s="626" t="s">
        <v>365</v>
      </c>
      <c r="U3" s="626" t="s">
        <v>361</v>
      </c>
      <c r="W3" s="626" t="s">
        <v>366</v>
      </c>
      <c r="X3" s="626" t="s">
        <v>373</v>
      </c>
      <c r="Y3" s="626" t="s">
        <v>272</v>
      </c>
      <c r="Z3" s="637"/>
    </row>
    <row r="4" spans="1:26" x14ac:dyDescent="0.25">
      <c r="A4" s="562">
        <v>1</v>
      </c>
      <c r="B4" s="563" t="s">
        <v>11</v>
      </c>
      <c r="C4" s="564">
        <f>'VITAL (Ear.+Exp.) Dec-21'!O10</f>
        <v>2070.88</v>
      </c>
      <c r="D4" s="564">
        <f>'VITAL (Ear.+Exp.) Dec-21'!P21</f>
        <v>4584.01</v>
      </c>
      <c r="E4" s="565">
        <f>(D4-C4)/C4</f>
        <v>1.2135565556671559</v>
      </c>
      <c r="F4" s="564">
        <f>D4/365</f>
        <v>12.558931506849316</v>
      </c>
      <c r="G4" s="566">
        <f>'VITAL (Ear.+Exp.) Dec-21'!O21</f>
        <v>1111.73</v>
      </c>
      <c r="H4" s="566">
        <f>'VITAL (Ear.+Exp.) Dec-21'!Q21</f>
        <v>4157.62</v>
      </c>
      <c r="I4" s="566">
        <f>'VITAL (Ear.+Exp.) Dec-21'!R21</f>
        <v>2893.76</v>
      </c>
      <c r="J4" s="564">
        <f>I4-H4</f>
        <v>-1263.8599999999997</v>
      </c>
      <c r="K4" s="431">
        <f>J4/H4</f>
        <v>-0.30398641530490994</v>
      </c>
      <c r="L4" s="563">
        <f>I4-G4</f>
        <v>1782.0300000000002</v>
      </c>
      <c r="M4" s="431">
        <f>L4/G4</f>
        <v>1.602934165669722</v>
      </c>
      <c r="N4" s="431"/>
      <c r="O4" s="564">
        <f>G4/275</f>
        <v>4.0426545454545453</v>
      </c>
      <c r="P4" s="567">
        <f>I4/275</f>
        <v>10.522763636363637</v>
      </c>
      <c r="R4" s="459">
        <f>D4-I4</f>
        <v>1690.25</v>
      </c>
      <c r="S4" s="459">
        <f>R4/1</f>
        <v>1690.25</v>
      </c>
      <c r="T4" s="459">
        <f>S4/28</f>
        <v>60.366071428571431</v>
      </c>
      <c r="U4" s="459">
        <f>I4/11</f>
        <v>263.0690909090909</v>
      </c>
      <c r="W4" s="459">
        <f>C4-I4</f>
        <v>-822.88000000000011</v>
      </c>
      <c r="X4" s="459">
        <f>W4/1</f>
        <v>-822.88000000000011</v>
      </c>
      <c r="Y4" s="459">
        <f>X4/28</f>
        <v>-29.388571428571431</v>
      </c>
    </row>
    <row r="5" spans="1:26" x14ac:dyDescent="0.25">
      <c r="A5" s="562">
        <v>2</v>
      </c>
      <c r="B5" s="563" t="s">
        <v>12</v>
      </c>
      <c r="C5" s="564">
        <f>'VITAL (Ear.+Exp.) Dec-21'!O11</f>
        <v>81.069999999999993</v>
      </c>
      <c r="D5" s="564">
        <f>'VITAL (Ear.+Exp.) Dec-21'!P22</f>
        <v>169.45</v>
      </c>
      <c r="E5" s="565">
        <f t="shared" ref="E5:E8" si="0">(D5-C5)/C5</f>
        <v>1.0901689897619342</v>
      </c>
      <c r="F5" s="564">
        <f t="shared" ref="F5:F8" si="1">D5/365</f>
        <v>0.46424657534246572</v>
      </c>
      <c r="G5" s="566">
        <f>'VITAL (Ear.+Exp.) Dec-21'!O22</f>
        <v>52.31</v>
      </c>
      <c r="H5" s="566">
        <f>'VITAL (Ear.+Exp.) Dec-21'!Q22</f>
        <v>166.86</v>
      </c>
      <c r="I5" s="566">
        <f>'VITAL (Ear.+Exp.) Dec-21'!R22</f>
        <v>124.18</v>
      </c>
      <c r="J5" s="564">
        <f t="shared" ref="J5:J8" si="2">I5-H5</f>
        <v>-42.680000000000007</v>
      </c>
      <c r="K5" s="431">
        <f t="shared" ref="K5:K8" si="3">J5/H5</f>
        <v>-0.2557832913819969</v>
      </c>
      <c r="L5" s="563">
        <f t="shared" ref="L5:L7" si="4">I5-G5</f>
        <v>71.87</v>
      </c>
      <c r="M5" s="431">
        <f t="shared" ref="M5:M7" si="5">L5/G5</f>
        <v>1.3739246797935385</v>
      </c>
      <c r="N5" s="431"/>
      <c r="O5" s="564">
        <f t="shared" ref="O5:O8" si="6">G5/275</f>
        <v>0.19021818181818181</v>
      </c>
      <c r="P5" s="567">
        <f t="shared" ref="P5:P8" si="7">I5/275</f>
        <v>0.45156363636363639</v>
      </c>
      <c r="R5" s="459">
        <f>D5-I5</f>
        <v>45.269999999999982</v>
      </c>
      <c r="S5" s="459">
        <f t="shared" ref="S5:S8" si="8">R5/1</f>
        <v>45.269999999999982</v>
      </c>
      <c r="T5" s="459">
        <f t="shared" ref="T5:T8" si="9">S5/28</f>
        <v>1.6167857142857136</v>
      </c>
      <c r="U5" s="459">
        <f t="shared" ref="U5:U8" si="10">I5/11</f>
        <v>11.289090909090909</v>
      </c>
      <c r="W5" s="459">
        <f t="shared" ref="W5:W7" si="11">C5-I5</f>
        <v>-43.110000000000014</v>
      </c>
      <c r="X5" s="459">
        <f t="shared" ref="X5:X8" si="12">W5/1</f>
        <v>-43.110000000000014</v>
      </c>
      <c r="Y5" s="459">
        <f t="shared" ref="Y5:Y8" si="13">X5/28</f>
        <v>-1.5396428571428575</v>
      </c>
    </row>
    <row r="6" spans="1:26" x14ac:dyDescent="0.25">
      <c r="A6" s="562">
        <v>3</v>
      </c>
      <c r="B6" s="563" t="s">
        <v>13</v>
      </c>
      <c r="C6" s="564">
        <f>'VITAL (Ear.+Exp.) Dec-21'!O12</f>
        <v>7577.66</v>
      </c>
      <c r="D6" s="564">
        <f>'VITAL (Ear.+Exp.) Dec-21'!P23</f>
        <v>10484.08</v>
      </c>
      <c r="E6" s="565">
        <f t="shared" si="0"/>
        <v>0.38355112264208213</v>
      </c>
      <c r="F6" s="564">
        <f t="shared" si="1"/>
        <v>28.723506849315068</v>
      </c>
      <c r="G6" s="566">
        <f>'VITAL (Ear.+Exp.) Dec-21'!O23</f>
        <v>5168.32</v>
      </c>
      <c r="H6" s="566">
        <f>'VITAL (Ear.+Exp.) Dec-21'!Q23</f>
        <v>5968.58</v>
      </c>
      <c r="I6" s="566">
        <f>'VITAL (Ear.+Exp.) Dec-21'!R23</f>
        <v>7454.69</v>
      </c>
      <c r="J6" s="564">
        <f t="shared" si="2"/>
        <v>1486.1099999999997</v>
      </c>
      <c r="K6" s="431">
        <f t="shared" si="3"/>
        <v>0.24898887172493284</v>
      </c>
      <c r="L6" s="563">
        <f t="shared" si="4"/>
        <v>2286.37</v>
      </c>
      <c r="M6" s="431">
        <f t="shared" si="5"/>
        <v>0.44238166367407589</v>
      </c>
      <c r="N6" s="431"/>
      <c r="O6" s="564">
        <f t="shared" si="6"/>
        <v>18.793890909090909</v>
      </c>
      <c r="P6" s="567">
        <f t="shared" si="7"/>
        <v>27.107963636363635</v>
      </c>
      <c r="R6" s="459">
        <f t="shared" ref="R6:R8" si="14">D6-I6</f>
        <v>3029.3900000000003</v>
      </c>
      <c r="S6" s="459">
        <f t="shared" si="8"/>
        <v>3029.3900000000003</v>
      </c>
      <c r="T6" s="459">
        <f t="shared" si="9"/>
        <v>108.19250000000001</v>
      </c>
      <c r="U6" s="459">
        <f t="shared" si="10"/>
        <v>677.69909090909084</v>
      </c>
      <c r="W6" s="459">
        <f>C6-I6</f>
        <v>122.97000000000025</v>
      </c>
      <c r="X6" s="459">
        <f t="shared" si="12"/>
        <v>122.97000000000025</v>
      </c>
      <c r="Y6" s="459">
        <f t="shared" si="13"/>
        <v>4.3917857142857235</v>
      </c>
    </row>
    <row r="7" spans="1:26" x14ac:dyDescent="0.25">
      <c r="A7" s="562">
        <v>4</v>
      </c>
      <c r="B7" s="563" t="s">
        <v>14</v>
      </c>
      <c r="C7" s="564">
        <f>'VITAL (Ear.+Exp.) Dec-21'!O13</f>
        <v>186.56</v>
      </c>
      <c r="D7" s="564">
        <f>'VITAL (Ear.+Exp.) Dec-21'!P24</f>
        <v>233.08</v>
      </c>
      <c r="E7" s="565">
        <f t="shared" si="0"/>
        <v>0.24935677530017158</v>
      </c>
      <c r="F7" s="564">
        <f t="shared" si="1"/>
        <v>0.63857534246575343</v>
      </c>
      <c r="G7" s="566">
        <f>'VITAL (Ear.+Exp.) Dec-21'!O24</f>
        <v>111.79</v>
      </c>
      <c r="H7" s="566">
        <f>'VITAL (Ear.+Exp.) Dec-21'!Q24</f>
        <v>181.94</v>
      </c>
      <c r="I7" s="566">
        <f>'VITAL (Ear.+Exp.) Dec-21'!R24</f>
        <v>118.11</v>
      </c>
      <c r="J7" s="564">
        <f t="shared" si="2"/>
        <v>-63.83</v>
      </c>
      <c r="K7" s="431">
        <f t="shared" si="3"/>
        <v>-0.35082994393756184</v>
      </c>
      <c r="L7" s="563">
        <f t="shared" si="4"/>
        <v>6.3199999999999932</v>
      </c>
      <c r="M7" s="431">
        <f t="shared" si="5"/>
        <v>5.6534573754360794E-2</v>
      </c>
      <c r="N7" s="431"/>
      <c r="O7" s="564">
        <f t="shared" si="6"/>
        <v>0.40650909090909093</v>
      </c>
      <c r="P7" s="567">
        <f t="shared" si="7"/>
        <v>0.42949090909090909</v>
      </c>
      <c r="R7" s="459">
        <f t="shared" si="14"/>
        <v>114.97000000000001</v>
      </c>
      <c r="S7" s="459">
        <f t="shared" si="8"/>
        <v>114.97000000000001</v>
      </c>
      <c r="T7" s="459">
        <f t="shared" si="9"/>
        <v>4.106071428571429</v>
      </c>
      <c r="U7" s="459">
        <f t="shared" si="10"/>
        <v>10.737272727272726</v>
      </c>
      <c r="W7" s="459">
        <f t="shared" si="11"/>
        <v>68.45</v>
      </c>
      <c r="X7" s="459">
        <f t="shared" si="12"/>
        <v>68.45</v>
      </c>
      <c r="Y7" s="459">
        <f t="shared" si="13"/>
        <v>2.4446428571428571</v>
      </c>
    </row>
    <row r="8" spans="1:26" ht="15.75" thickBot="1" x14ac:dyDescent="0.3">
      <c r="A8" s="562">
        <v>5</v>
      </c>
      <c r="B8" s="568" t="s">
        <v>15</v>
      </c>
      <c r="C8" s="569">
        <f>SUM(C4:C7)</f>
        <v>9916.17</v>
      </c>
      <c r="D8" s="569">
        <f>SUM(D4:D7)</f>
        <v>15470.62</v>
      </c>
      <c r="E8" s="565">
        <f t="shared" si="0"/>
        <v>0.56014065914561784</v>
      </c>
      <c r="F8" s="564">
        <f t="shared" si="1"/>
        <v>42.385260273972605</v>
      </c>
      <c r="G8" s="570">
        <f>SUM(G4:G7)</f>
        <v>6444.15</v>
      </c>
      <c r="H8" s="570">
        <f t="shared" ref="H8:I8" si="15">SUM(H4:H7)</f>
        <v>10475</v>
      </c>
      <c r="I8" s="570">
        <f t="shared" si="15"/>
        <v>10590.74</v>
      </c>
      <c r="J8" s="564">
        <f t="shared" si="2"/>
        <v>115.73999999999978</v>
      </c>
      <c r="K8" s="434">
        <f t="shared" si="3"/>
        <v>1.1049164677804275E-2</v>
      </c>
      <c r="L8" s="568">
        <f>I8-G8</f>
        <v>4146.59</v>
      </c>
      <c r="M8" s="434">
        <f>L8/G8</f>
        <v>0.64346577903990443</v>
      </c>
      <c r="N8" s="434"/>
      <c r="O8" s="564">
        <f t="shared" si="6"/>
        <v>23.433272727272726</v>
      </c>
      <c r="P8" s="567">
        <f t="shared" si="7"/>
        <v>38.511781818181817</v>
      </c>
      <c r="R8" s="459">
        <f t="shared" si="14"/>
        <v>4879.880000000001</v>
      </c>
      <c r="S8" s="459">
        <f t="shared" si="8"/>
        <v>4879.880000000001</v>
      </c>
      <c r="T8" s="459">
        <f t="shared" si="9"/>
        <v>174.28142857142862</v>
      </c>
      <c r="U8" s="459">
        <f t="shared" si="10"/>
        <v>962.79454545454541</v>
      </c>
      <c r="W8" s="459">
        <f>C8-I8</f>
        <v>-674.56999999999971</v>
      </c>
      <c r="X8" s="459">
        <f t="shared" si="12"/>
        <v>-674.56999999999971</v>
      </c>
      <c r="Y8" s="459">
        <f t="shared" si="13"/>
        <v>-24.091785714285702</v>
      </c>
    </row>
    <row r="11" spans="1:26" ht="15.75" thickBot="1" x14ac:dyDescent="0.3">
      <c r="B11" s="438" t="s">
        <v>288</v>
      </c>
      <c r="C11" s="438" t="s">
        <v>289</v>
      </c>
      <c r="G11" s="934" t="s">
        <v>427</v>
      </c>
      <c r="H11" s="934"/>
      <c r="I11" s="934"/>
      <c r="O11" s="935" t="s">
        <v>283</v>
      </c>
      <c r="P11" s="936"/>
    </row>
    <row r="12" spans="1:26" ht="45" x14ac:dyDescent="0.25">
      <c r="A12" s="429" t="s">
        <v>282</v>
      </c>
      <c r="B12" s="428" t="s">
        <v>271</v>
      </c>
      <c r="C12" s="428" t="s">
        <v>384</v>
      </c>
      <c r="D12" s="773" t="s">
        <v>430</v>
      </c>
      <c r="E12" s="428" t="s">
        <v>7</v>
      </c>
      <c r="F12" s="428" t="s">
        <v>272</v>
      </c>
      <c r="G12" s="448" t="s">
        <v>273</v>
      </c>
      <c r="H12" s="448" t="s">
        <v>274</v>
      </c>
      <c r="I12" s="448" t="s">
        <v>275</v>
      </c>
      <c r="J12" s="428" t="s">
        <v>8</v>
      </c>
      <c r="K12" s="428" t="s">
        <v>277</v>
      </c>
      <c r="L12" s="428" t="s">
        <v>270</v>
      </c>
      <c r="M12" s="428" t="s">
        <v>287</v>
      </c>
      <c r="N12" s="428"/>
      <c r="O12" s="428" t="s">
        <v>276</v>
      </c>
      <c r="P12" s="428" t="s">
        <v>275</v>
      </c>
      <c r="W12" s="626" t="s">
        <v>367</v>
      </c>
      <c r="X12" s="626" t="s">
        <v>373</v>
      </c>
      <c r="Y12" s="626" t="s">
        <v>272</v>
      </c>
    </row>
    <row r="13" spans="1:26" x14ac:dyDescent="0.25">
      <c r="A13" s="429">
        <v>1</v>
      </c>
      <c r="B13" s="429" t="s">
        <v>11</v>
      </c>
      <c r="C13" s="430">
        <f>'VITAL (Ear.+Exp.) Dec-21'!B26</f>
        <v>799.32</v>
      </c>
      <c r="D13" s="430">
        <f>'VITAL (Ear.+Exp.) Dec-21'!B37</f>
        <v>1596.42</v>
      </c>
      <c r="E13" s="565">
        <f>(D13-C13)/C13</f>
        <v>0.99722263924335686</v>
      </c>
      <c r="F13" s="564">
        <f>D13/365</f>
        <v>4.3737534246575347</v>
      </c>
      <c r="G13" s="458">
        <f>'VITAL (Ear.+Exp.) Dec-21'!C37</f>
        <v>428.77</v>
      </c>
      <c r="H13" s="458">
        <f>'VITAL (Ear.+Exp.) Dec-21'!D37</f>
        <v>1190.7</v>
      </c>
      <c r="I13" s="458">
        <f>'VITAL (Ear.+Exp.) Dec-21'!E37</f>
        <v>1290.99</v>
      </c>
      <c r="J13" s="564">
        <f>I13-H13</f>
        <v>100.28999999999996</v>
      </c>
      <c r="K13" s="431">
        <f>J13/H13</f>
        <v>8.4227765180146102E-2</v>
      </c>
      <c r="L13" s="429">
        <f>I13-G13</f>
        <v>862.22</v>
      </c>
      <c r="M13" s="431">
        <f>L13/G13</f>
        <v>2.0109149427431956</v>
      </c>
      <c r="N13" s="431"/>
      <c r="O13" s="430">
        <f>G13/275</f>
        <v>1.5591636363636363</v>
      </c>
      <c r="P13" s="430">
        <f>I13/275</f>
        <v>4.694509090909091</v>
      </c>
      <c r="W13" s="459">
        <f>C13-I13</f>
        <v>-491.66999999999996</v>
      </c>
      <c r="X13" s="454">
        <f>W13/1</f>
        <v>-491.66999999999996</v>
      </c>
      <c r="Y13" s="459">
        <f>X13/28</f>
        <v>-17.559642857142855</v>
      </c>
    </row>
    <row r="14" spans="1:26" x14ac:dyDescent="0.25">
      <c r="A14" s="429">
        <v>2</v>
      </c>
      <c r="B14" s="429" t="s">
        <v>12</v>
      </c>
      <c r="C14" s="430">
        <f>'VITAL (Ear.+Exp.) Dec-21'!B27</f>
        <v>77.489999999999995</v>
      </c>
      <c r="D14" s="430">
        <f>'VITAL (Ear.+Exp.) Dec-21'!B38</f>
        <v>85.24</v>
      </c>
      <c r="E14" s="565">
        <f t="shared" ref="E14:E17" si="16">(D14-C14)/C14</f>
        <v>0.10001290489095367</v>
      </c>
      <c r="F14" s="564">
        <f t="shared" ref="F14:F15" si="17">D14/365</f>
        <v>0.23353424657534244</v>
      </c>
      <c r="G14" s="458">
        <f>'VITAL (Ear.+Exp.) Dec-21'!C38</f>
        <v>45.19</v>
      </c>
      <c r="H14" s="458">
        <f>'VITAL (Ear.+Exp.) Dec-21'!D38</f>
        <v>49.7</v>
      </c>
      <c r="I14" s="458">
        <f>'VITAL (Ear.+Exp.) Dec-21'!E38</f>
        <v>111.59</v>
      </c>
      <c r="J14" s="564">
        <f t="shared" ref="J14:J17" si="18">I14-H14</f>
        <v>61.89</v>
      </c>
      <c r="K14" s="431">
        <f t="shared" ref="K14:K17" si="19">J14/H14</f>
        <v>1.2452716297786719</v>
      </c>
      <c r="L14" s="429">
        <f t="shared" ref="L14:L17" si="20">I14-G14</f>
        <v>66.400000000000006</v>
      </c>
      <c r="M14" s="431">
        <f t="shared" ref="M14:M17" si="21">L14/G14</f>
        <v>1.4693516264660325</v>
      </c>
      <c r="N14" s="431"/>
      <c r="O14" s="430">
        <f t="shared" ref="O14:O17" si="22">G14/275</f>
        <v>0.16432727272727271</v>
      </c>
      <c r="P14" s="430">
        <f t="shared" ref="P14:P17" si="23">I14/275</f>
        <v>0.40578181818181819</v>
      </c>
      <c r="W14" s="459">
        <f t="shared" ref="W14:W17" si="24">C14-I14</f>
        <v>-34.100000000000009</v>
      </c>
      <c r="X14" s="454">
        <f t="shared" ref="X14:X17" si="25">W14/1</f>
        <v>-34.100000000000009</v>
      </c>
      <c r="Y14" s="459">
        <f t="shared" ref="Y14:Y16" si="26">X14/28</f>
        <v>-1.2178571428571432</v>
      </c>
    </row>
    <row r="15" spans="1:26" x14ac:dyDescent="0.25">
      <c r="A15" s="429">
        <v>3</v>
      </c>
      <c r="B15" s="429" t="s">
        <v>13</v>
      </c>
      <c r="C15" s="430">
        <f>'VITAL (Ear.+Exp.) Dec-21'!B28</f>
        <v>1764.98</v>
      </c>
      <c r="D15" s="430">
        <f>'VITAL (Ear.+Exp.) Dec-21'!B39</f>
        <v>1862.37</v>
      </c>
      <c r="E15" s="565">
        <f t="shared" si="16"/>
        <v>5.5179095513830115E-2</v>
      </c>
      <c r="F15" s="564">
        <f t="shared" si="17"/>
        <v>5.1023835616438351</v>
      </c>
      <c r="G15" s="458">
        <f>'VITAL (Ear.+Exp.) Dec-21'!C39</f>
        <v>1280.27</v>
      </c>
      <c r="H15" s="458">
        <f>'VITAL (Ear.+Exp.) Dec-21'!D39</f>
        <v>1348.9</v>
      </c>
      <c r="I15" s="458">
        <f>'VITAL (Ear.+Exp.) Dec-21'!E39</f>
        <v>1455.79</v>
      </c>
      <c r="J15" s="564">
        <f t="shared" si="18"/>
        <v>106.88999999999987</v>
      </c>
      <c r="K15" s="431">
        <f t="shared" si="19"/>
        <v>7.9242345614945406E-2</v>
      </c>
      <c r="L15" s="429">
        <f t="shared" si="20"/>
        <v>175.51999999999998</v>
      </c>
      <c r="M15" s="431">
        <f t="shared" si="21"/>
        <v>0.13709608129535175</v>
      </c>
      <c r="N15" s="431"/>
      <c r="O15" s="430">
        <f t="shared" si="22"/>
        <v>4.655527272727273</v>
      </c>
      <c r="P15" s="430">
        <f t="shared" si="23"/>
        <v>5.2937818181818184</v>
      </c>
      <c r="W15" s="459">
        <f t="shared" si="24"/>
        <v>309.19000000000005</v>
      </c>
      <c r="X15" s="454">
        <f t="shared" si="25"/>
        <v>309.19000000000005</v>
      </c>
      <c r="Y15" s="459">
        <f t="shared" si="26"/>
        <v>11.042500000000002</v>
      </c>
    </row>
    <row r="16" spans="1:26" x14ac:dyDescent="0.25">
      <c r="A16" s="429">
        <v>4</v>
      </c>
      <c r="B16" s="429" t="s">
        <v>14</v>
      </c>
      <c r="C16" s="430">
        <f>'VITAL (Ear.+Exp.) Dec-21'!B29</f>
        <v>186.56</v>
      </c>
      <c r="D16" s="429">
        <v>162.93</v>
      </c>
      <c r="E16" s="565">
        <f t="shared" si="16"/>
        <v>-0.12666166380789021</v>
      </c>
      <c r="F16" s="430">
        <f>D16/365</f>
        <v>0.44638356164383564</v>
      </c>
      <c r="G16" s="458">
        <f>'VITAL (Ear.+Exp.) Dec-21'!C40</f>
        <v>111.79</v>
      </c>
      <c r="H16" s="458">
        <f>'VITAL (Ear.+Exp.) Dec-21'!D40</f>
        <v>181.94</v>
      </c>
      <c r="I16" s="458">
        <f>'VITAL (Ear.+Exp.) Dec-21'!E40</f>
        <v>118.11</v>
      </c>
      <c r="J16" s="564">
        <f t="shared" si="18"/>
        <v>-63.83</v>
      </c>
      <c r="K16" s="431">
        <f t="shared" si="19"/>
        <v>-0.35082994393756184</v>
      </c>
      <c r="L16" s="429">
        <f t="shared" si="20"/>
        <v>6.3199999999999932</v>
      </c>
      <c r="M16" s="431">
        <f t="shared" si="21"/>
        <v>5.6534573754360794E-2</v>
      </c>
      <c r="N16" s="431"/>
      <c r="O16" s="430">
        <f t="shared" si="22"/>
        <v>0.40650909090909093</v>
      </c>
      <c r="P16" s="430">
        <f t="shared" si="23"/>
        <v>0.42949090909090909</v>
      </c>
      <c r="W16" s="459">
        <f t="shared" si="24"/>
        <v>68.45</v>
      </c>
      <c r="X16" s="454">
        <f t="shared" si="25"/>
        <v>68.45</v>
      </c>
      <c r="Y16" s="459">
        <f t="shared" si="26"/>
        <v>2.4446428571428571</v>
      </c>
    </row>
    <row r="17" spans="1:25" x14ac:dyDescent="0.25">
      <c r="A17" s="429">
        <v>5</v>
      </c>
      <c r="B17" s="429" t="s">
        <v>15</v>
      </c>
      <c r="C17" s="430">
        <f>SUM(C13:C16)</f>
        <v>2828.35</v>
      </c>
      <c r="D17" s="430">
        <f>SUM(D13:D16)</f>
        <v>3706.9599999999996</v>
      </c>
      <c r="E17" s="565">
        <f t="shared" si="16"/>
        <v>0.31064401506178502</v>
      </c>
      <c r="F17" s="430">
        <f>D17/365</f>
        <v>10.156054794520546</v>
      </c>
      <c r="G17" s="458">
        <f>SUM(G13:G16)</f>
        <v>1866.02</v>
      </c>
      <c r="H17" s="458">
        <f t="shared" ref="H17:I17" si="27">SUM(H13:H16)</f>
        <v>2771.2400000000002</v>
      </c>
      <c r="I17" s="458">
        <f t="shared" si="27"/>
        <v>2976.48</v>
      </c>
      <c r="J17" s="564">
        <f t="shared" si="18"/>
        <v>205.23999999999978</v>
      </c>
      <c r="K17" s="431">
        <f t="shared" si="19"/>
        <v>7.4060709285373977E-2</v>
      </c>
      <c r="L17" s="429">
        <f t="shared" si="20"/>
        <v>1110.46</v>
      </c>
      <c r="M17" s="431">
        <f t="shared" si="21"/>
        <v>0.59509544377873769</v>
      </c>
      <c r="N17" s="431"/>
      <c r="O17" s="430">
        <f t="shared" si="22"/>
        <v>6.7855272727272729</v>
      </c>
      <c r="P17" s="430">
        <f t="shared" si="23"/>
        <v>10.823563636363636</v>
      </c>
      <c r="W17" s="459">
        <f t="shared" si="24"/>
        <v>-148.13000000000011</v>
      </c>
      <c r="X17" s="454">
        <f t="shared" si="25"/>
        <v>-148.13000000000011</v>
      </c>
      <c r="Y17" s="459">
        <f>X17/28</f>
        <v>-5.2903571428571468</v>
      </c>
    </row>
    <row r="19" spans="1:25" x14ac:dyDescent="0.25">
      <c r="J19" s="937" t="s">
        <v>290</v>
      </c>
      <c r="K19" s="937"/>
    </row>
    <row r="20" spans="1:25" ht="15.75" thickBot="1" x14ac:dyDescent="0.3">
      <c r="A20" s="930"/>
      <c r="B20" s="931"/>
      <c r="C20" s="931"/>
      <c r="D20" s="931"/>
      <c r="E20" s="932"/>
      <c r="F20" s="933" t="s">
        <v>427</v>
      </c>
      <c r="G20" s="933"/>
      <c r="H20" s="933"/>
      <c r="I20" s="933"/>
      <c r="J20" s="933"/>
      <c r="K20" s="933"/>
      <c r="L20" s="429"/>
    </row>
    <row r="21" spans="1:25" ht="30" x14ac:dyDescent="0.25">
      <c r="A21" s="449" t="s">
        <v>282</v>
      </c>
      <c r="B21" s="446" t="s">
        <v>284</v>
      </c>
      <c r="C21" s="446" t="s">
        <v>376</v>
      </c>
      <c r="D21" s="773" t="s">
        <v>430</v>
      </c>
      <c r="E21" s="446" t="s">
        <v>7</v>
      </c>
      <c r="F21" s="450" t="s">
        <v>276</v>
      </c>
      <c r="G21" s="450" t="s">
        <v>274</v>
      </c>
      <c r="H21" s="450" t="s">
        <v>285</v>
      </c>
      <c r="I21" s="446" t="s">
        <v>291</v>
      </c>
      <c r="J21" s="446" t="s">
        <v>292</v>
      </c>
      <c r="K21" s="446" t="s">
        <v>293</v>
      </c>
      <c r="L21" s="446" t="s">
        <v>437</v>
      </c>
      <c r="M21" s="440"/>
      <c r="N21" s="440"/>
      <c r="O21" s="440"/>
      <c r="P21" s="417"/>
    </row>
    <row r="22" spans="1:25" ht="30" x14ac:dyDescent="0.25">
      <c r="A22" s="432">
        <v>1</v>
      </c>
      <c r="B22" s="428" t="s">
        <v>251</v>
      </c>
      <c r="C22" s="430">
        <f>'VITAL (Ear.+Exp.) Dec-21'!V7</f>
        <v>390.85</v>
      </c>
      <c r="D22" s="430">
        <f>'VITAL (Ear.+Exp.) Dec-21'!V25</f>
        <v>418.3</v>
      </c>
      <c r="E22" s="565">
        <f>(D22-C22)/C22</f>
        <v>7.0231546629141578E-2</v>
      </c>
      <c r="F22" s="458">
        <f>'VITAL (Ear.+Exp.) Dec-21'!W25</f>
        <v>304.2</v>
      </c>
      <c r="G22" s="458">
        <f>'VITAL (Ear.+Exp.) Dec-21'!X25</f>
        <v>327.76</v>
      </c>
      <c r="H22" s="458">
        <f>'VITAL (Ear.+Exp.) Dec-21'!Y25</f>
        <v>319.3</v>
      </c>
      <c r="I22" s="430">
        <f>H22-G22</f>
        <v>-8.4599999999999795</v>
      </c>
      <c r="J22" s="435">
        <f>I22/G22</f>
        <v>-2.581156944105437E-2</v>
      </c>
      <c r="K22" s="435">
        <f>(H22-F22)/F22</f>
        <v>4.9638395792242024E-2</v>
      </c>
      <c r="L22" s="435">
        <f>H22/D22</f>
        <v>0.76332775519961749</v>
      </c>
      <c r="M22" s="441"/>
      <c r="N22" s="441"/>
      <c r="O22" s="441"/>
      <c r="P22" s="417"/>
    </row>
    <row r="23" spans="1:25" ht="30" x14ac:dyDescent="0.25">
      <c r="A23" s="432">
        <v>2</v>
      </c>
      <c r="B23" s="428" t="s">
        <v>252</v>
      </c>
      <c r="C23" s="430">
        <f>'VITAL (Ear.+Exp.) Dec-21'!V8</f>
        <v>951.47</v>
      </c>
      <c r="D23" s="430">
        <f>'VITAL (Ear.+Exp.) Dec-21'!V26</f>
        <v>934.5</v>
      </c>
      <c r="E23" s="565">
        <f t="shared" ref="E23:E42" si="28">(D23-C23)/C23</f>
        <v>-1.7835559712865386E-2</v>
      </c>
      <c r="F23" s="458">
        <f>'VITAL (Ear.+Exp.) Dec-21'!W26</f>
        <v>732.15</v>
      </c>
      <c r="G23" s="458">
        <f>'VITAL (Ear.+Exp.) Dec-21'!X26</f>
        <v>728.5</v>
      </c>
      <c r="H23" s="458">
        <f>'VITAL (Ear.+Exp.) Dec-21'!Y26</f>
        <v>742.01</v>
      </c>
      <c r="I23" s="430">
        <f t="shared" ref="I23:I34" si="29">H23-G23</f>
        <v>13.509999999999991</v>
      </c>
      <c r="J23" s="435">
        <f t="shared" ref="J23:J40" si="30">I23/G23</f>
        <v>1.8544955387783103E-2</v>
      </c>
      <c r="K23" s="435">
        <f t="shared" ref="K23:K42" si="31">(H23-F23)/F23</f>
        <v>1.3467185685993326E-2</v>
      </c>
      <c r="L23" s="435">
        <f t="shared" ref="L23:L40" si="32">H23/D23</f>
        <v>0.79401819154628139</v>
      </c>
      <c r="M23" s="441"/>
      <c r="N23" s="441"/>
      <c r="O23" s="441"/>
      <c r="P23" s="417"/>
    </row>
    <row r="24" spans="1:25" ht="30" x14ac:dyDescent="0.25">
      <c r="A24" s="432">
        <v>3</v>
      </c>
      <c r="B24" s="428" t="s">
        <v>253</v>
      </c>
      <c r="C24" s="430">
        <f>'VITAL (Ear.+Exp.) Dec-21'!V9</f>
        <v>278.83</v>
      </c>
      <c r="D24" s="430">
        <f>'VITAL (Ear.+Exp.) Dec-21'!V27</f>
        <v>231</v>
      </c>
      <c r="E24" s="565">
        <f t="shared" si="28"/>
        <v>-0.17153821324821572</v>
      </c>
      <c r="F24" s="458">
        <f>'VITAL (Ear.+Exp.) Dec-21'!W27</f>
        <v>216.41</v>
      </c>
      <c r="G24" s="458">
        <f>'VITAL (Ear.+Exp.) Dec-21'!X27</f>
        <v>188.96</v>
      </c>
      <c r="H24" s="458">
        <f>'VITAL (Ear.+Exp.) Dec-21'!Y27</f>
        <v>199.5</v>
      </c>
      <c r="I24" s="430">
        <f t="shared" si="29"/>
        <v>10.539999999999992</v>
      </c>
      <c r="J24" s="435">
        <f t="shared" si="30"/>
        <v>5.5779000846740007E-2</v>
      </c>
      <c r="K24" s="435">
        <f t="shared" si="31"/>
        <v>-7.8138718173836691E-2</v>
      </c>
      <c r="L24" s="435">
        <f t="shared" si="32"/>
        <v>0.86363636363636365</v>
      </c>
      <c r="M24" s="441"/>
      <c r="N24" s="441"/>
      <c r="O24" s="441"/>
      <c r="P24" s="417"/>
    </row>
    <row r="25" spans="1:25" ht="30" x14ac:dyDescent="0.25">
      <c r="A25" s="432">
        <v>4</v>
      </c>
      <c r="B25" s="428" t="s">
        <v>254</v>
      </c>
      <c r="C25" s="430">
        <f>'VITAL (Ear.+Exp.) Dec-21'!V10</f>
        <v>531.71</v>
      </c>
      <c r="D25" s="430">
        <f>'VITAL (Ear.+Exp.) Dec-21'!V28</f>
        <v>564</v>
      </c>
      <c r="E25" s="565">
        <f t="shared" si="28"/>
        <v>6.0728592653890204E-2</v>
      </c>
      <c r="F25" s="458">
        <f>'VITAL (Ear.+Exp.) Dec-21'!W28</f>
        <v>390.39</v>
      </c>
      <c r="G25" s="458">
        <f>'VITAL (Ear.+Exp.) Dec-21'!X28</f>
        <v>375.75</v>
      </c>
      <c r="H25" s="458">
        <f>'VITAL (Ear.+Exp.) Dec-21'!Y28</f>
        <v>425.22</v>
      </c>
      <c r="I25" s="430">
        <f t="shared" si="29"/>
        <v>49.470000000000027</v>
      </c>
      <c r="J25" s="435">
        <f t="shared" si="30"/>
        <v>0.13165668662674657</v>
      </c>
      <c r="K25" s="435">
        <f t="shared" si="31"/>
        <v>8.9218473833858558E-2</v>
      </c>
      <c r="L25" s="435">
        <f t="shared" si="32"/>
        <v>0.75393617021276604</v>
      </c>
      <c r="M25" s="441"/>
      <c r="N25" s="441"/>
      <c r="O25" s="441"/>
      <c r="P25" s="417"/>
    </row>
    <row r="26" spans="1:25" ht="30" x14ac:dyDescent="0.25">
      <c r="A26" s="432">
        <v>5</v>
      </c>
      <c r="B26" s="428" t="s">
        <v>255</v>
      </c>
      <c r="C26" s="430">
        <f>'VITAL (Ear.+Exp.) Dec-21'!V11</f>
        <v>569.17999999999995</v>
      </c>
      <c r="D26" s="430">
        <f>'VITAL (Ear.+Exp.) Dec-21'!V29</f>
        <v>568.6</v>
      </c>
      <c r="E26" s="565">
        <f t="shared" si="28"/>
        <v>-1.019009803576948E-3</v>
      </c>
      <c r="F26" s="458">
        <f>'VITAL (Ear.+Exp.) Dec-21'!W29</f>
        <v>433.74</v>
      </c>
      <c r="G26" s="458">
        <f>'VITAL (Ear.+Exp.) Dec-21'!X29</f>
        <v>427.96</v>
      </c>
      <c r="H26" s="458">
        <f>'VITAL (Ear.+Exp.) Dec-21'!Y29</f>
        <v>455.43</v>
      </c>
      <c r="I26" s="430">
        <f t="shared" si="29"/>
        <v>27.470000000000027</v>
      </c>
      <c r="J26" s="435">
        <f t="shared" si="30"/>
        <v>6.4188241891765654E-2</v>
      </c>
      <c r="K26" s="435">
        <f t="shared" si="31"/>
        <v>5.0006916585973157E-2</v>
      </c>
      <c r="L26" s="435">
        <f t="shared" si="32"/>
        <v>0.80096728807597606</v>
      </c>
      <c r="M26" s="441"/>
      <c r="N26" s="441"/>
      <c r="O26" s="441"/>
      <c r="P26" s="417"/>
    </row>
    <row r="27" spans="1:25" ht="30" x14ac:dyDescent="0.25">
      <c r="A27" s="432">
        <v>6</v>
      </c>
      <c r="B27" s="428" t="s">
        <v>257</v>
      </c>
      <c r="C27" s="430">
        <f>'VITAL (Ear.+Exp.) Dec-21'!V12</f>
        <v>1005.83</v>
      </c>
      <c r="D27" s="430">
        <f>'VITAL (Ear.+Exp.) Dec-21'!V30</f>
        <v>1094.8</v>
      </c>
      <c r="E27" s="565">
        <f t="shared" si="28"/>
        <v>8.8454311364743451E-2</v>
      </c>
      <c r="F27" s="458">
        <f>'VITAL (Ear.+Exp.) Dec-21'!W30</f>
        <v>754.52</v>
      </c>
      <c r="G27" s="458">
        <f>'VITAL (Ear.+Exp.) Dec-21'!X30</f>
        <v>798.05</v>
      </c>
      <c r="H27" s="458">
        <f>'VITAL (Ear.+Exp.) Dec-21'!Y30</f>
        <v>902.71</v>
      </c>
      <c r="I27" s="430">
        <f t="shared" si="29"/>
        <v>104.66000000000008</v>
      </c>
      <c r="J27" s="435">
        <f t="shared" si="30"/>
        <v>0.13114466512123313</v>
      </c>
      <c r="K27" s="435">
        <f t="shared" si="31"/>
        <v>0.1964030111859196</v>
      </c>
      <c r="L27" s="435">
        <f t="shared" si="32"/>
        <v>0.82454329557910122</v>
      </c>
      <c r="M27" s="441"/>
      <c r="N27" s="441"/>
      <c r="O27" s="441"/>
      <c r="P27" s="417"/>
    </row>
    <row r="28" spans="1:25" x14ac:dyDescent="0.25">
      <c r="A28" s="432">
        <v>7</v>
      </c>
      <c r="B28" s="428" t="s">
        <v>258</v>
      </c>
      <c r="C28" s="430">
        <f>'VITAL (Ear.+Exp.) Dec-21'!V13</f>
        <v>2096.1999999999998</v>
      </c>
      <c r="D28" s="430">
        <f>'VITAL (Ear.+Exp.) Dec-21'!V32</f>
        <v>2539.6</v>
      </c>
      <c r="E28" s="565">
        <f t="shared" si="28"/>
        <v>0.21152561778456261</v>
      </c>
      <c r="F28" s="458">
        <f>'VITAL (Ear.+Exp.) Dec-21'!W32</f>
        <v>2111.5700000000002</v>
      </c>
      <c r="G28" s="458">
        <f>'VITAL (Ear.+Exp.) Dec-21'!X32</f>
        <v>2151.4299999999998</v>
      </c>
      <c r="H28" s="458">
        <f>'VITAL (Ear.+Exp.) Dec-21'!Y32</f>
        <v>2095.11</v>
      </c>
      <c r="I28" s="430">
        <f t="shared" si="29"/>
        <v>-56.319999999999709</v>
      </c>
      <c r="J28" s="435">
        <f t="shared" si="30"/>
        <v>-2.6177937464848828E-2</v>
      </c>
      <c r="K28" s="435">
        <f t="shared" si="31"/>
        <v>-7.7951476863187272E-3</v>
      </c>
      <c r="L28" s="435">
        <f t="shared" si="32"/>
        <v>0.82497637423216263</v>
      </c>
      <c r="M28" s="441"/>
      <c r="N28" s="441"/>
      <c r="O28" s="441"/>
      <c r="P28" s="417"/>
    </row>
    <row r="29" spans="1:25" x14ac:dyDescent="0.25">
      <c r="A29" s="432">
        <v>8</v>
      </c>
      <c r="B29" s="428" t="s">
        <v>259</v>
      </c>
      <c r="C29" s="430">
        <f>'VITAL (Ear.+Exp.) Dec-21'!V14</f>
        <v>941.31</v>
      </c>
      <c r="D29" s="430">
        <f>'VITAL (Ear.+Exp.) Dec-21'!V34</f>
        <v>1290.7</v>
      </c>
      <c r="E29" s="565">
        <f t="shared" si="28"/>
        <v>0.37117421465829548</v>
      </c>
      <c r="F29" s="458">
        <f>'VITAL (Ear.+Exp.) Dec-21'!W34</f>
        <v>676.92</v>
      </c>
      <c r="G29" s="458">
        <f>'VITAL (Ear.+Exp.) Dec-21'!X34</f>
        <v>706.75</v>
      </c>
      <c r="H29" s="458">
        <f>'VITAL (Ear.+Exp.) Dec-21'!Y34</f>
        <v>1139.5</v>
      </c>
      <c r="I29" s="430">
        <f t="shared" si="29"/>
        <v>432.75</v>
      </c>
      <c r="J29" s="435">
        <f t="shared" si="30"/>
        <v>0.61230986911920759</v>
      </c>
      <c r="K29" s="435">
        <f t="shared" si="31"/>
        <v>0.68335992436329263</v>
      </c>
      <c r="L29" s="435">
        <f t="shared" si="32"/>
        <v>0.88285426512745024</v>
      </c>
      <c r="M29" s="441"/>
      <c r="N29" s="441"/>
      <c r="O29" s="441"/>
      <c r="P29" s="417"/>
    </row>
    <row r="30" spans="1:25" x14ac:dyDescent="0.25">
      <c r="A30" s="432">
        <v>9</v>
      </c>
      <c r="B30" s="428" t="s">
        <v>260</v>
      </c>
      <c r="C30" s="430">
        <f>'VITAL (Ear.+Exp.) Dec-21'!V15</f>
        <v>382.44</v>
      </c>
      <c r="D30" s="430">
        <f>'VITAL (Ear.+Exp.) Dec-21'!V35</f>
        <v>387.4</v>
      </c>
      <c r="E30" s="565">
        <f t="shared" si="28"/>
        <v>1.2969354670013544E-2</v>
      </c>
      <c r="F30" s="458">
        <f>'VITAL (Ear.+Exp.) Dec-21'!W35</f>
        <v>311.2</v>
      </c>
      <c r="G30" s="458">
        <f>'VITAL (Ear.+Exp.) Dec-21'!X35</f>
        <v>308.27</v>
      </c>
      <c r="H30" s="458">
        <f>'VITAL (Ear.+Exp.) Dec-21'!Y35</f>
        <v>339.13</v>
      </c>
      <c r="I30" s="430">
        <f t="shared" si="29"/>
        <v>30.860000000000014</v>
      </c>
      <c r="J30" s="435">
        <f t="shared" si="30"/>
        <v>0.1001070490154735</v>
      </c>
      <c r="K30" s="435">
        <f t="shared" si="31"/>
        <v>8.974935732647818E-2</v>
      </c>
      <c r="L30" s="435">
        <f t="shared" si="32"/>
        <v>0.87540010325245232</v>
      </c>
      <c r="M30" s="441"/>
      <c r="N30" s="441"/>
      <c r="O30" s="441"/>
      <c r="P30" s="417"/>
    </row>
    <row r="31" spans="1:25" x14ac:dyDescent="0.25">
      <c r="A31" s="432">
        <v>10</v>
      </c>
      <c r="B31" s="428" t="s">
        <v>261</v>
      </c>
      <c r="C31" s="430">
        <f>'VITAL (Ear.+Exp.) Dec-21'!V16</f>
        <v>422.07</v>
      </c>
      <c r="D31" s="430">
        <f>'VITAL (Ear.+Exp.) Dec-21'!V36-1</f>
        <v>373.05</v>
      </c>
      <c r="E31" s="565">
        <f t="shared" si="28"/>
        <v>-0.11614187220129359</v>
      </c>
      <c r="F31" s="458">
        <f>'VITAL (Ear.+Exp.) Dec-21'!W36</f>
        <v>328.06</v>
      </c>
      <c r="G31" s="458">
        <f>'VITAL (Ear.+Exp.) Dec-21'!X36</f>
        <v>277.45</v>
      </c>
      <c r="H31" s="458">
        <f>'VITAL (Ear.+Exp.) Dec-21'!Y36</f>
        <v>356.24</v>
      </c>
      <c r="I31" s="430">
        <f t="shared" si="29"/>
        <v>78.79000000000002</v>
      </c>
      <c r="J31" s="435">
        <f t="shared" si="30"/>
        <v>0.28397909533249244</v>
      </c>
      <c r="K31" s="435">
        <f t="shared" si="31"/>
        <v>8.5898920929098357E-2</v>
      </c>
      <c r="L31" s="435">
        <f t="shared" si="32"/>
        <v>0.95493901621766519</v>
      </c>
      <c r="M31" s="441"/>
      <c r="N31" s="441"/>
      <c r="O31" s="441"/>
      <c r="P31" s="417"/>
    </row>
    <row r="32" spans="1:25" x14ac:dyDescent="0.25">
      <c r="A32" s="432">
        <v>11</v>
      </c>
      <c r="B32" s="428" t="s">
        <v>262</v>
      </c>
      <c r="C32" s="430">
        <f>'VITAL (Ear.+Exp.) Dec-21'!V17</f>
        <v>248.15</v>
      </c>
      <c r="D32" s="430">
        <f>'VITAL (Ear.+Exp.) Dec-21'!V37</f>
        <v>304.10000000000002</v>
      </c>
      <c r="E32" s="565">
        <f t="shared" si="28"/>
        <v>0.225468466653234</v>
      </c>
      <c r="F32" s="458">
        <f>'VITAL (Ear.+Exp.) Dec-21'!W37</f>
        <v>206.1</v>
      </c>
      <c r="G32" s="458">
        <f>'VITAL (Ear.+Exp.) Dec-21'!X37</f>
        <v>224</v>
      </c>
      <c r="H32" s="458">
        <f>'VITAL (Ear.+Exp.) Dec-21'!Y37</f>
        <v>232.68</v>
      </c>
      <c r="I32" s="430">
        <f t="shared" si="29"/>
        <v>8.6800000000000068</v>
      </c>
      <c r="J32" s="435">
        <f t="shared" si="30"/>
        <v>3.8750000000000027E-2</v>
      </c>
      <c r="K32" s="435">
        <f t="shared" si="31"/>
        <v>0.12896652110625917</v>
      </c>
      <c r="L32" s="435">
        <f t="shared" si="32"/>
        <v>0.76514304505097008</v>
      </c>
      <c r="M32" s="441"/>
      <c r="N32" s="441"/>
      <c r="O32" s="441"/>
      <c r="P32" s="417"/>
    </row>
    <row r="33" spans="1:16" x14ac:dyDescent="0.25">
      <c r="A33" s="432">
        <v>12</v>
      </c>
      <c r="B33" s="428" t="s">
        <v>263</v>
      </c>
      <c r="C33" s="430">
        <f>'VITAL (Ear.+Exp.) Dec-21'!V18</f>
        <v>7818.0399999999981</v>
      </c>
      <c r="D33" s="430">
        <f>'VITAL (Ear.+Exp.) Dec-21'!V38</f>
        <v>8707.0499999999993</v>
      </c>
      <c r="E33" s="565">
        <f t="shared" si="28"/>
        <v>0.11371264408982319</v>
      </c>
      <c r="F33" s="458">
        <f>SUM(F22:F32)</f>
        <v>6465.2600000000011</v>
      </c>
      <c r="G33" s="458">
        <f t="shared" ref="G33:H33" si="33">SUM(G22:G32)</f>
        <v>6514.88</v>
      </c>
      <c r="H33" s="458">
        <f t="shared" si="33"/>
        <v>7206.8300000000008</v>
      </c>
      <c r="I33" s="430">
        <f t="shared" si="29"/>
        <v>691.95000000000073</v>
      </c>
      <c r="J33" s="435">
        <f t="shared" si="30"/>
        <v>0.10621070533916215</v>
      </c>
      <c r="K33" s="435">
        <f t="shared" si="31"/>
        <v>0.11470072355945463</v>
      </c>
      <c r="L33" s="435">
        <f t="shared" si="32"/>
        <v>0.82770054151520911</v>
      </c>
      <c r="M33" s="441"/>
      <c r="N33" s="441"/>
      <c r="O33" s="441"/>
      <c r="P33" s="417"/>
    </row>
    <row r="34" spans="1:16" x14ac:dyDescent="0.25">
      <c r="A34" s="432">
        <v>13</v>
      </c>
      <c r="B34" s="428" t="s">
        <v>16</v>
      </c>
      <c r="C34" s="430">
        <f>'VITAL (Ear.+Exp.) Dec-21'!V19</f>
        <v>-16.73</v>
      </c>
      <c r="D34" s="430">
        <f>'VITAL (Ear.+Exp.) Dec-21'!V39</f>
        <v>-5.95</v>
      </c>
      <c r="E34" s="565">
        <f t="shared" si="28"/>
        <v>-0.64435146443514646</v>
      </c>
      <c r="F34" s="458">
        <f>'VITAL (Ear.+Exp.) Dec-21'!W39</f>
        <v>293.39</v>
      </c>
      <c r="G34" s="458">
        <f>'VITAL (Ear.+Exp.) Dec-21'!X39</f>
        <v>-5.35</v>
      </c>
      <c r="H34" s="458">
        <f>'VITAL (Ear.+Exp.) Dec-21'!Y39</f>
        <v>330.04</v>
      </c>
      <c r="I34" s="430">
        <f t="shared" si="29"/>
        <v>335.39000000000004</v>
      </c>
      <c r="J34" s="435">
        <f t="shared" si="30"/>
        <v>-62.689719626168234</v>
      </c>
      <c r="K34" s="435">
        <f t="shared" si="31"/>
        <v>0.12491904972902974</v>
      </c>
      <c r="L34" s="435">
        <f t="shared" si="32"/>
        <v>-55.468907563025212</v>
      </c>
      <c r="M34" s="441"/>
      <c r="N34" s="441"/>
      <c r="O34" s="441"/>
      <c r="P34" s="417"/>
    </row>
    <row r="35" spans="1:16" x14ac:dyDescent="0.25">
      <c r="A35" s="451">
        <v>14</v>
      </c>
      <c r="B35" s="555" t="s">
        <v>264</v>
      </c>
      <c r="C35" s="452">
        <f>C33+C34</f>
        <v>7801.3099999999986</v>
      </c>
      <c r="D35" s="467">
        <f t="shared" ref="D35" si="34">D33+D34</f>
        <v>8701.0999999999985</v>
      </c>
      <c r="E35" s="722">
        <f t="shared" si="28"/>
        <v>0.11533832138448544</v>
      </c>
      <c r="F35" s="467">
        <f>F33+F34</f>
        <v>6758.6500000000015</v>
      </c>
      <c r="G35" s="467">
        <f t="shared" ref="G35:I35" si="35">G33+G34</f>
        <v>6509.53</v>
      </c>
      <c r="H35" s="467">
        <f t="shared" si="35"/>
        <v>7536.8700000000008</v>
      </c>
      <c r="I35" s="467">
        <f t="shared" si="35"/>
        <v>1027.3400000000008</v>
      </c>
      <c r="J35" s="453">
        <f t="shared" si="30"/>
        <v>0.15782091794645708</v>
      </c>
      <c r="K35" s="453">
        <f t="shared" si="31"/>
        <v>0.11514429656810149</v>
      </c>
      <c r="L35" s="453">
        <f t="shared" si="32"/>
        <v>0.86619737734309477</v>
      </c>
      <c r="M35" s="441"/>
      <c r="N35" s="441"/>
      <c r="O35" s="441"/>
      <c r="P35" s="417"/>
    </row>
    <row r="36" spans="1:16" x14ac:dyDescent="0.25">
      <c r="A36" s="432">
        <v>15</v>
      </c>
      <c r="B36" s="428" t="s">
        <v>265</v>
      </c>
      <c r="C36" s="429">
        <v>9</v>
      </c>
      <c r="D36" s="430">
        <f>'VITAL (Ear.+Exp.) Dec-21'!V41</f>
        <v>31</v>
      </c>
      <c r="E36" s="565">
        <f t="shared" si="28"/>
        <v>2.4444444444444446</v>
      </c>
      <c r="F36" s="458">
        <f>'VITAL (Ear.+Exp.) Dec-21'!W41</f>
        <v>24</v>
      </c>
      <c r="G36" s="458">
        <f>'VITAL (Ear.+Exp.) Dec-21'!X41</f>
        <v>23.25</v>
      </c>
      <c r="H36" s="458">
        <f>'VITAL (Ear.+Exp.) Dec-21'!Y41</f>
        <v>23.25</v>
      </c>
      <c r="I36" s="430">
        <f>H36-G36</f>
        <v>0</v>
      </c>
      <c r="J36" s="435">
        <f t="shared" si="30"/>
        <v>0</v>
      </c>
      <c r="K36" s="435">
        <f t="shared" si="31"/>
        <v>-3.125E-2</v>
      </c>
      <c r="L36" s="435">
        <f t="shared" si="32"/>
        <v>0.75</v>
      </c>
      <c r="M36" s="441"/>
      <c r="N36" s="441"/>
      <c r="O36" s="441"/>
      <c r="P36" s="417"/>
    </row>
    <row r="37" spans="1:16" ht="30" x14ac:dyDescent="0.25">
      <c r="A37" s="432">
        <v>16</v>
      </c>
      <c r="B37" s="428" t="s">
        <v>266</v>
      </c>
      <c r="C37" s="429">
        <v>29</v>
      </c>
      <c r="D37" s="430">
        <f>'VITAL (Ear.+Exp.) Dec-21'!V42</f>
        <v>2841</v>
      </c>
      <c r="E37" s="565">
        <f t="shared" si="28"/>
        <v>96.965517241379317</v>
      </c>
      <c r="F37" s="458">
        <f>'VITAL (Ear.+Exp.) Dec-21'!W42</f>
        <v>2172.75</v>
      </c>
      <c r="G37" s="458">
        <f>'VITAL (Ear.+Exp.) Dec-21'!X42</f>
        <v>2130.75</v>
      </c>
      <c r="H37" s="458">
        <f>'VITAL (Ear.+Exp.) Dec-21'!Y42</f>
        <v>2130.75</v>
      </c>
      <c r="I37" s="430">
        <f>H37-G37</f>
        <v>0</v>
      </c>
      <c r="J37" s="435">
        <f t="shared" si="30"/>
        <v>0</v>
      </c>
      <c r="K37" s="435">
        <f t="shared" si="31"/>
        <v>-1.9330341732827064E-2</v>
      </c>
      <c r="L37" s="435">
        <f t="shared" si="32"/>
        <v>0.75</v>
      </c>
      <c r="M37" s="441"/>
      <c r="N37" s="441"/>
      <c r="O37" s="441"/>
      <c r="P37" s="417"/>
    </row>
    <row r="38" spans="1:16" ht="30" x14ac:dyDescent="0.25">
      <c r="A38" s="432">
        <v>17</v>
      </c>
      <c r="B38" s="428" t="s">
        <v>267</v>
      </c>
      <c r="C38" s="429">
        <f>C35+C36+C37-C34</f>
        <v>7856.0399999999981</v>
      </c>
      <c r="D38" s="429">
        <f>D35+D36+D37-D34</f>
        <v>11579.05</v>
      </c>
      <c r="E38" s="565">
        <f t="shared" si="28"/>
        <v>0.47390415527415874</v>
      </c>
      <c r="F38" s="458">
        <f>F33+F36+F37</f>
        <v>8662.010000000002</v>
      </c>
      <c r="G38" s="458">
        <f>G33+G36+G37</f>
        <v>8668.880000000001</v>
      </c>
      <c r="H38" s="458">
        <f t="shared" ref="H38:I38" si="36">H33+H36+H37</f>
        <v>9360.8300000000017</v>
      </c>
      <c r="I38" s="550">
        <f t="shared" si="36"/>
        <v>691.95000000000073</v>
      </c>
      <c r="J38" s="435">
        <f t="shared" si="30"/>
        <v>7.9819999815431822E-2</v>
      </c>
      <c r="K38" s="435">
        <f t="shared" si="31"/>
        <v>8.0676424986810172E-2</v>
      </c>
      <c r="L38" s="435">
        <f t="shared" si="32"/>
        <v>0.80842815256864786</v>
      </c>
      <c r="M38" s="441"/>
      <c r="N38" s="441"/>
      <c r="O38" s="441"/>
      <c r="P38" s="417"/>
    </row>
    <row r="39" spans="1:16" x14ac:dyDescent="0.25">
      <c r="A39" s="432"/>
      <c r="B39" s="428"/>
      <c r="C39" s="429"/>
      <c r="D39" s="429"/>
      <c r="E39" s="565"/>
      <c r="F39" s="447"/>
      <c r="G39" s="447"/>
      <c r="H39" s="447"/>
      <c r="I39" s="429"/>
      <c r="J39" s="435"/>
      <c r="K39" s="435"/>
      <c r="L39" s="435"/>
      <c r="M39" s="441"/>
      <c r="N39" s="441"/>
      <c r="O39" s="441"/>
      <c r="P39" s="417"/>
    </row>
    <row r="40" spans="1:16" x14ac:dyDescent="0.25">
      <c r="A40" s="432">
        <v>18</v>
      </c>
      <c r="B40" s="428" t="s">
        <v>268</v>
      </c>
      <c r="C40" s="430">
        <f>'VITAL (Ear.+Exp.) Dec-21'!O14</f>
        <v>9916.17</v>
      </c>
      <c r="D40" s="430">
        <f>'VITAL (Ear.+Exp.) Dec-21'!P25</f>
        <v>15470.62</v>
      </c>
      <c r="E40" s="565">
        <f t="shared" si="28"/>
        <v>0.56014065914561784</v>
      </c>
      <c r="F40" s="458">
        <f>'VITAL (Ear.+Exp.) Dec-21'!O25</f>
        <v>6444.15</v>
      </c>
      <c r="G40" s="458">
        <f>'VITAL (Ear.+Exp.) Dec-21'!Q25</f>
        <v>10475</v>
      </c>
      <c r="H40" s="458">
        <f>'VITAL (Ear.+Exp.) Dec-21'!R25</f>
        <v>10590.74</v>
      </c>
      <c r="I40" s="430">
        <f>H40-G40</f>
        <v>115.73999999999978</v>
      </c>
      <c r="J40" s="435">
        <f t="shared" si="30"/>
        <v>1.1049164677804275E-2</v>
      </c>
      <c r="K40" s="435">
        <f t="shared" si="31"/>
        <v>0.64346577903990443</v>
      </c>
      <c r="L40" s="435">
        <f t="shared" si="32"/>
        <v>0.68457114194518376</v>
      </c>
      <c r="M40" s="441"/>
      <c r="N40" s="441"/>
      <c r="O40" s="441"/>
      <c r="P40" s="417"/>
    </row>
    <row r="41" spans="1:16" x14ac:dyDescent="0.25">
      <c r="A41" s="432"/>
      <c r="B41" s="428"/>
      <c r="C41" s="429"/>
      <c r="D41" s="429"/>
      <c r="E41" s="565"/>
      <c r="F41" s="447"/>
      <c r="G41" s="447"/>
      <c r="H41" s="447"/>
      <c r="I41" s="429"/>
      <c r="J41" s="435"/>
      <c r="K41" s="435"/>
      <c r="L41" s="429"/>
      <c r="M41" s="441"/>
      <c r="N41" s="441"/>
      <c r="O41" s="441"/>
      <c r="P41" s="417"/>
    </row>
    <row r="42" spans="1:16" ht="15.75" thickBot="1" x14ac:dyDescent="0.3">
      <c r="A42" s="436">
        <v>19</v>
      </c>
      <c r="B42" s="433" t="s">
        <v>269</v>
      </c>
      <c r="C42" s="437">
        <f>C38/C40</f>
        <v>0.79224539313061371</v>
      </c>
      <c r="D42" s="437">
        <f t="shared" ref="D42:H42" si="37">D38/D40</f>
        <v>0.74845416667205311</v>
      </c>
      <c r="E42" s="565">
        <f t="shared" si="28"/>
        <v>-5.5274826257450949E-2</v>
      </c>
      <c r="F42" s="437">
        <f t="shared" si="37"/>
        <v>1.3441664144999732</v>
      </c>
      <c r="G42" s="437">
        <f t="shared" si="37"/>
        <v>0.82757804295942727</v>
      </c>
      <c r="H42" s="437">
        <f t="shared" si="37"/>
        <v>0.88386930469447855</v>
      </c>
      <c r="I42" s="437"/>
      <c r="J42" s="439"/>
      <c r="K42" s="435">
        <f t="shared" si="31"/>
        <v>-0.34244056750720414</v>
      </c>
      <c r="L42" s="429"/>
      <c r="M42" s="417"/>
      <c r="N42" s="417"/>
      <c r="O42" s="417"/>
      <c r="P42" s="417"/>
    </row>
    <row r="44" spans="1:16" ht="39" customHeight="1" x14ac:dyDescent="0.25">
      <c r="I44" s="938" t="s">
        <v>290</v>
      </c>
      <c r="J44" s="938"/>
    </row>
    <row r="45" spans="1:16" ht="45.75" thickBot="1" x14ac:dyDescent="0.3">
      <c r="B45" s="454" t="s">
        <v>176</v>
      </c>
      <c r="C45" s="455" t="s">
        <v>376</v>
      </c>
      <c r="D45" s="935" t="s">
        <v>430</v>
      </c>
      <c r="E45" s="939"/>
      <c r="F45" s="936"/>
      <c r="G45" s="934" t="s">
        <v>427</v>
      </c>
      <c r="H45" s="934"/>
      <c r="I45" s="934"/>
      <c r="J45" s="428" t="s">
        <v>250</v>
      </c>
    </row>
    <row r="46" spans="1:16" x14ac:dyDescent="0.25">
      <c r="B46" s="429"/>
      <c r="C46" s="456"/>
      <c r="D46" s="429" t="s">
        <v>181</v>
      </c>
      <c r="E46" s="429" t="s">
        <v>182</v>
      </c>
      <c r="F46" s="429" t="s">
        <v>183</v>
      </c>
      <c r="G46" s="447" t="s">
        <v>181</v>
      </c>
      <c r="H46" s="447" t="s">
        <v>182</v>
      </c>
      <c r="I46" s="447" t="s">
        <v>183</v>
      </c>
      <c r="J46" s="429" t="s">
        <v>185</v>
      </c>
    </row>
    <row r="47" spans="1:16" x14ac:dyDescent="0.25">
      <c r="B47" s="429">
        <v>1</v>
      </c>
      <c r="C47" s="456">
        <v>2</v>
      </c>
      <c r="D47" s="429">
        <v>3</v>
      </c>
      <c r="E47" s="429">
        <v>4</v>
      </c>
      <c r="F47" s="429">
        <v>5</v>
      </c>
      <c r="G47" s="447">
        <v>6</v>
      </c>
      <c r="H47" s="447">
        <v>7</v>
      </c>
      <c r="I47" s="447">
        <v>8</v>
      </c>
      <c r="J47" s="429">
        <v>10</v>
      </c>
    </row>
    <row r="48" spans="1:16" x14ac:dyDescent="0.25">
      <c r="B48" s="429" t="s">
        <v>187</v>
      </c>
      <c r="C48" s="461">
        <f>'VITAL (Ear.+Exp.) Dec-21'!AC7</f>
        <v>3.75</v>
      </c>
      <c r="D48" s="430">
        <f>'VITAL (Ear.+Exp.) Dec-21'!AE7</f>
        <v>1.06</v>
      </c>
      <c r="E48" s="430">
        <f>'VITAL (Ear.+Exp.) Dec-21'!AF7</f>
        <v>0</v>
      </c>
      <c r="F48" s="430">
        <f>D48-E48</f>
        <v>1.06</v>
      </c>
      <c r="G48" s="430">
        <f>'VITAL (Ear.+Exp.) Dec-21'!AH7</f>
        <v>0.16</v>
      </c>
      <c r="H48" s="430">
        <f>'VITAL (Ear.+Exp.) Dec-21'!AI7</f>
        <v>0</v>
      </c>
      <c r="I48" s="430">
        <f>G48-H48</f>
        <v>0.16</v>
      </c>
      <c r="J48" s="435">
        <f>G48/D48</f>
        <v>0.15094339622641509</v>
      </c>
    </row>
    <row r="49" spans="2:10" x14ac:dyDescent="0.25">
      <c r="B49" s="429" t="s">
        <v>189</v>
      </c>
      <c r="C49" s="461">
        <f>'VITAL (Ear.+Exp.) Dec-21'!AC8</f>
        <v>58.09</v>
      </c>
      <c r="D49" s="430">
        <f>'VITAL (Ear.+Exp.) Dec-21'!AE8</f>
        <v>300</v>
      </c>
      <c r="E49" s="430">
        <f>'VITAL (Ear.+Exp.) Dec-21'!AF8</f>
        <v>0</v>
      </c>
      <c r="F49" s="430">
        <f t="shared" ref="F49:F68" si="38">D49-E49</f>
        <v>300</v>
      </c>
      <c r="G49" s="430">
        <f>'VITAL (Ear.+Exp.) Dec-21'!AH8</f>
        <v>211.87</v>
      </c>
      <c r="H49" s="430">
        <f>'VITAL (Ear.+Exp.) Dec-21'!AI8</f>
        <v>0</v>
      </c>
      <c r="I49" s="430">
        <f t="shared" ref="I49:I68" si="39">G49-H49</f>
        <v>211.87</v>
      </c>
      <c r="J49" s="435">
        <f t="shared" ref="J49:J68" si="40">G49/D49</f>
        <v>0.70623333333333338</v>
      </c>
    </row>
    <row r="50" spans="2:10" x14ac:dyDescent="0.25">
      <c r="B50" s="429" t="s">
        <v>256</v>
      </c>
      <c r="C50" s="461">
        <f>'VITAL (Ear.+Exp.) Dec-21'!AC9</f>
        <v>163.52000000000001</v>
      </c>
      <c r="D50" s="430">
        <f>'VITAL (Ear.+Exp.) Dec-21'!AE9</f>
        <v>950</v>
      </c>
      <c r="E50" s="430">
        <f>'VITAL (Ear.+Exp.) Dec-21'!AF9</f>
        <v>0</v>
      </c>
      <c r="F50" s="430">
        <f t="shared" si="38"/>
        <v>950</v>
      </c>
      <c r="G50" s="430">
        <f>'VITAL (Ear.+Exp.) Dec-21'!AH9</f>
        <v>720.35</v>
      </c>
      <c r="H50" s="430">
        <f>'VITAL (Ear.+Exp.) Dec-21'!AI9</f>
        <v>0.52</v>
      </c>
      <c r="I50" s="430">
        <f t="shared" si="39"/>
        <v>719.83</v>
      </c>
      <c r="J50" s="435">
        <f t="shared" si="40"/>
        <v>0.75826315789473686</v>
      </c>
    </row>
    <row r="51" spans="2:10" x14ac:dyDescent="0.25">
      <c r="B51" s="429" t="s">
        <v>193</v>
      </c>
      <c r="C51" s="461">
        <f>'VITAL (Ear.+Exp.) Dec-21'!AC10</f>
        <v>74.86</v>
      </c>
      <c r="D51" s="430">
        <f>'VITAL (Ear.+Exp.) Dec-21'!AE10</f>
        <v>129.38</v>
      </c>
      <c r="E51" s="430">
        <f>'VITAL (Ear.+Exp.) Dec-21'!AF10</f>
        <v>0</v>
      </c>
      <c r="F51" s="430">
        <f t="shared" si="38"/>
        <v>129.38</v>
      </c>
      <c r="G51" s="430">
        <f>'VITAL (Ear.+Exp.) Dec-21'!AH10</f>
        <v>55.69</v>
      </c>
      <c r="H51" s="430">
        <f>'VITAL (Ear.+Exp.) Dec-21'!AI10</f>
        <v>0</v>
      </c>
      <c r="I51" s="430">
        <f t="shared" si="39"/>
        <v>55.69</v>
      </c>
      <c r="J51" s="435">
        <f t="shared" si="40"/>
        <v>0.43043747101561292</v>
      </c>
    </row>
    <row r="52" spans="2:10" x14ac:dyDescent="0.25">
      <c r="B52" s="429" t="s">
        <v>195</v>
      </c>
      <c r="C52" s="461">
        <f>'VITAL (Ear.+Exp.) Dec-21'!AC11</f>
        <v>1.08</v>
      </c>
      <c r="D52" s="430">
        <f>'VITAL (Ear.+Exp.) Dec-21'!AE11</f>
        <v>1.06</v>
      </c>
      <c r="E52" s="430">
        <f>'VITAL (Ear.+Exp.) Dec-21'!AF11</f>
        <v>0</v>
      </c>
      <c r="F52" s="430">
        <f t="shared" si="38"/>
        <v>1.06</v>
      </c>
      <c r="G52" s="430">
        <f>'VITAL (Ear.+Exp.) Dec-21'!AH11</f>
        <v>0.36</v>
      </c>
      <c r="H52" s="430">
        <f>'VITAL (Ear.+Exp.) Dec-21'!AI11</f>
        <v>0</v>
      </c>
      <c r="I52" s="430">
        <f t="shared" si="39"/>
        <v>0.36</v>
      </c>
      <c r="J52" s="435">
        <f t="shared" si="40"/>
        <v>0.33962264150943394</v>
      </c>
    </row>
    <row r="53" spans="2:10" x14ac:dyDescent="0.25">
      <c r="B53" s="429" t="s">
        <v>197</v>
      </c>
      <c r="C53" s="461">
        <f>'VITAL (Ear.+Exp.) Dec-21'!AC12</f>
        <v>8.99</v>
      </c>
      <c r="D53" s="430">
        <f>'VITAL (Ear.+Exp.) Dec-21'!AE13</f>
        <v>0</v>
      </c>
      <c r="E53" s="430">
        <f>'VITAL (Ear.+Exp.) Dec-21'!AF13</f>
        <v>0</v>
      </c>
      <c r="F53" s="430">
        <f t="shared" si="38"/>
        <v>0</v>
      </c>
      <c r="G53" s="430">
        <f>'VITAL (Ear.+Exp.) Dec-21'!AH13</f>
        <v>0</v>
      </c>
      <c r="H53" s="430">
        <f>'VITAL (Ear.+Exp.) Dec-21'!AI13</f>
        <v>0</v>
      </c>
      <c r="I53" s="430">
        <f t="shared" si="39"/>
        <v>0</v>
      </c>
      <c r="J53" s="435">
        <v>0</v>
      </c>
    </row>
    <row r="54" spans="2:10" x14ac:dyDescent="0.25">
      <c r="B54" s="429" t="s">
        <v>199</v>
      </c>
      <c r="C54" s="461">
        <f>'VITAL (Ear.+Exp.) Dec-21'!AC13</f>
        <v>83.44</v>
      </c>
      <c r="D54" s="430">
        <f>'VITAL (Ear.+Exp.) Dec-21'!AE12</f>
        <v>10.53</v>
      </c>
      <c r="E54" s="430">
        <f>'VITAL (Ear.+Exp.) Dec-21'!AF12</f>
        <v>0</v>
      </c>
      <c r="F54" s="430">
        <f t="shared" si="38"/>
        <v>10.53</v>
      </c>
      <c r="G54" s="430">
        <f>'VITAL (Ear.+Exp.) Dec-21'!AH12</f>
        <v>9.99</v>
      </c>
      <c r="H54" s="430">
        <f>'VITAL (Ear.+Exp.) Dec-21'!AI12</f>
        <v>10.31</v>
      </c>
      <c r="I54" s="430">
        <f t="shared" si="39"/>
        <v>-0.32000000000000028</v>
      </c>
      <c r="J54" s="435">
        <f t="shared" si="40"/>
        <v>0.94871794871794879</v>
      </c>
    </row>
    <row r="55" spans="2:10" x14ac:dyDescent="0.25">
      <c r="B55" s="429" t="s">
        <v>201</v>
      </c>
      <c r="C55" s="461">
        <f>'VITAL (Ear.+Exp.) Dec-21'!AC14</f>
        <v>528.26</v>
      </c>
      <c r="D55" s="430">
        <f>'VITAL (Ear.+Exp.) Dec-21'!AE14</f>
        <v>619.73</v>
      </c>
      <c r="E55" s="430">
        <f>'VITAL (Ear.+Exp.) Dec-21'!AF14</f>
        <v>0</v>
      </c>
      <c r="F55" s="430">
        <f t="shared" si="38"/>
        <v>619.73</v>
      </c>
      <c r="G55" s="430">
        <f>'VITAL (Ear.+Exp.) Dec-21'!AH14</f>
        <v>605.32000000000005</v>
      </c>
      <c r="H55" s="430">
        <f>'VITAL (Ear.+Exp.) Dec-21'!AI14</f>
        <v>0</v>
      </c>
      <c r="I55" s="430">
        <f t="shared" si="39"/>
        <v>605.32000000000005</v>
      </c>
      <c r="J55" s="435">
        <f t="shared" si="40"/>
        <v>0.97674793861843068</v>
      </c>
    </row>
    <row r="56" spans="2:10" x14ac:dyDescent="0.25">
      <c r="B56" s="429" t="s">
        <v>203</v>
      </c>
      <c r="C56" s="461">
        <f>'VITAL (Ear.+Exp.) Dec-21'!AC15</f>
        <v>17.47</v>
      </c>
      <c r="D56" s="430">
        <f>'VITAL (Ear.+Exp.) Dec-21'!AE15</f>
        <v>9.84</v>
      </c>
      <c r="E56" s="430">
        <f>'VITAL (Ear.+Exp.) Dec-21'!AF15</f>
        <v>0</v>
      </c>
      <c r="F56" s="430">
        <f t="shared" si="38"/>
        <v>9.84</v>
      </c>
      <c r="G56" s="430">
        <f>'VITAL (Ear.+Exp.) Dec-21'!AH15</f>
        <v>2.02</v>
      </c>
      <c r="H56" s="430">
        <f>'VITAL (Ear.+Exp.) Dec-21'!AI15</f>
        <v>0</v>
      </c>
      <c r="I56" s="430">
        <f t="shared" si="39"/>
        <v>2.02</v>
      </c>
      <c r="J56" s="435">
        <f t="shared" si="40"/>
        <v>0.20528455284552846</v>
      </c>
    </row>
    <row r="57" spans="2:10" x14ac:dyDescent="0.25">
      <c r="B57" s="429" t="s">
        <v>205</v>
      </c>
      <c r="C57" s="461">
        <f>'VITAL (Ear.+Exp.) Dec-21'!AC16</f>
        <v>278.64999999999998</v>
      </c>
      <c r="D57" s="430">
        <f>'VITAL (Ear.+Exp.) Dec-21'!AE16</f>
        <v>280.67</v>
      </c>
      <c r="E57" s="430">
        <f>'VITAL (Ear.+Exp.) Dec-21'!AF16</f>
        <v>0</v>
      </c>
      <c r="F57" s="430">
        <f t="shared" si="38"/>
        <v>280.67</v>
      </c>
      <c r="G57" s="430">
        <f>'VITAL (Ear.+Exp.) Dec-21'!AH16</f>
        <v>147.33000000000001</v>
      </c>
      <c r="H57" s="430">
        <f>'VITAL (Ear.+Exp.) Dec-21'!AI16</f>
        <v>0</v>
      </c>
      <c r="I57" s="430">
        <f t="shared" si="39"/>
        <v>147.33000000000001</v>
      </c>
      <c r="J57" s="435">
        <f t="shared" si="40"/>
        <v>0.52492250685858843</v>
      </c>
    </row>
    <row r="58" spans="2:10" x14ac:dyDescent="0.25">
      <c r="B58" s="429" t="s">
        <v>207</v>
      </c>
      <c r="C58" s="461">
        <f>'VITAL (Ear.+Exp.) Dec-21'!AC17</f>
        <v>806.72</v>
      </c>
      <c r="D58" s="430">
        <f>'VITAL (Ear.+Exp.) Dec-21'!AE17</f>
        <v>829.88</v>
      </c>
      <c r="E58" s="430">
        <f>'VITAL (Ear.+Exp.) Dec-21'!AF17</f>
        <v>38.39</v>
      </c>
      <c r="F58" s="430">
        <f t="shared" si="38"/>
        <v>791.49</v>
      </c>
      <c r="G58" s="430">
        <f>'VITAL (Ear.+Exp.) Dec-21'!AH17</f>
        <v>640.57000000000005</v>
      </c>
      <c r="H58" s="430">
        <f>'VITAL (Ear.+Exp.) Dec-21'!AI17</f>
        <v>81.66</v>
      </c>
      <c r="I58" s="430">
        <f t="shared" si="39"/>
        <v>558.91000000000008</v>
      </c>
      <c r="J58" s="435">
        <f t="shared" si="40"/>
        <v>0.77188268183351816</v>
      </c>
    </row>
    <row r="59" spans="2:10" x14ac:dyDescent="0.25">
      <c r="B59" s="429" t="s">
        <v>209</v>
      </c>
      <c r="C59" s="461">
        <f>'VITAL (Ear.+Exp.) Dec-21'!AC18</f>
        <v>24.94</v>
      </c>
      <c r="D59" s="430">
        <f>'VITAL (Ear.+Exp.) Dec-21'!AE18</f>
        <v>45.6</v>
      </c>
      <c r="E59" s="430">
        <f>'VITAL (Ear.+Exp.) Dec-21'!AF18</f>
        <v>0</v>
      </c>
      <c r="F59" s="430">
        <f t="shared" si="38"/>
        <v>45.6</v>
      </c>
      <c r="G59" s="430">
        <f>'VITAL (Ear.+Exp.) Dec-21'!AH18</f>
        <v>10.38</v>
      </c>
      <c r="H59" s="430">
        <f>'VITAL (Ear.+Exp.) Dec-21'!AI18</f>
        <v>0</v>
      </c>
      <c r="I59" s="430">
        <f t="shared" si="39"/>
        <v>10.38</v>
      </c>
      <c r="J59" s="435">
        <f t="shared" si="40"/>
        <v>0.22763157894736843</v>
      </c>
    </row>
    <row r="60" spans="2:10" x14ac:dyDescent="0.25">
      <c r="B60" s="429" t="s">
        <v>210</v>
      </c>
      <c r="C60" s="461">
        <f>'VITAL (Ear.+Exp.) Dec-21'!AC19</f>
        <v>321.19</v>
      </c>
      <c r="D60" s="430">
        <f>'VITAL (Ear.+Exp.) Dec-21'!AE19</f>
        <v>318.51</v>
      </c>
      <c r="E60" s="430">
        <f>'VITAL (Ear.+Exp.) Dec-21'!AF19</f>
        <v>0</v>
      </c>
      <c r="F60" s="430">
        <f t="shared" si="38"/>
        <v>318.51</v>
      </c>
      <c r="G60" s="430">
        <f>'VITAL (Ear.+Exp.) Dec-21'!AH19</f>
        <v>169.98</v>
      </c>
      <c r="H60" s="430">
        <f>'VITAL (Ear.+Exp.) Dec-21'!AI19</f>
        <v>0</v>
      </c>
      <c r="I60" s="430">
        <f t="shared" si="39"/>
        <v>169.98</v>
      </c>
      <c r="J60" s="435">
        <f t="shared" si="40"/>
        <v>0.53367241216916261</v>
      </c>
    </row>
    <row r="61" spans="2:10" x14ac:dyDescent="0.25">
      <c r="B61" s="429" t="s">
        <v>212</v>
      </c>
      <c r="C61" s="461">
        <f>'VITAL (Ear.+Exp.) Dec-21'!AC20</f>
        <v>82.12</v>
      </c>
      <c r="D61" s="430">
        <f>'VITAL (Ear.+Exp.) Dec-21'!AE20</f>
        <v>88.43</v>
      </c>
      <c r="E61" s="430">
        <f>'VITAL (Ear.+Exp.) Dec-21'!AF20</f>
        <v>0</v>
      </c>
      <c r="F61" s="430">
        <f t="shared" si="38"/>
        <v>88.43</v>
      </c>
      <c r="G61" s="430">
        <f>'VITAL (Ear.+Exp.) Dec-21'!AH20</f>
        <v>38.619999999999997</v>
      </c>
      <c r="H61" s="430">
        <f>'VITAL (Ear.+Exp.) Dec-21'!AI20</f>
        <v>0</v>
      </c>
      <c r="I61" s="430">
        <f t="shared" si="39"/>
        <v>38.619999999999997</v>
      </c>
      <c r="J61" s="435">
        <f t="shared" si="40"/>
        <v>0.43672961664593457</v>
      </c>
    </row>
    <row r="62" spans="2:10" x14ac:dyDescent="0.25">
      <c r="B62" s="429" t="s">
        <v>214</v>
      </c>
      <c r="C62" s="461">
        <f>'VITAL (Ear.+Exp.) Dec-21'!AC22</f>
        <v>21.89</v>
      </c>
      <c r="D62" s="430">
        <f>'VITAL (Ear.+Exp.) Dec-21'!AE22</f>
        <v>51.86</v>
      </c>
      <c r="E62" s="430">
        <f>'VITAL (Ear.+Exp.) Dec-21'!AF22</f>
        <v>0</v>
      </c>
      <c r="F62" s="430">
        <f t="shared" si="38"/>
        <v>51.86</v>
      </c>
      <c r="G62" s="430">
        <f>'VITAL (Ear.+Exp.) Dec-21'!AH22</f>
        <v>32.79</v>
      </c>
      <c r="H62" s="430">
        <f>'VITAL (Ear.+Exp.) Dec-21'!AI22</f>
        <v>0</v>
      </c>
      <c r="I62" s="430">
        <f t="shared" si="39"/>
        <v>32.79</v>
      </c>
      <c r="J62" s="435">
        <f t="shared" si="40"/>
        <v>0.63227921326648673</v>
      </c>
    </row>
    <row r="63" spans="2:10" x14ac:dyDescent="0.25">
      <c r="B63" s="429" t="s">
        <v>217</v>
      </c>
      <c r="C63" s="461">
        <f>'VITAL (Ear.+Exp.) Dec-21'!AC23</f>
        <v>86.04</v>
      </c>
      <c r="D63" s="430">
        <f>'VITAL (Ear.+Exp.) Dec-21'!AE23</f>
        <v>433.59000000000003</v>
      </c>
      <c r="E63" s="430">
        <f>'VITAL (Ear.+Exp.) Dec-21'!AF23</f>
        <v>0</v>
      </c>
      <c r="F63" s="430">
        <f t="shared" si="38"/>
        <v>433.59000000000003</v>
      </c>
      <c r="G63" s="430">
        <f>'VITAL (Ear.+Exp.) Dec-21'!AH23</f>
        <v>89.09</v>
      </c>
      <c r="H63" s="430">
        <f>'VITAL (Ear.+Exp.) Dec-21'!AI23</f>
        <v>0</v>
      </c>
      <c r="I63" s="430">
        <f t="shared" si="39"/>
        <v>89.09</v>
      </c>
      <c r="J63" s="435">
        <f t="shared" si="40"/>
        <v>0.20547060587190663</v>
      </c>
    </row>
    <row r="64" spans="2:10" x14ac:dyDescent="0.25">
      <c r="B64" s="429" t="s">
        <v>219</v>
      </c>
      <c r="C64" s="461">
        <f>'VITAL (Ear.+Exp.) Dec-21'!AC24</f>
        <v>29.85</v>
      </c>
      <c r="D64" s="430">
        <f>'VITAL (Ear.+Exp.) Dec-21'!AE24</f>
        <v>23.11</v>
      </c>
      <c r="E64" s="430">
        <f>'VITAL (Ear.+Exp.) Dec-21'!AF24</f>
        <v>0</v>
      </c>
      <c r="F64" s="430">
        <f t="shared" si="38"/>
        <v>23.11</v>
      </c>
      <c r="G64" s="430">
        <f>'VITAL (Ear.+Exp.) Dec-21'!AH24</f>
        <v>18.989999999999998</v>
      </c>
      <c r="H64" s="430">
        <f>'VITAL (Ear.+Exp.) Dec-21'!AI24</f>
        <v>0</v>
      </c>
      <c r="I64" s="430">
        <f t="shared" si="39"/>
        <v>18.989999999999998</v>
      </c>
      <c r="J64" s="435">
        <f t="shared" si="40"/>
        <v>0.82172219818260483</v>
      </c>
    </row>
    <row r="65" spans="2:10" x14ac:dyDescent="0.25">
      <c r="B65" s="429" t="s">
        <v>220</v>
      </c>
      <c r="C65" s="461">
        <f>'VITAL (Ear.+Exp.) Dec-21'!AC26</f>
        <v>163.41</v>
      </c>
      <c r="D65" s="430">
        <f>'VITAL (Ear.+Exp.) Dec-21'!AE26</f>
        <v>134.81</v>
      </c>
      <c r="E65" s="430">
        <f>'VITAL (Ear.+Exp.) Dec-21'!AF26</f>
        <v>0</v>
      </c>
      <c r="F65" s="430">
        <f t="shared" si="38"/>
        <v>134.81</v>
      </c>
      <c r="G65" s="430">
        <f>'VITAL (Ear.+Exp.) Dec-21'!AH26</f>
        <v>82.04</v>
      </c>
      <c r="H65" s="430">
        <f>'VITAL (Ear.+Exp.) Dec-21'!AI26</f>
        <v>0</v>
      </c>
      <c r="I65" s="430">
        <f t="shared" si="39"/>
        <v>82.04</v>
      </c>
      <c r="J65" s="435">
        <f t="shared" si="40"/>
        <v>0.60856019583116983</v>
      </c>
    </row>
    <row r="66" spans="2:10" x14ac:dyDescent="0.25">
      <c r="B66" s="429" t="s">
        <v>221</v>
      </c>
      <c r="C66" s="461">
        <f>'VITAL (Ear.+Exp.) Dec-21'!AC27</f>
        <v>65.17</v>
      </c>
      <c r="D66" s="430">
        <f>'VITAL (Ear.+Exp.) Dec-21'!AE27</f>
        <v>68.03</v>
      </c>
      <c r="E66" s="430">
        <f>'VITAL (Ear.+Exp.) Dec-21'!AF27</f>
        <v>0</v>
      </c>
      <c r="F66" s="430">
        <f t="shared" si="38"/>
        <v>68.03</v>
      </c>
      <c r="G66" s="430">
        <f>'VITAL (Ear.+Exp.) Dec-21'!AH27</f>
        <v>27.79</v>
      </c>
      <c r="H66" s="430">
        <f>'VITAL (Ear.+Exp.) Dec-21'!AI27</f>
        <v>0</v>
      </c>
      <c r="I66" s="430">
        <f t="shared" si="39"/>
        <v>27.79</v>
      </c>
      <c r="J66" s="435">
        <f t="shared" si="40"/>
        <v>0.4084962516536822</v>
      </c>
    </row>
    <row r="67" spans="2:10" x14ac:dyDescent="0.25">
      <c r="B67" s="429" t="s">
        <v>222</v>
      </c>
      <c r="C67" s="461">
        <f>'VITAL (Ear.+Exp.) Dec-21'!AC28</f>
        <v>0.22</v>
      </c>
      <c r="D67" s="430">
        <f>'VITAL (Ear.+Exp.) Dec-21'!AE28</f>
        <v>2.98</v>
      </c>
      <c r="E67" s="430">
        <f>'VITAL (Ear.+Exp.) Dec-21'!AF28</f>
        <v>0</v>
      </c>
      <c r="F67" s="430">
        <f t="shared" si="38"/>
        <v>2.98</v>
      </c>
      <c r="G67" s="430">
        <f>'VITAL (Ear.+Exp.) Dec-21'!AH28</f>
        <v>0.13</v>
      </c>
      <c r="H67" s="430">
        <f>'VITAL (Ear.+Exp.) Dec-21'!AI28</f>
        <v>0</v>
      </c>
      <c r="I67" s="430">
        <f t="shared" si="39"/>
        <v>0.13</v>
      </c>
      <c r="J67" s="435">
        <f t="shared" si="40"/>
        <v>4.3624161073825503E-2</v>
      </c>
    </row>
    <row r="68" spans="2:10" x14ac:dyDescent="0.25">
      <c r="B68" s="429" t="s">
        <v>223</v>
      </c>
      <c r="C68" s="461">
        <f>'VITAL (Ear.+Exp.) Dec-21'!AC29</f>
        <v>1341.04</v>
      </c>
      <c r="D68" s="430">
        <f>'VITAL (Ear.+Exp.) Dec-21'!AE29+784.78</f>
        <v>3116.04</v>
      </c>
      <c r="E68" s="430">
        <f>'VITAL (Ear.+Exp.) Dec-21'!AF29</f>
        <v>0</v>
      </c>
      <c r="F68" s="430">
        <f t="shared" si="38"/>
        <v>3116.04</v>
      </c>
      <c r="G68" s="430">
        <f>'VITAL (Ear.+Exp.) Dec-21'!AH29</f>
        <v>869.81</v>
      </c>
      <c r="H68" s="430">
        <f>'VITAL (Ear.+Exp.) Dec-21'!AI29</f>
        <v>0.12</v>
      </c>
      <c r="I68" s="430">
        <f t="shared" si="39"/>
        <v>869.68999999999994</v>
      </c>
      <c r="J68" s="435">
        <f t="shared" si="40"/>
        <v>0.27913954891464804</v>
      </c>
    </row>
    <row r="69" spans="2:10" x14ac:dyDescent="0.25">
      <c r="B69" s="454" t="s">
        <v>224</v>
      </c>
      <c r="C69" s="462">
        <f>SUM(C48:C68)</f>
        <v>4160.6999999999989</v>
      </c>
      <c r="D69" s="462">
        <f t="shared" ref="D69:I69" si="41">SUM(D48:D68)</f>
        <v>7415.11</v>
      </c>
      <c r="E69" s="462">
        <f t="shared" si="41"/>
        <v>38.39</v>
      </c>
      <c r="F69" s="462">
        <f t="shared" si="41"/>
        <v>7376.7199999999993</v>
      </c>
      <c r="G69" s="462">
        <f t="shared" si="41"/>
        <v>3733.2799999999997</v>
      </c>
      <c r="H69" s="462">
        <f t="shared" si="41"/>
        <v>92.61</v>
      </c>
      <c r="I69" s="462">
        <f t="shared" si="41"/>
        <v>3640.67</v>
      </c>
      <c r="J69" s="466">
        <f>G69/D69</f>
        <v>0.50346926748220866</v>
      </c>
    </row>
    <row r="71" spans="2:10" ht="15.75" thickBot="1" x14ac:dyDescent="0.3">
      <c r="I71" s="938" t="s">
        <v>290</v>
      </c>
      <c r="J71" s="938"/>
    </row>
    <row r="72" spans="2:10" ht="45.75" thickBot="1" x14ac:dyDescent="0.3">
      <c r="B72" s="454" t="s">
        <v>176</v>
      </c>
      <c r="C72" s="455" t="s">
        <v>376</v>
      </c>
      <c r="D72" s="773" t="s">
        <v>430</v>
      </c>
      <c r="E72" s="454"/>
      <c r="F72" s="454"/>
      <c r="G72" s="934" t="s">
        <v>427</v>
      </c>
      <c r="H72" s="934"/>
      <c r="I72" s="934"/>
      <c r="J72" s="457" t="s">
        <v>250</v>
      </c>
    </row>
    <row r="73" spans="2:10" x14ac:dyDescent="0.25">
      <c r="B73" s="429"/>
      <c r="C73" s="456"/>
      <c r="D73" s="429" t="s">
        <v>181</v>
      </c>
      <c r="E73" s="429" t="s">
        <v>182</v>
      </c>
      <c r="F73" s="429" t="s">
        <v>183</v>
      </c>
      <c r="G73" s="447" t="s">
        <v>181</v>
      </c>
      <c r="H73" s="447" t="s">
        <v>182</v>
      </c>
      <c r="I73" s="447" t="s">
        <v>183</v>
      </c>
      <c r="J73" s="429" t="s">
        <v>185</v>
      </c>
    </row>
    <row r="74" spans="2:10" x14ac:dyDescent="0.25">
      <c r="B74" s="429">
        <v>1</v>
      </c>
      <c r="C74" s="456">
        <v>2</v>
      </c>
      <c r="D74" s="429">
        <v>3</v>
      </c>
      <c r="E74" s="429">
        <v>4</v>
      </c>
      <c r="F74" s="429">
        <v>5</v>
      </c>
      <c r="G74" s="447">
        <v>6</v>
      </c>
      <c r="H74" s="447">
        <v>7</v>
      </c>
      <c r="I74" s="447">
        <v>8</v>
      </c>
      <c r="J74" s="429">
        <v>10</v>
      </c>
    </row>
    <row r="75" spans="2:10" x14ac:dyDescent="0.25">
      <c r="B75" s="429" t="s">
        <v>278</v>
      </c>
      <c r="C75" s="456"/>
      <c r="D75" s="429"/>
      <c r="E75" s="429"/>
      <c r="F75" s="429"/>
      <c r="G75" s="447"/>
      <c r="H75" s="447"/>
      <c r="I75" s="447"/>
      <c r="J75" s="429"/>
    </row>
    <row r="76" spans="2:10" x14ac:dyDescent="0.25">
      <c r="B76" s="429" t="s">
        <v>225</v>
      </c>
      <c r="C76" s="461">
        <f>'VITAL (Ear.+Exp.) Dec-21'!AC33</f>
        <v>198.76</v>
      </c>
      <c r="D76" s="430">
        <f>'VITAL (Ear.+Exp.) Dec-21'!AE33</f>
        <v>777.86</v>
      </c>
      <c r="E76" s="430">
        <f>'VITAL (Ear.+Exp.) Dec-21'!AF33</f>
        <v>743.97</v>
      </c>
      <c r="F76" s="430">
        <f>D76-E76</f>
        <v>33.889999999999986</v>
      </c>
      <c r="G76" s="458">
        <f>'VITAL (Ear.+Exp.) Dec-21'!AH33</f>
        <v>319.23</v>
      </c>
      <c r="H76" s="458">
        <f>'VITAL (Ear.+Exp.) Dec-21'!AI33</f>
        <v>306.14999999999998</v>
      </c>
      <c r="I76" s="458">
        <f>G76-H76</f>
        <v>13.080000000000041</v>
      </c>
      <c r="J76" s="435">
        <f>G76/D76</f>
        <v>0.4103951867945389</v>
      </c>
    </row>
    <row r="77" spans="2:10" x14ac:dyDescent="0.25">
      <c r="B77" s="429" t="s">
        <v>226</v>
      </c>
      <c r="C77" s="456">
        <v>576.74</v>
      </c>
      <c r="D77" s="430">
        <f>'VITAL (Ear.+Exp.) Dec-21'!AE34</f>
        <v>645.52</v>
      </c>
      <c r="E77" s="430">
        <f>'VITAL (Ear.+Exp.) Dec-21'!AF34</f>
        <v>697.5</v>
      </c>
      <c r="F77" s="430">
        <f t="shared" ref="F77:F78" si="42">D77-E77</f>
        <v>-51.980000000000018</v>
      </c>
      <c r="G77" s="458">
        <f>'VITAL (Ear.+Exp.) Dec-21'!AH34</f>
        <v>478.9</v>
      </c>
      <c r="H77" s="458">
        <f>'VITAL (Ear.+Exp.) Dec-21'!AI34</f>
        <v>438.44</v>
      </c>
      <c r="I77" s="458">
        <f t="shared" ref="I77:I78" si="43">G77-H77</f>
        <v>40.45999999999998</v>
      </c>
      <c r="J77" s="435">
        <f t="shared" ref="J77:J80" si="44">G77/D77</f>
        <v>0.74188251332259258</v>
      </c>
    </row>
    <row r="78" spans="2:10" x14ac:dyDescent="0.25">
      <c r="B78" s="429" t="s">
        <v>227</v>
      </c>
      <c r="C78" s="456">
        <v>0</v>
      </c>
      <c r="D78" s="430">
        <f>'VITAL (Ear.+Exp.) Dec-21'!AE35</f>
        <v>97</v>
      </c>
      <c r="E78" s="430">
        <f>'VITAL (Ear.+Exp.) Dec-21'!AF35</f>
        <v>24</v>
      </c>
      <c r="F78" s="430">
        <f t="shared" si="42"/>
        <v>73</v>
      </c>
      <c r="G78" s="458">
        <f>'VITAL (Ear.+Exp.) Dec-21'!AH35</f>
        <v>38.24</v>
      </c>
      <c r="H78" s="458">
        <f>'VITAL (Ear.+Exp.) Dec-21'!AI35</f>
        <v>0</v>
      </c>
      <c r="I78" s="458">
        <f t="shared" si="43"/>
        <v>38.24</v>
      </c>
      <c r="J78" s="435">
        <f t="shared" si="44"/>
        <v>0.39422680412371136</v>
      </c>
    </row>
    <row r="79" spans="2:10" x14ac:dyDescent="0.25">
      <c r="B79" s="429" t="s">
        <v>228</v>
      </c>
      <c r="C79" s="461">
        <f>SUM(C76:C78)</f>
        <v>775.5</v>
      </c>
      <c r="D79" s="461">
        <f t="shared" ref="D79:I79" si="45">SUM(D76:D78)</f>
        <v>1520.38</v>
      </c>
      <c r="E79" s="461">
        <f t="shared" si="45"/>
        <v>1465.47</v>
      </c>
      <c r="F79" s="461">
        <f t="shared" si="45"/>
        <v>54.909999999999968</v>
      </c>
      <c r="G79" s="458">
        <f t="shared" si="45"/>
        <v>836.37</v>
      </c>
      <c r="H79" s="458">
        <f t="shared" si="45"/>
        <v>744.58999999999992</v>
      </c>
      <c r="I79" s="458">
        <f t="shared" si="45"/>
        <v>91.78000000000003</v>
      </c>
      <c r="J79" s="435">
        <f t="shared" si="44"/>
        <v>0.55010589457898684</v>
      </c>
    </row>
    <row r="80" spans="2:10" x14ac:dyDescent="0.25">
      <c r="B80" s="457" t="s">
        <v>279</v>
      </c>
      <c r="C80" s="462">
        <f>C69+C79</f>
        <v>4936.1999999999989</v>
      </c>
      <c r="D80" s="462">
        <f t="shared" ref="D80:I80" si="46">D69+D79</f>
        <v>8935.49</v>
      </c>
      <c r="E80" s="462">
        <f t="shared" si="46"/>
        <v>1503.8600000000001</v>
      </c>
      <c r="F80" s="462">
        <f t="shared" si="46"/>
        <v>7431.6299999999992</v>
      </c>
      <c r="G80" s="462">
        <f t="shared" si="46"/>
        <v>4569.6499999999996</v>
      </c>
      <c r="H80" s="462">
        <f t="shared" si="46"/>
        <v>837.19999999999993</v>
      </c>
      <c r="I80" s="462">
        <f t="shared" si="46"/>
        <v>3732.4500000000003</v>
      </c>
      <c r="J80" s="435">
        <f t="shared" si="44"/>
        <v>0.51140452286332361</v>
      </c>
    </row>
    <row r="82" spans="2:10" ht="15.75" thickBot="1" x14ac:dyDescent="0.3">
      <c r="I82" s="552" t="s">
        <v>290</v>
      </c>
      <c r="J82" s="552"/>
    </row>
    <row r="83" spans="2:10" ht="45.75" thickBot="1" x14ac:dyDescent="0.3">
      <c r="B83" s="463" t="s">
        <v>280</v>
      </c>
      <c r="C83" s="464" t="s">
        <v>388</v>
      </c>
      <c r="D83" s="773" t="s">
        <v>430</v>
      </c>
      <c r="E83" s="553"/>
      <c r="F83" s="554"/>
      <c r="G83" s="934" t="s">
        <v>427</v>
      </c>
      <c r="H83" s="934"/>
      <c r="I83" s="934"/>
      <c r="J83" s="465" t="s">
        <v>250</v>
      </c>
    </row>
    <row r="84" spans="2:10" x14ac:dyDescent="0.25">
      <c r="B84" s="429"/>
      <c r="C84" s="456"/>
      <c r="D84" s="429" t="s">
        <v>181</v>
      </c>
      <c r="E84" s="429" t="s">
        <v>182</v>
      </c>
      <c r="F84" s="429" t="s">
        <v>183</v>
      </c>
      <c r="G84" s="447" t="s">
        <v>181</v>
      </c>
      <c r="H84" s="447" t="s">
        <v>182</v>
      </c>
      <c r="I84" s="447" t="s">
        <v>183</v>
      </c>
      <c r="J84" s="429" t="s">
        <v>185</v>
      </c>
    </row>
    <row r="85" spans="2:10" ht="30" x14ac:dyDescent="0.25">
      <c r="B85" s="428" t="s">
        <v>281</v>
      </c>
      <c r="C85" s="461">
        <f>'VITAL (Ear.+Exp.) Dec-21'!AC39</f>
        <v>1347.49</v>
      </c>
      <c r="D85" s="430">
        <f>'VITAL (Ear.+Exp.) Dec-21'!AE39</f>
        <v>4020.09</v>
      </c>
      <c r="E85" s="430">
        <f>'VITAL (Ear.+Exp.) Dec-21'!AF39</f>
        <v>1465.47</v>
      </c>
      <c r="F85" s="430">
        <f>D85-E85</f>
        <v>2554.62</v>
      </c>
      <c r="G85" s="430">
        <f>'VITAL (Ear.+Exp.) Dec-21'!AH39</f>
        <v>2539.5</v>
      </c>
      <c r="H85" s="430">
        <f>'VITAL (Ear.+Exp.) Dec-21'!AI39</f>
        <v>745.11</v>
      </c>
      <c r="I85" s="430">
        <f>G85-H85</f>
        <v>1794.3899999999999</v>
      </c>
      <c r="J85" s="460">
        <f>G85/D85%</f>
        <v>63.170227532219421</v>
      </c>
    </row>
    <row r="86" spans="2:10" x14ac:dyDescent="0.25">
      <c r="B86" s="429" t="s">
        <v>232</v>
      </c>
      <c r="C86" s="461">
        <f>'VITAL (Ear.+Exp.) Dec-21'!AC40</f>
        <v>40.47</v>
      </c>
      <c r="D86" s="430">
        <f>'VITAL (Ear.+Exp.) Dec-21'!AE40</f>
        <v>40.150000000000006</v>
      </c>
      <c r="E86" s="430">
        <f>'VITAL (Ear.+Exp.) Dec-21'!AF40</f>
        <v>0</v>
      </c>
      <c r="F86" s="430">
        <f t="shared" ref="F86:F91" si="47">D86-E86</f>
        <v>40.150000000000006</v>
      </c>
      <c r="G86" s="430">
        <f>'VITAL (Ear.+Exp.) Dec-21'!AH40</f>
        <v>37.35</v>
      </c>
      <c r="H86" s="430">
        <f>'VITAL (Ear.+Exp.) Dec-21'!AI40</f>
        <v>10.31</v>
      </c>
      <c r="I86" s="430">
        <f t="shared" ref="I86:I91" si="48">G86-H86</f>
        <v>27.04</v>
      </c>
      <c r="J86" s="460">
        <f t="shared" ref="J86:J92" si="49">G86/D86%</f>
        <v>93.026151930261506</v>
      </c>
    </row>
    <row r="87" spans="2:10" x14ac:dyDescent="0.25">
      <c r="B87" s="429" t="s">
        <v>234</v>
      </c>
      <c r="C87" s="461">
        <f>'VITAL (Ear.+Exp.) Dec-21'!AC41</f>
        <v>87.15</v>
      </c>
      <c r="D87" s="430">
        <f>'VITAL (Ear.+Exp.) Dec-21'!AE41</f>
        <v>85.08</v>
      </c>
      <c r="E87" s="430">
        <f>'VITAL (Ear.+Exp.) Dec-21'!AF41</f>
        <v>0</v>
      </c>
      <c r="F87" s="430">
        <f t="shared" si="47"/>
        <v>85.08</v>
      </c>
      <c r="G87" s="430">
        <f>'VITAL (Ear.+Exp.) Dec-21'!AH41</f>
        <v>72.98</v>
      </c>
      <c r="H87" s="430">
        <f>'VITAL (Ear.+Exp.) Dec-21'!AI41</f>
        <v>0</v>
      </c>
      <c r="I87" s="430">
        <f t="shared" si="48"/>
        <v>72.98</v>
      </c>
      <c r="J87" s="460">
        <f t="shared" si="49"/>
        <v>85.778091208274574</v>
      </c>
    </row>
    <row r="88" spans="2:10" x14ac:dyDescent="0.25">
      <c r="B88" s="429" t="s">
        <v>236</v>
      </c>
      <c r="C88" s="461">
        <f>'VITAL (Ear.+Exp.) Dec-21'!AC42</f>
        <v>0</v>
      </c>
      <c r="D88" s="430">
        <f>'VITAL (Ear.+Exp.) Dec-21'!AE42</f>
        <v>0</v>
      </c>
      <c r="E88" s="430">
        <f>'VITAL (Ear.+Exp.) Dec-21'!AF42</f>
        <v>0</v>
      </c>
      <c r="F88" s="430">
        <f t="shared" si="47"/>
        <v>0</v>
      </c>
      <c r="G88" s="430">
        <f>'VITAL (Ear.+Exp.) Dec-21'!AH42</f>
        <v>0</v>
      </c>
      <c r="H88" s="430">
        <f>'VITAL (Ear.+Exp.) Dec-21'!AI42</f>
        <v>0</v>
      </c>
      <c r="I88" s="430">
        <f t="shared" si="48"/>
        <v>0</v>
      </c>
      <c r="J88" s="460">
        <v>0</v>
      </c>
    </row>
    <row r="89" spans="2:10" x14ac:dyDescent="0.25">
      <c r="B89" s="429" t="s">
        <v>238</v>
      </c>
      <c r="C89" s="461">
        <f>'VITAL (Ear.+Exp.) Dec-21'!AC43</f>
        <v>103.55</v>
      </c>
      <c r="D89" s="430">
        <f>'VITAL (Ear.+Exp.) Dec-21'!AE43</f>
        <v>1464.22</v>
      </c>
      <c r="E89" s="430">
        <f>'VITAL (Ear.+Exp.) Dec-21'!AF43</f>
        <v>38.39</v>
      </c>
      <c r="F89" s="430">
        <f t="shared" si="47"/>
        <v>1425.83</v>
      </c>
      <c r="G89" s="430">
        <f>'VITAL (Ear.+Exp.) Dec-21'!AH43</f>
        <v>969.61</v>
      </c>
      <c r="H89" s="430">
        <f>'VITAL (Ear.+Exp.) Dec-21'!AI43</f>
        <v>81.66</v>
      </c>
      <c r="I89" s="430">
        <f t="shared" si="48"/>
        <v>887.95</v>
      </c>
      <c r="J89" s="460">
        <f t="shared" si="49"/>
        <v>66.220240127849635</v>
      </c>
    </row>
    <row r="90" spans="2:10" x14ac:dyDescent="0.25">
      <c r="B90" s="429" t="s">
        <v>240</v>
      </c>
      <c r="C90" s="461">
        <f>'VITAL (Ear.+Exp.) Dec-21'!AC44</f>
        <v>0</v>
      </c>
      <c r="D90" s="430">
        <f>'VITAL (Ear.+Exp.) Dec-21'!AE44</f>
        <v>209.91</v>
      </c>
      <c r="E90" s="430">
        <f>'VITAL (Ear.+Exp.) Dec-21'!AF44</f>
        <v>0</v>
      </c>
      <c r="F90" s="430">
        <f t="shared" si="47"/>
        <v>209.91</v>
      </c>
      <c r="G90" s="430">
        <f>'VITAL (Ear.+Exp.) Dec-21'!AH44</f>
        <v>80.400000000000006</v>
      </c>
      <c r="H90" s="430">
        <f>'VITAL (Ear.+Exp.) Dec-21'!AI44</f>
        <v>0</v>
      </c>
      <c r="I90" s="430">
        <f t="shared" si="48"/>
        <v>80.400000000000006</v>
      </c>
      <c r="J90" s="460">
        <f t="shared" si="49"/>
        <v>38.302129484064601</v>
      </c>
    </row>
    <row r="91" spans="2:10" x14ac:dyDescent="0.25">
      <c r="B91" s="429" t="s">
        <v>223</v>
      </c>
      <c r="C91" s="461">
        <f>'VITAL (Ear.+Exp.) Dec-21'!AC45+2016.5</f>
        <v>3357.54</v>
      </c>
      <c r="D91" s="430">
        <f>'VITAL (Ear.+Exp.) Dec-21'!AE45</f>
        <v>3116.04</v>
      </c>
      <c r="E91" s="430">
        <f>'VITAL (Ear.+Exp.) Dec-21'!AF45</f>
        <v>0</v>
      </c>
      <c r="F91" s="430">
        <f t="shared" si="47"/>
        <v>3116.04</v>
      </c>
      <c r="G91" s="430">
        <f>'VITAL (Ear.+Exp.) Dec-21'!AH45</f>
        <v>869.81</v>
      </c>
      <c r="H91" s="430">
        <f>'VITAL (Ear.+Exp.) Dec-21'!AI45</f>
        <v>0.12</v>
      </c>
      <c r="I91" s="430">
        <f t="shared" si="48"/>
        <v>869.68999999999994</v>
      </c>
      <c r="J91" s="460">
        <f t="shared" si="49"/>
        <v>27.913954891464808</v>
      </c>
    </row>
    <row r="92" spans="2:10" x14ac:dyDescent="0.25">
      <c r="B92" s="454" t="s">
        <v>85</v>
      </c>
      <c r="C92" s="462">
        <f>SUM(C85:C91)</f>
        <v>4936.2</v>
      </c>
      <c r="D92" s="459">
        <f>SUM(D85:D91)</f>
        <v>8935.4900000000016</v>
      </c>
      <c r="E92" s="459">
        <f t="shared" ref="E92:I92" si="50">SUM(E85:E91)</f>
        <v>1503.8600000000001</v>
      </c>
      <c r="F92" s="459">
        <f t="shared" si="50"/>
        <v>7431.63</v>
      </c>
      <c r="G92" s="459">
        <f t="shared" si="50"/>
        <v>4569.6499999999996</v>
      </c>
      <c r="H92" s="459">
        <f t="shared" si="50"/>
        <v>837.19999999999993</v>
      </c>
      <c r="I92" s="459">
        <f t="shared" si="50"/>
        <v>3732.45</v>
      </c>
      <c r="J92" s="460">
        <f t="shared" si="49"/>
        <v>51.140452286332355</v>
      </c>
    </row>
  </sheetData>
  <mergeCells count="11">
    <mergeCell ref="G83:I83"/>
    <mergeCell ref="I44:J44"/>
    <mergeCell ref="D45:F45"/>
    <mergeCell ref="G45:I45"/>
    <mergeCell ref="I71:J71"/>
    <mergeCell ref="G72:I72"/>
    <mergeCell ref="A20:E20"/>
    <mergeCell ref="F20:K20"/>
    <mergeCell ref="G11:I11"/>
    <mergeCell ref="O11:P11"/>
    <mergeCell ref="J19:K19"/>
  </mergeCells>
  <pageMargins left="0.5" right="0" top="0.25" bottom="0" header="0" footer="0"/>
  <pageSetup scale="59" orientation="portrait" r:id="rId1"/>
  <rowBreaks count="1" manualBreakCount="1">
    <brk id="69" max="16383" man="1"/>
  </rowBreaks>
  <colBreaks count="1" manualBreakCount="1">
    <brk id="16" max="9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G15" sqref="G15"/>
    </sheetView>
  </sheetViews>
  <sheetFormatPr defaultRowHeight="15" x14ac:dyDescent="0.25"/>
  <cols>
    <col min="1" max="1" width="20" customWidth="1"/>
    <col min="3" max="3" width="11.5703125" customWidth="1"/>
    <col min="4" max="4" width="8.28515625" customWidth="1"/>
    <col min="5" max="5" width="7.42578125" customWidth="1"/>
    <col min="6" max="6" width="3.28515625" customWidth="1"/>
    <col min="8" max="8" width="14.28515625" customWidth="1"/>
    <col min="9" max="9" width="11.28515625" customWidth="1"/>
    <col min="10" max="10" width="9.7109375" customWidth="1"/>
  </cols>
  <sheetData>
    <row r="1" spans="1:10" x14ac:dyDescent="0.25">
      <c r="A1" s="941"/>
      <c r="B1" s="941"/>
      <c r="C1" s="941"/>
      <c r="D1" s="941"/>
      <c r="E1" s="941"/>
      <c r="F1" s="941"/>
      <c r="G1" s="941"/>
      <c r="H1" s="941"/>
      <c r="I1" s="941"/>
      <c r="J1" s="941"/>
    </row>
    <row r="2" spans="1:10" ht="30.75" customHeight="1" x14ac:dyDescent="0.25">
      <c r="A2" s="940"/>
      <c r="B2" s="940"/>
      <c r="C2" s="940"/>
      <c r="D2" s="940"/>
      <c r="E2" s="940"/>
      <c r="F2" s="940"/>
      <c r="G2" s="940"/>
      <c r="H2" s="940"/>
      <c r="I2" s="940"/>
    </row>
    <row r="4" spans="1:10" x14ac:dyDescent="0.25">
      <c r="A4" s="933" t="s">
        <v>389</v>
      </c>
      <c r="B4" s="933"/>
      <c r="C4" s="933"/>
      <c r="D4" s="933"/>
      <c r="E4" s="933"/>
      <c r="G4" s="933" t="s">
        <v>426</v>
      </c>
      <c r="H4" s="933"/>
      <c r="I4" s="933"/>
      <c r="J4" s="933"/>
    </row>
    <row r="5" spans="1:10" ht="60" x14ac:dyDescent="0.25">
      <c r="A5" s="429"/>
      <c r="B5" s="457" t="s">
        <v>362</v>
      </c>
      <c r="C5" s="457" t="s">
        <v>363</v>
      </c>
      <c r="D5" s="457" t="s">
        <v>349</v>
      </c>
      <c r="E5" s="457" t="s">
        <v>350</v>
      </c>
      <c r="G5" s="626" t="s">
        <v>435</v>
      </c>
      <c r="H5" s="457" t="s">
        <v>436</v>
      </c>
      <c r="I5" s="457" t="s">
        <v>349</v>
      </c>
      <c r="J5" s="457" t="s">
        <v>350</v>
      </c>
    </row>
    <row r="6" spans="1:10" x14ac:dyDescent="0.25">
      <c r="A6" s="668" t="s">
        <v>11</v>
      </c>
      <c r="B6" s="429">
        <v>2070.88</v>
      </c>
      <c r="C6" s="429">
        <v>799.32</v>
      </c>
      <c r="D6" s="430">
        <f>C6/B6*100</f>
        <v>38.598083906358646</v>
      </c>
      <c r="E6" s="669">
        <f>B6/C6</f>
        <v>2.5908021818545763</v>
      </c>
      <c r="G6" s="650">
        <v>2893.76</v>
      </c>
      <c r="H6" s="649">
        <v>1290.99</v>
      </c>
      <c r="I6" s="620">
        <f>H6/G6*100</f>
        <v>44.612891186553135</v>
      </c>
      <c r="J6" s="671">
        <f>G6/H6</f>
        <v>2.2415045817550872</v>
      </c>
    </row>
    <row r="7" spans="1:10" x14ac:dyDescent="0.25">
      <c r="A7" s="668" t="s">
        <v>12</v>
      </c>
      <c r="B7" s="429">
        <v>81.069999999999993</v>
      </c>
      <c r="C7" s="429">
        <v>77.489999999999995</v>
      </c>
      <c r="D7" s="430">
        <f t="shared" ref="D7:D10" si="0">C7/B7*100</f>
        <v>95.584063155297898</v>
      </c>
      <c r="E7" s="669">
        <f t="shared" ref="E7:E10" si="1">B7/C7</f>
        <v>1.0461995096141437</v>
      </c>
      <c r="G7" s="649">
        <v>124.18</v>
      </c>
      <c r="H7" s="649">
        <v>111.59</v>
      </c>
      <c r="I7" s="620">
        <f t="shared" ref="I7:I10" si="2">H7/G7*100</f>
        <v>89.861491383475595</v>
      </c>
      <c r="J7" s="671">
        <f t="shared" ref="J7:J10" si="3">G7/H7</f>
        <v>1.1128237297248857</v>
      </c>
    </row>
    <row r="8" spans="1:10" x14ac:dyDescent="0.25">
      <c r="A8" s="668" t="s">
        <v>13</v>
      </c>
      <c r="B8" s="429">
        <v>7577.66</v>
      </c>
      <c r="C8" s="429">
        <v>1764.98</v>
      </c>
      <c r="D8" s="430">
        <f t="shared" si="0"/>
        <v>23.29188694135129</v>
      </c>
      <c r="E8" s="669">
        <f t="shared" si="1"/>
        <v>4.2933404344525146</v>
      </c>
      <c r="G8" s="649">
        <v>7454.69</v>
      </c>
      <c r="H8" s="649">
        <v>1455.79</v>
      </c>
      <c r="I8" s="620">
        <f t="shared" si="2"/>
        <v>19.528511581299828</v>
      </c>
      <c r="J8" s="671">
        <f t="shared" si="3"/>
        <v>5.1207179606948801</v>
      </c>
    </row>
    <row r="9" spans="1:10" x14ac:dyDescent="0.25">
      <c r="A9" s="668" t="s">
        <v>14</v>
      </c>
      <c r="B9" s="429">
        <v>186.56</v>
      </c>
      <c r="C9" s="429">
        <v>186.56</v>
      </c>
      <c r="D9" s="430">
        <f t="shared" si="0"/>
        <v>100</v>
      </c>
      <c r="E9" s="669">
        <f t="shared" si="1"/>
        <v>1</v>
      </c>
      <c r="G9" s="650">
        <v>118.11</v>
      </c>
      <c r="H9" s="649">
        <v>118.11</v>
      </c>
      <c r="I9" s="620">
        <f t="shared" si="2"/>
        <v>100</v>
      </c>
      <c r="J9" s="671">
        <f t="shared" si="3"/>
        <v>1</v>
      </c>
    </row>
    <row r="10" spans="1:10" x14ac:dyDescent="0.25">
      <c r="A10" s="668" t="s">
        <v>351</v>
      </c>
      <c r="B10" s="454">
        <f>SUM(B6:B9)</f>
        <v>9916.17</v>
      </c>
      <c r="C10" s="459">
        <f t="shared" ref="C10" si="4">SUM(C6:C9)</f>
        <v>2828.35</v>
      </c>
      <c r="D10" s="459">
        <f t="shared" si="0"/>
        <v>28.522604997695684</v>
      </c>
      <c r="E10" s="669">
        <f t="shared" si="1"/>
        <v>3.5059911255679106</v>
      </c>
      <c r="G10" s="670">
        <f>SUM(G6:G9)</f>
        <v>10590.74</v>
      </c>
      <c r="H10" s="670">
        <f t="shared" ref="H10" si="5">SUM(H6:H9)</f>
        <v>2976.48</v>
      </c>
      <c r="I10" s="621">
        <f t="shared" si="2"/>
        <v>28.104551712156088</v>
      </c>
      <c r="J10" s="671">
        <f t="shared" si="3"/>
        <v>3.558142503897221</v>
      </c>
    </row>
  </sheetData>
  <mergeCells count="4">
    <mergeCell ref="A4:E4"/>
    <mergeCell ref="A2:I2"/>
    <mergeCell ref="G4:J4"/>
    <mergeCell ref="A1:J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J17"/>
  <sheetViews>
    <sheetView workbookViewId="0">
      <selection activeCell="I9" sqref="I9"/>
    </sheetView>
  </sheetViews>
  <sheetFormatPr defaultRowHeight="15" x14ac:dyDescent="0.25"/>
  <cols>
    <col min="2" max="2" width="20.5703125" customWidth="1"/>
    <col min="3" max="3" width="14.5703125" customWidth="1"/>
    <col min="4" max="4" width="12.7109375" customWidth="1"/>
    <col min="5" max="5" width="11.85546875" customWidth="1"/>
    <col min="6" max="6" width="13.28515625" customWidth="1"/>
    <col min="7" max="7" width="12.7109375" customWidth="1"/>
    <col min="8" max="8" width="10.85546875" customWidth="1"/>
    <col min="9" max="9" width="12" customWidth="1"/>
    <col min="10" max="10" width="11" customWidth="1"/>
    <col min="11" max="11" width="9.140625" customWidth="1"/>
  </cols>
  <sheetData>
    <row r="2" spans="2:10" x14ac:dyDescent="0.25">
      <c r="B2" s="429"/>
      <c r="C2" s="429"/>
      <c r="D2" s="429"/>
      <c r="E2" s="429"/>
      <c r="F2" s="429"/>
      <c r="G2" s="429"/>
      <c r="H2" s="429"/>
      <c r="I2" s="429"/>
      <c r="J2" s="454" t="s">
        <v>368</v>
      </c>
    </row>
    <row r="3" spans="2:10" ht="60" x14ac:dyDescent="0.25">
      <c r="B3" s="635" t="s">
        <v>369</v>
      </c>
      <c r="C3" s="641" t="s">
        <v>117</v>
      </c>
      <c r="D3" s="942" t="s">
        <v>434</v>
      </c>
      <c r="E3" s="942"/>
      <c r="F3" s="942"/>
      <c r="G3" s="943" t="s">
        <v>425</v>
      </c>
      <c r="H3" s="943"/>
      <c r="I3" s="943"/>
      <c r="J3" s="640" t="s">
        <v>370</v>
      </c>
    </row>
    <row r="4" spans="2:10" ht="20.25" customHeight="1" x14ac:dyDescent="0.25">
      <c r="B4" s="635"/>
      <c r="C4" s="642" t="s">
        <v>100</v>
      </c>
      <c r="D4" s="635" t="s">
        <v>181</v>
      </c>
      <c r="E4" s="635" t="s">
        <v>182</v>
      </c>
      <c r="F4" s="635" t="s">
        <v>183</v>
      </c>
      <c r="G4" s="419" t="s">
        <v>181</v>
      </c>
      <c r="H4" s="419" t="s">
        <v>182</v>
      </c>
      <c r="I4" s="419" t="s">
        <v>183</v>
      </c>
      <c r="J4" s="390" t="s">
        <v>185</v>
      </c>
    </row>
    <row r="5" spans="2:10" x14ac:dyDescent="0.25">
      <c r="B5" s="636" t="s">
        <v>231</v>
      </c>
      <c r="C5" s="643">
        <v>1347.49</v>
      </c>
      <c r="D5" s="317">
        <v>4020.09</v>
      </c>
      <c r="E5" s="317">
        <v>1465.47</v>
      </c>
      <c r="F5" s="317">
        <f>D5-E5</f>
        <v>2554.62</v>
      </c>
      <c r="G5" s="317">
        <v>2539.5</v>
      </c>
      <c r="H5" s="317">
        <v>745.11</v>
      </c>
      <c r="I5" s="317">
        <f t="shared" ref="I5:I13" si="0">G5-H5</f>
        <v>1794.3899999999999</v>
      </c>
      <c r="J5" s="324">
        <f>ROUND(G5/D5*100,1)</f>
        <v>63.2</v>
      </c>
    </row>
    <row r="6" spans="2:10" x14ac:dyDescent="0.25">
      <c r="B6" s="636" t="s">
        <v>232</v>
      </c>
      <c r="C6" s="643">
        <v>40.47</v>
      </c>
      <c r="D6" s="317">
        <v>40.15</v>
      </c>
      <c r="E6" s="317">
        <v>0</v>
      </c>
      <c r="F6" s="317">
        <f t="shared" ref="F6:F13" si="1">D6-E6</f>
        <v>40.15</v>
      </c>
      <c r="G6" s="317">
        <v>37.35</v>
      </c>
      <c r="H6" s="317">
        <v>10.31</v>
      </c>
      <c r="I6" s="317">
        <f t="shared" si="0"/>
        <v>27.04</v>
      </c>
      <c r="J6" s="324">
        <f t="shared" ref="J6:J13" si="2">ROUND(G6/D6*100,1)</f>
        <v>93</v>
      </c>
    </row>
    <row r="7" spans="2:10" x14ac:dyDescent="0.25">
      <c r="B7" s="636" t="s">
        <v>234</v>
      </c>
      <c r="C7" s="643">
        <v>87.15</v>
      </c>
      <c r="D7" s="317">
        <v>85.08</v>
      </c>
      <c r="E7" s="317">
        <v>0</v>
      </c>
      <c r="F7" s="317">
        <f t="shared" si="1"/>
        <v>85.08</v>
      </c>
      <c r="G7" s="317">
        <v>72.98</v>
      </c>
      <c r="H7" s="317">
        <v>0</v>
      </c>
      <c r="I7" s="317">
        <f t="shared" si="0"/>
        <v>72.98</v>
      </c>
      <c r="J7" s="324">
        <f t="shared" si="2"/>
        <v>85.8</v>
      </c>
    </row>
    <row r="8" spans="2:10" x14ac:dyDescent="0.25">
      <c r="B8" s="636" t="s">
        <v>236</v>
      </c>
      <c r="C8" s="643">
        <v>0</v>
      </c>
      <c r="D8" s="317">
        <v>0</v>
      </c>
      <c r="E8" s="317">
        <v>0</v>
      </c>
      <c r="F8" s="317">
        <f t="shared" si="1"/>
        <v>0</v>
      </c>
      <c r="G8" s="317">
        <v>0</v>
      </c>
      <c r="H8" s="317">
        <v>0</v>
      </c>
      <c r="I8" s="317">
        <f t="shared" si="0"/>
        <v>0</v>
      </c>
      <c r="J8" s="324">
        <v>0</v>
      </c>
    </row>
    <row r="9" spans="2:10" x14ac:dyDescent="0.25">
      <c r="B9" s="636" t="s">
        <v>238</v>
      </c>
      <c r="C9" s="643">
        <v>103.55</v>
      </c>
      <c r="D9" s="317">
        <v>1464.22</v>
      </c>
      <c r="E9" s="317">
        <v>38.39</v>
      </c>
      <c r="F9" s="317">
        <f t="shared" si="1"/>
        <v>1425.83</v>
      </c>
      <c r="G9" s="317">
        <v>969.61</v>
      </c>
      <c r="H9" s="317">
        <v>81.66</v>
      </c>
      <c r="I9" s="317">
        <f t="shared" si="0"/>
        <v>887.95</v>
      </c>
      <c r="J9" s="324">
        <f t="shared" si="2"/>
        <v>66.2</v>
      </c>
    </row>
    <row r="10" spans="2:10" x14ac:dyDescent="0.25">
      <c r="B10" s="636" t="s">
        <v>240</v>
      </c>
      <c r="C10" s="643">
        <v>0</v>
      </c>
      <c r="D10" s="317">
        <v>209.91</v>
      </c>
      <c r="E10" s="317">
        <v>0</v>
      </c>
      <c r="F10" s="317">
        <f t="shared" si="1"/>
        <v>209.91</v>
      </c>
      <c r="G10" s="317">
        <v>80.400000000000006</v>
      </c>
      <c r="H10" s="317">
        <v>0</v>
      </c>
      <c r="I10" s="317">
        <f t="shared" si="0"/>
        <v>80.400000000000006</v>
      </c>
      <c r="J10" s="324">
        <v>0</v>
      </c>
    </row>
    <row r="11" spans="2:10" x14ac:dyDescent="0.25">
      <c r="B11" s="316" t="s">
        <v>360</v>
      </c>
      <c r="C11" s="643">
        <v>1341.04</v>
      </c>
      <c r="D11" s="317">
        <v>3116.04</v>
      </c>
      <c r="E11" s="317">
        <v>0</v>
      </c>
      <c r="F11" s="317">
        <f t="shared" si="1"/>
        <v>3116.04</v>
      </c>
      <c r="G11" s="317">
        <v>869.81</v>
      </c>
      <c r="H11" s="317">
        <v>0.13</v>
      </c>
      <c r="I11" s="317">
        <f t="shared" si="0"/>
        <v>869.68</v>
      </c>
      <c r="J11" s="324">
        <f t="shared" si="2"/>
        <v>27.9</v>
      </c>
    </row>
    <row r="12" spans="2:10" x14ac:dyDescent="0.25">
      <c r="B12" s="316" t="s">
        <v>358</v>
      </c>
      <c r="C12" s="644">
        <v>2016.5</v>
      </c>
      <c r="D12" s="317">
        <v>0</v>
      </c>
      <c r="E12" s="317">
        <v>0</v>
      </c>
      <c r="F12" s="317">
        <f>D12-E12</f>
        <v>0</v>
      </c>
      <c r="G12" s="317">
        <v>0</v>
      </c>
      <c r="H12" s="317">
        <v>0</v>
      </c>
      <c r="I12" s="317">
        <f t="shared" si="0"/>
        <v>0</v>
      </c>
      <c r="J12" s="324">
        <v>0</v>
      </c>
    </row>
    <row r="13" spans="2:10" x14ac:dyDescent="0.25">
      <c r="B13" s="636" t="s">
        <v>85</v>
      </c>
      <c r="C13" s="645">
        <f>SUM(C5:C12)</f>
        <v>4936.2</v>
      </c>
      <c r="D13" s="645">
        <f>SUM(D5:D12)</f>
        <v>8935.4900000000016</v>
      </c>
      <c r="E13" s="326">
        <f>SUM(E5:E12)</f>
        <v>1503.8600000000001</v>
      </c>
      <c r="F13" s="326">
        <f t="shared" si="1"/>
        <v>7431.630000000001</v>
      </c>
      <c r="G13" s="326">
        <f>SUM(G5:G12)</f>
        <v>4569.6499999999996</v>
      </c>
      <c r="H13" s="326">
        <f>SUM(H5:H12)</f>
        <v>837.20999999999992</v>
      </c>
      <c r="I13" s="326">
        <f t="shared" si="0"/>
        <v>3732.4399999999996</v>
      </c>
      <c r="J13" s="324">
        <f t="shared" si="2"/>
        <v>51.1</v>
      </c>
    </row>
    <row r="14" spans="2:10" x14ac:dyDescent="0.25">
      <c r="B14" s="556"/>
      <c r="C14" s="556"/>
      <c r="D14" s="556"/>
      <c r="E14" s="556"/>
      <c r="F14" s="556"/>
      <c r="G14" s="556"/>
      <c r="H14" s="556"/>
      <c r="I14" s="556"/>
      <c r="J14" s="556"/>
    </row>
    <row r="17" spans="4:4" x14ac:dyDescent="0.25">
      <c r="D17" s="639"/>
    </row>
  </sheetData>
  <mergeCells count="2">
    <mergeCell ref="D3:F3"/>
    <mergeCell ref="G3:I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VITAL (Ear.+Exp.) Dec-21</vt:lpstr>
      <vt:lpstr>MOD-I (EARNING) Dec-21</vt:lpstr>
      <vt:lpstr>MOD-II (EARNING) Dec-21</vt:lpstr>
      <vt:lpstr>Sheet1</vt:lpstr>
      <vt:lpstr>Position up to Dec-21</vt:lpstr>
      <vt:lpstr>Source wise Dec-21</vt:lpstr>
      <vt:lpstr>'MOD-I (EARNING) Dec-21'!Print_Area</vt:lpstr>
      <vt:lpstr>'MOD-II (EARNING) Dec-21'!Print_Area</vt:lpstr>
      <vt:lpstr>'VITAL (Ear.+Exp.) Dec-21'!Print_Area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2022-02-25T10:40:05Z</dcterms:modified>
</cp:coreProperties>
</file>