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User\Desktop\Budget\2021-22\June 21\"/>
    </mc:Choice>
  </mc:AlternateContent>
  <xr:revisionPtr revIDLastSave="0" documentId="13_ncr:1_{51713B1D-560C-4124-A412-2FB99E24C873}" xr6:coauthVersionLast="47" xr6:coauthVersionMax="47" xr10:uidLastSave="{00000000-0000-0000-0000-000000000000}"/>
  <bookViews>
    <workbookView xWindow="-120" yWindow="-120" windowWidth="24240" windowHeight="13140" tabRatio="599" firstSheet="3" activeTab="5"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OWE'!$A$1:$BK$134</definedName>
    <definedName name="_xlnm.Print_Area" localSheetId="5">Sheet1!$B$1:$O$117</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40" i="2" l="1"/>
  <c r="L40" i="2"/>
  <c r="I91" i="4"/>
  <c r="BH116" i="2" l="1"/>
  <c r="AD116" i="2"/>
  <c r="BJ105" i="2"/>
  <c r="BH105" i="2"/>
  <c r="AD105" i="2"/>
  <c r="BH94" i="2"/>
  <c r="AD94" i="2"/>
  <c r="BH83" i="2"/>
  <c r="AD83" i="2"/>
  <c r="BI83" i="2" s="1"/>
  <c r="BK83" i="2" s="1"/>
  <c r="BH72" i="2"/>
  <c r="AD72" i="2"/>
  <c r="BH61" i="2"/>
  <c r="AD61" i="2"/>
  <c r="BH50" i="2"/>
  <c r="AD50" i="2"/>
  <c r="BI50" i="2" s="1"/>
  <c r="BK50" i="2" s="1"/>
  <c r="BH39" i="2"/>
  <c r="AD39" i="2"/>
  <c r="BH28" i="2"/>
  <c r="AD28" i="2"/>
  <c r="BH17" i="2"/>
  <c r="AD17" i="2"/>
  <c r="BI17" i="2" s="1"/>
  <c r="BK17" i="2" s="1"/>
  <c r="BH6" i="2"/>
  <c r="AD6" i="2"/>
  <c r="BI6" i="2" l="1"/>
  <c r="BK6" i="2" s="1"/>
  <c r="BI39" i="2"/>
  <c r="BK39" i="2" s="1"/>
  <c r="BI72" i="2"/>
  <c r="BK72" i="2" s="1"/>
  <c r="BI105" i="2"/>
  <c r="BK105" i="2" s="1"/>
  <c r="BI116" i="2"/>
  <c r="BK116" i="2" s="1"/>
  <c r="BI28" i="2"/>
  <c r="BK28" i="2" s="1"/>
  <c r="BI61" i="2"/>
  <c r="BK61" i="2" s="1"/>
  <c r="BI94" i="2"/>
  <c r="BK94" i="2" s="1"/>
  <c r="K116" i="4"/>
  <c r="L116" i="4" s="1"/>
  <c r="K115" i="4"/>
  <c r="L115" i="4" s="1"/>
  <c r="K114" i="4"/>
  <c r="L114" i="4" s="1"/>
  <c r="K110" i="4"/>
  <c r="L110" i="4" s="1"/>
  <c r="K109" i="4"/>
  <c r="L109" i="4" s="1"/>
  <c r="K108" i="4"/>
  <c r="L108" i="4" s="1"/>
  <c r="H117" i="4"/>
  <c r="H111" i="4"/>
  <c r="H106" i="4"/>
  <c r="H76" i="4"/>
  <c r="H40" i="4"/>
  <c r="H32" i="4"/>
  <c r="H11" i="4"/>
  <c r="H3" i="4"/>
  <c r="BG104" i="2"/>
  <c r="BH104" i="2" s="1"/>
  <c r="BP115" i="2"/>
  <c r="Q8" i="4"/>
  <c r="BH115" i="2"/>
  <c r="BH93" i="2"/>
  <c r="BH82" i="2"/>
  <c r="BH71" i="2"/>
  <c r="BH60" i="2"/>
  <c r="BH49" i="2"/>
  <c r="BH38" i="2"/>
  <c r="BH27" i="2"/>
  <c r="BH16" i="2"/>
  <c r="BH5" i="2"/>
  <c r="AD104" i="2"/>
  <c r="AD93" i="2"/>
  <c r="BI93" i="2" s="1"/>
  <c r="BK93" i="2" s="1"/>
  <c r="AD82" i="2"/>
  <c r="AD71" i="2"/>
  <c r="AD60" i="2"/>
  <c r="AD49" i="2"/>
  <c r="BI49" i="2" s="1"/>
  <c r="BK49" i="2" s="1"/>
  <c r="AD38" i="2"/>
  <c r="BI38" i="2" s="1"/>
  <c r="BK38" i="2" s="1"/>
  <c r="AD27" i="2"/>
  <c r="BI27" i="2" s="1"/>
  <c r="BK27" i="2" s="1"/>
  <c r="AD16" i="2"/>
  <c r="AD5" i="2"/>
  <c r="AD115" i="2"/>
  <c r="BI115" i="2" s="1"/>
  <c r="BK115" i="2" s="1"/>
  <c r="BI60" i="2" l="1"/>
  <c r="BK60" i="2" s="1"/>
  <c r="BI5" i="2"/>
  <c r="BK5" i="2" s="1"/>
  <c r="BI16" i="2"/>
  <c r="BK16" i="2" s="1"/>
  <c r="BI82" i="2"/>
  <c r="BK82" i="2" s="1"/>
  <c r="BI104" i="2"/>
  <c r="BK104" i="2" s="1"/>
  <c r="BQ115" i="2" s="1"/>
  <c r="BI71" i="2"/>
  <c r="BK71" i="2" s="1"/>
  <c r="J76" i="4"/>
  <c r="I76" i="4"/>
  <c r="F76" i="4"/>
  <c r="I117" i="4"/>
  <c r="K117" i="4" s="1"/>
  <c r="L117" i="4" s="1"/>
  <c r="F117" i="4"/>
  <c r="C117" i="4"/>
  <c r="M116" i="4"/>
  <c r="M115" i="4"/>
  <c r="M114" i="4"/>
  <c r="I111" i="4"/>
  <c r="K111" i="4" s="1"/>
  <c r="L111" i="4" s="1"/>
  <c r="F111" i="4"/>
  <c r="C111" i="4"/>
  <c r="M110" i="4"/>
  <c r="M109" i="4"/>
  <c r="M108" i="4"/>
  <c r="F106" i="4"/>
  <c r="F104" i="4"/>
  <c r="E104" i="4"/>
  <c r="C104" i="4"/>
  <c r="F101" i="4"/>
  <c r="E101" i="4"/>
  <c r="C101" i="4"/>
  <c r="F98" i="4"/>
  <c r="E98" i="4"/>
  <c r="C98" i="4"/>
  <c r="F94" i="4"/>
  <c r="E94" i="4"/>
  <c r="C94" i="4"/>
  <c r="D94" i="4" s="1"/>
  <c r="M91" i="4"/>
  <c r="C84" i="4"/>
  <c r="C73" i="4"/>
  <c r="C68" i="4"/>
  <c r="D68" i="4" s="1"/>
  <c r="C63" i="4"/>
  <c r="C54" i="4"/>
  <c r="C49" i="4"/>
  <c r="C28" i="4"/>
  <c r="C7" i="4"/>
  <c r="B83" i="11"/>
  <c r="B69" i="11"/>
  <c r="B64" i="11"/>
  <c r="B54" i="11"/>
  <c r="B28" i="11"/>
  <c r="C28" i="5"/>
  <c r="C7" i="5"/>
  <c r="B7" i="11"/>
  <c r="C102" i="5"/>
  <c r="C96" i="5"/>
  <c r="C92" i="5"/>
  <c r="C109" i="5"/>
  <c r="C115" i="5"/>
  <c r="D73" i="4" l="1"/>
  <c r="D84" i="4"/>
  <c r="D111" i="4"/>
  <c r="D49" i="4"/>
  <c r="D54" i="4"/>
  <c r="D96" i="4"/>
  <c r="D102" i="4"/>
  <c r="D80" i="4"/>
  <c r="D72" i="4"/>
  <c r="D61" i="4"/>
  <c r="D52" i="4"/>
  <c r="D47" i="4"/>
  <c r="D34" i="4"/>
  <c r="D19" i="4"/>
  <c r="D25" i="4"/>
  <c r="D116" i="4"/>
  <c r="D108" i="4"/>
  <c r="D97" i="4"/>
  <c r="D103" i="4"/>
  <c r="D81" i="4"/>
  <c r="D71" i="4"/>
  <c r="D62" i="4"/>
  <c r="D48" i="4"/>
  <c r="D14" i="4"/>
  <c r="D20" i="4"/>
  <c r="D26" i="4"/>
  <c r="D115" i="4"/>
  <c r="D92" i="4"/>
  <c r="D82" i="4"/>
  <c r="D67" i="4"/>
  <c r="D43" i="4"/>
  <c r="D42" i="4"/>
  <c r="D15" i="4"/>
  <c r="D21" i="4"/>
  <c r="D27" i="4"/>
  <c r="D114" i="4"/>
  <c r="D93" i="4"/>
  <c r="D99" i="4"/>
  <c r="D91" i="4"/>
  <c r="D83" i="4"/>
  <c r="D59" i="4"/>
  <c r="D44" i="4"/>
  <c r="D37" i="4"/>
  <c r="D16" i="4"/>
  <c r="D22" i="4"/>
  <c r="D13" i="4"/>
  <c r="D109" i="4"/>
  <c r="D100" i="4"/>
  <c r="D78" i="4"/>
  <c r="D66" i="4"/>
  <c r="D53" i="4"/>
  <c r="D45" i="4"/>
  <c r="D35" i="4"/>
  <c r="D17" i="4"/>
  <c r="D23" i="4"/>
  <c r="D6" i="4"/>
  <c r="D110" i="4"/>
  <c r="D95" i="4"/>
  <c r="D79" i="4"/>
  <c r="D60" i="4"/>
  <c r="D46" i="4"/>
  <c r="D36" i="4"/>
  <c r="D18" i="4"/>
  <c r="D24" i="4"/>
  <c r="D5" i="4"/>
  <c r="D117" i="4"/>
  <c r="D63" i="4"/>
  <c r="D98" i="4"/>
  <c r="D101" i="4"/>
  <c r="D104" i="4"/>
  <c r="M117" i="4"/>
  <c r="M111" i="4"/>
  <c r="AB118" i="2"/>
  <c r="AB117" i="2"/>
  <c r="AB107" i="2"/>
  <c r="AB106" i="2"/>
  <c r="AB96" i="2"/>
  <c r="AB95" i="2"/>
  <c r="AB85" i="2"/>
  <c r="AB88" i="2" s="1"/>
  <c r="AB89" i="2" s="1"/>
  <c r="AB84" i="2"/>
  <c r="AB74" i="2"/>
  <c r="AB80" i="2" s="1"/>
  <c r="AB73" i="2"/>
  <c r="AB63" i="2"/>
  <c r="AB68" i="2" s="1"/>
  <c r="AB62" i="2"/>
  <c r="AB52" i="2"/>
  <c r="AB58" i="2" s="1"/>
  <c r="AB51" i="2"/>
  <c r="AB41" i="2"/>
  <c r="AB47" i="2" s="1"/>
  <c r="AB40" i="2"/>
  <c r="AB30" i="2"/>
  <c r="AB29" i="2"/>
  <c r="AB19" i="2"/>
  <c r="AB24" i="2" s="1"/>
  <c r="AB18" i="2"/>
  <c r="AB127" i="2"/>
  <c r="AB8" i="2"/>
  <c r="AB14" i="2" s="1"/>
  <c r="AB7" i="2"/>
  <c r="AB126" i="2"/>
  <c r="AB124" i="2"/>
  <c r="AB108" i="2"/>
  <c r="AB109" i="2" s="1"/>
  <c r="AB113" i="2"/>
  <c r="AB101" i="2"/>
  <c r="AB97" i="2"/>
  <c r="AB98" i="2" s="1"/>
  <c r="AB102" i="2"/>
  <c r="AB91" i="2"/>
  <c r="AB90" i="2"/>
  <c r="AB75" i="2"/>
  <c r="AB76" i="2" s="1"/>
  <c r="AB57" i="2"/>
  <c r="AB36" i="2"/>
  <c r="BG126" i="2"/>
  <c r="AB25" i="2" l="1"/>
  <c r="AB20" i="2"/>
  <c r="AB22" i="2"/>
  <c r="AB23" i="2" s="1"/>
  <c r="AB86" i="2"/>
  <c r="AB87" i="2" s="1"/>
  <c r="AB44" i="2"/>
  <c r="AB45" i="2" s="1"/>
  <c r="AB110" i="2"/>
  <c r="AB111" i="2" s="1"/>
  <c r="AB77" i="2"/>
  <c r="AB78" i="2" s="1"/>
  <c r="AB79" i="2"/>
  <c r="AB42" i="2"/>
  <c r="AB43" i="2" s="1"/>
  <c r="AB13" i="2"/>
  <c r="AB46" i="2"/>
  <c r="AB9" i="2"/>
  <c r="AB10" i="2" s="1"/>
  <c r="AB21" i="2"/>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BJ84"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134" i="2" l="1"/>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BH42" i="8" s="1"/>
  <c r="BJ42" i="8" s="1"/>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18" i="8" l="1"/>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H67" i="8" s="1"/>
  <c r="BJ67" i="8" s="1"/>
  <c r="BG7" i="8"/>
  <c r="BH7" i="8" s="1"/>
  <c r="BJ7" i="8" s="1"/>
  <c r="AC50" i="8"/>
  <c r="BG68" i="8"/>
  <c r="BH68" i="8" s="1"/>
  <c r="BJ68" i="8" s="1"/>
  <c r="BI73" i="8"/>
  <c r="BH19" i="8"/>
  <c r="BJ19" i="8" s="1"/>
  <c r="C73" i="8"/>
  <c r="AC25" i="8"/>
  <c r="AC37" i="8"/>
  <c r="AC61" i="8"/>
  <c r="AD73" i="8"/>
  <c r="AR73" i="8"/>
  <c r="AZ73" i="8"/>
  <c r="AF73" i="8"/>
  <c r="BD73" i="8"/>
  <c r="BB73" i="8"/>
  <c r="AP73" i="8"/>
  <c r="AV73" i="8"/>
  <c r="AC56" i="8"/>
  <c r="BG56" i="8"/>
  <c r="AC62" i="8"/>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BH72" i="8" s="1"/>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C63"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J72" i="8" l="1"/>
  <c r="BH44" i="8"/>
  <c r="BJ44" i="8" s="1"/>
  <c r="BH37" i="8"/>
  <c r="BJ37" i="8" s="1"/>
  <c r="BH25" i="8"/>
  <c r="BJ25" i="8" s="1"/>
  <c r="BG61" i="8"/>
  <c r="BG73" i="8" s="1"/>
  <c r="BI75" i="8"/>
  <c r="BH43" i="8"/>
  <c r="BJ43" i="8" s="1"/>
  <c r="BH14" i="8"/>
  <c r="BJ14" i="8" s="1"/>
  <c r="AC15" i="8"/>
  <c r="BH38" i="8"/>
  <c r="BJ38" i="8" s="1"/>
  <c r="BH50" i="8"/>
  <c r="BJ50" i="8" s="1"/>
  <c r="BH61" i="8"/>
  <c r="BJ61"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73" i="8" l="1"/>
  <c r="BJ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2" i="4"/>
  <c r="F72" i="4"/>
  <c r="I71" i="4"/>
  <c r="F71" i="4"/>
  <c r="I66" i="4"/>
  <c r="F66" i="4"/>
  <c r="I62" i="4"/>
  <c r="F62" i="4"/>
  <c r="I61" i="4"/>
  <c r="F61" i="4"/>
  <c r="I60" i="4"/>
  <c r="F60" i="4"/>
  <c r="I59" i="4"/>
  <c r="F59" i="4"/>
  <c r="AC127" i="2"/>
  <c r="AC126" i="2"/>
  <c r="AC118" i="2"/>
  <c r="AC117" i="2"/>
  <c r="AC107" i="2"/>
  <c r="AC113" i="2" s="1"/>
  <c r="AC106" i="2"/>
  <c r="AC96" i="2"/>
  <c r="AC95" i="2"/>
  <c r="AC85" i="2"/>
  <c r="AC91" i="2" s="1"/>
  <c r="AC84" i="2"/>
  <c r="AC74" i="2"/>
  <c r="AC73" i="2"/>
  <c r="AC63" i="2"/>
  <c r="AC69" i="2" s="1"/>
  <c r="AC62" i="2"/>
  <c r="AC52" i="2"/>
  <c r="AC51" i="2"/>
  <c r="AC41" i="2"/>
  <c r="AC40" i="2"/>
  <c r="H100" i="4" s="1"/>
  <c r="AC30" i="2"/>
  <c r="I99" i="4" s="1"/>
  <c r="AC29" i="2"/>
  <c r="H99" i="4" s="1"/>
  <c r="H101" i="4" s="1"/>
  <c r="AC19" i="2"/>
  <c r="AC25" i="2" s="1"/>
  <c r="AC18" i="2"/>
  <c r="AC8" i="2"/>
  <c r="AC14" i="2" s="1"/>
  <c r="AC7" i="2"/>
  <c r="AC47" i="2" l="1"/>
  <c r="I100" i="4"/>
  <c r="K99" i="4"/>
  <c r="L99" i="4" s="1"/>
  <c r="M99" i="4"/>
  <c r="I101"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3" i="4"/>
  <c r="I73" i="4"/>
  <c r="I63" i="4"/>
  <c r="AC129" i="2"/>
  <c r="I27" i="11" s="1"/>
  <c r="Q27" i="11" s="1"/>
  <c r="R27" i="11" s="1"/>
  <c r="F63"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8" i="4"/>
  <c r="F48" i="4"/>
  <c r="I45" i="4"/>
  <c r="F45" i="4"/>
  <c r="I44" i="4"/>
  <c r="F44" i="4"/>
  <c r="I47" i="4"/>
  <c r="F47" i="4"/>
  <c r="I46" i="4"/>
  <c r="F46" i="4"/>
  <c r="I43" i="4"/>
  <c r="F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K101" i="4" l="1"/>
  <c r="L101" i="4" s="1"/>
  <c r="M101" i="4"/>
  <c r="K100" i="4"/>
  <c r="L100" i="4" s="1"/>
  <c r="M100" i="4"/>
  <c r="C27" i="11"/>
  <c r="M27" i="11" s="1"/>
  <c r="N27" i="11" s="1"/>
  <c r="H27" i="4"/>
  <c r="AV21" i="2"/>
  <c r="AS21" i="2"/>
  <c r="AC21" i="2"/>
  <c r="O27" i="11"/>
  <c r="K27" i="11"/>
  <c r="L27" i="11" s="1"/>
  <c r="AC130" i="2"/>
  <c r="AC131" i="2" s="1"/>
  <c r="AC134" i="2"/>
  <c r="D27" i="5"/>
  <c r="I27" i="5"/>
  <c r="M27" i="5" s="1"/>
  <c r="J27" i="4"/>
  <c r="AC132" i="2"/>
  <c r="AC133" i="2" s="1"/>
  <c r="I42" i="4"/>
  <c r="I49" i="4" s="1"/>
  <c r="F42" i="4"/>
  <c r="M27" i="4" l="1"/>
  <c r="N27" i="4" s="1"/>
  <c r="K27" i="4"/>
  <c r="L27" i="4" s="1"/>
  <c r="O27" i="4"/>
  <c r="K27" i="5"/>
  <c r="L27" i="5" s="1"/>
  <c r="F49" i="4"/>
  <c r="I83"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2"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3"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2"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7" i="4" s="1"/>
  <c r="AP52" i="2"/>
  <c r="AO52" i="2"/>
  <c r="AN52" i="2"/>
  <c r="AM52" i="2"/>
  <c r="AL52" i="2"/>
  <c r="AK52" i="2"/>
  <c r="AJ52" i="2"/>
  <c r="AI52" i="2"/>
  <c r="AH52" i="2"/>
  <c r="AG52" i="2"/>
  <c r="AF52" i="2"/>
  <c r="AE52" i="2"/>
  <c r="AA52" i="2"/>
  <c r="Z52" i="2"/>
  <c r="Y52" i="2"/>
  <c r="X52" i="2"/>
  <c r="W52" i="2"/>
  <c r="V52" i="2"/>
  <c r="I93"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P80" i="2" s="1"/>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AO85" i="2"/>
  <c r="AN85" i="2"/>
  <c r="AM85" i="2"/>
  <c r="AM91" i="2" s="1"/>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D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M102" i="4" l="1"/>
  <c r="I104" i="4"/>
  <c r="AQ36" i="2"/>
  <c r="I95" i="4"/>
  <c r="M103" i="4"/>
  <c r="M92" i="4"/>
  <c r="I94" i="4"/>
  <c r="AQ47" i="2"/>
  <c r="I96" i="4"/>
  <c r="M93"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59" i="4"/>
  <c r="O59" i="4" s="1"/>
  <c r="I73" i="5"/>
  <c r="M73" i="5" s="1"/>
  <c r="J72" i="4"/>
  <c r="I67" i="5"/>
  <c r="M67" i="5" s="1"/>
  <c r="J66" i="4"/>
  <c r="O66" i="4" s="1"/>
  <c r="I63" i="5"/>
  <c r="M63" i="5" s="1"/>
  <c r="J62" i="4"/>
  <c r="I62" i="5"/>
  <c r="M62" i="5" s="1"/>
  <c r="J61" i="4"/>
  <c r="I61" i="5"/>
  <c r="M61" i="5" s="1"/>
  <c r="J60" i="4"/>
  <c r="I72" i="5"/>
  <c r="M72" i="5" s="1"/>
  <c r="J71" i="4"/>
  <c r="O71"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5" i="4"/>
  <c r="O45"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J48" i="4"/>
  <c r="O48" i="4" s="1"/>
  <c r="AM86" i="2"/>
  <c r="AM87" i="2" s="1"/>
  <c r="AQ86" i="2"/>
  <c r="AQ87" i="2" s="1"/>
  <c r="AW86" i="2"/>
  <c r="AW87" i="2" s="1"/>
  <c r="J47" i="4"/>
  <c r="O47"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4" i="4"/>
  <c r="O44"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6" i="4"/>
  <c r="O46"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06" i="2"/>
  <c r="BJ110" i="2" s="1"/>
  <c r="BJ111" i="2" s="1"/>
  <c r="BG106" i="2"/>
  <c r="BG110" i="2" s="1"/>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0"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7" i="4" s="1"/>
  <c r="AZ84" i="2"/>
  <c r="AY84" i="2"/>
  <c r="AY88" i="2" s="1"/>
  <c r="AY89" i="2" s="1"/>
  <c r="AX84" i="2"/>
  <c r="AX88" i="2" s="1"/>
  <c r="AX89" i="2" s="1"/>
  <c r="AW84" i="2"/>
  <c r="AW88" i="2" s="1"/>
  <c r="AW89" i="2" s="1"/>
  <c r="AU84" i="2"/>
  <c r="H45" i="4" s="1"/>
  <c r="M45" i="4" s="1"/>
  <c r="N45" i="4" s="1"/>
  <c r="AT84" i="2"/>
  <c r="AT88" i="2" s="1"/>
  <c r="AT89" i="2" s="1"/>
  <c r="AR84" i="2"/>
  <c r="H44" i="4" s="1"/>
  <c r="AQ84" i="2"/>
  <c r="AQ88" i="2" s="1"/>
  <c r="AQ89" i="2" s="1"/>
  <c r="AP84" i="2"/>
  <c r="AP88" i="2" s="1"/>
  <c r="AP89" i="2" s="1"/>
  <c r="AO84" i="2"/>
  <c r="AO88" i="2" s="1"/>
  <c r="AO89" i="2" s="1"/>
  <c r="AN84" i="2"/>
  <c r="AN88" i="2" s="1"/>
  <c r="AN89" i="2" s="1"/>
  <c r="AM84" i="2"/>
  <c r="H48" i="4" s="1"/>
  <c r="M48" i="4" s="1"/>
  <c r="N48"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6"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2" i="4" s="1"/>
  <c r="M62" i="4" s="1"/>
  <c r="N62" i="4" s="1"/>
  <c r="AM62" i="2"/>
  <c r="H59"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1" i="4" s="1"/>
  <c r="M61" i="4" s="1"/>
  <c r="N61"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18" i="2"/>
  <c r="D22" i="2" s="1"/>
  <c r="D23" i="2" s="1"/>
  <c r="C18" i="2"/>
  <c r="AQ55" i="2" l="1"/>
  <c r="AQ56" i="2" s="1"/>
  <c r="H97" i="4"/>
  <c r="K97" i="4" s="1"/>
  <c r="L97" i="4" s="1"/>
  <c r="I98" i="4"/>
  <c r="V44" i="2"/>
  <c r="V45" i="2" s="1"/>
  <c r="H92" i="4"/>
  <c r="K92" i="4" s="1"/>
  <c r="L92" i="4" s="1"/>
  <c r="H72" i="4"/>
  <c r="M72" i="4" s="1"/>
  <c r="N72" i="4" s="1"/>
  <c r="H96" i="4"/>
  <c r="M94" i="4"/>
  <c r="V55" i="2"/>
  <c r="V56" i="2" s="1"/>
  <c r="H93" i="4"/>
  <c r="K93" i="4" s="1"/>
  <c r="L93" i="4" s="1"/>
  <c r="V33" i="2"/>
  <c r="V34" i="2" s="1"/>
  <c r="H91" i="4"/>
  <c r="H71" i="4"/>
  <c r="M71" i="4" s="1"/>
  <c r="N71" i="4" s="1"/>
  <c r="H95" i="4"/>
  <c r="H98" i="4" s="1"/>
  <c r="M104" i="4"/>
  <c r="K96" i="4"/>
  <c r="L96" i="4" s="1"/>
  <c r="M96" i="4"/>
  <c r="M66" i="4"/>
  <c r="N66" i="4" s="1"/>
  <c r="BB33" i="2"/>
  <c r="BB34" i="2" s="1"/>
  <c r="H102" i="4"/>
  <c r="BB44" i="2"/>
  <c r="BB45" i="2" s="1"/>
  <c r="H103" i="4"/>
  <c r="K103" i="4" s="1"/>
  <c r="L103" i="4" s="1"/>
  <c r="M44" i="4"/>
  <c r="N44" i="4" s="1"/>
  <c r="M60" i="4"/>
  <c r="N60" i="4" s="1"/>
  <c r="M59" i="4"/>
  <c r="N59" i="4" s="1"/>
  <c r="H63" i="4"/>
  <c r="M43" i="4"/>
  <c r="N43" i="4" s="1"/>
  <c r="M47" i="4"/>
  <c r="N47" i="4" s="1"/>
  <c r="C46" i="11"/>
  <c r="M46" i="11" s="1"/>
  <c r="N46" i="11" s="1"/>
  <c r="H46" i="4"/>
  <c r="M46" i="4" s="1"/>
  <c r="N46" i="4" s="1"/>
  <c r="K72" i="4"/>
  <c r="L72" i="4" s="1"/>
  <c r="O72" i="4"/>
  <c r="K62" i="4"/>
  <c r="O62" i="4"/>
  <c r="K60" i="4"/>
  <c r="L60" i="4" s="1"/>
  <c r="O60" i="4"/>
  <c r="K61" i="4"/>
  <c r="L61" i="4" s="1"/>
  <c r="O61" i="4"/>
  <c r="L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3" i="4"/>
  <c r="BG135" i="2"/>
  <c r="J73" i="4"/>
  <c r="K71" i="4"/>
  <c r="L71" i="4" s="1"/>
  <c r="K66" i="4"/>
  <c r="L66" i="4" s="1"/>
  <c r="I74" i="5"/>
  <c r="J63" i="4"/>
  <c r="K59" i="4"/>
  <c r="L59"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6" i="4"/>
  <c r="K44" i="4"/>
  <c r="K48" i="4"/>
  <c r="AE99" i="2"/>
  <c r="AE100" i="2" s="1"/>
  <c r="J42" i="4"/>
  <c r="O42" i="4" s="1"/>
  <c r="K43" i="4"/>
  <c r="K47" i="4"/>
  <c r="K45"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73" i="4" l="1"/>
  <c r="H104" i="4"/>
  <c r="K104" i="4" s="1"/>
  <c r="L104" i="4" s="1"/>
  <c r="K102" i="4"/>
  <c r="L102" i="4" s="1"/>
  <c r="K98" i="4"/>
  <c r="L98" i="4" s="1"/>
  <c r="M98" i="4"/>
  <c r="K95" i="4"/>
  <c r="L95" i="4" s="1"/>
  <c r="H94" i="4"/>
  <c r="K94" i="4" s="1"/>
  <c r="L94" i="4" s="1"/>
  <c r="K91" i="4"/>
  <c r="L91" i="4" s="1"/>
  <c r="M73" i="4"/>
  <c r="N73" i="4" s="1"/>
  <c r="H42" i="4"/>
  <c r="M63" i="4"/>
  <c r="N63" i="4" s="1"/>
  <c r="AD121" i="2"/>
  <c r="AD122" i="2" s="1"/>
  <c r="BI117" i="2"/>
  <c r="K83" i="4"/>
  <c r="L83" i="4" s="1"/>
  <c r="K63" i="4"/>
  <c r="L63" i="4" s="1"/>
  <c r="O63" i="4"/>
  <c r="K73" i="4"/>
  <c r="L73" i="4" s="1"/>
  <c r="O73" i="4"/>
  <c r="L48" i="4"/>
  <c r="L44" i="4"/>
  <c r="L47" i="4"/>
  <c r="L46" i="4"/>
  <c r="L43" i="4"/>
  <c r="L45"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49" i="4"/>
  <c r="O49"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3" i="4"/>
  <c r="M83" i="4" s="1"/>
  <c r="N83" i="4" s="1"/>
  <c r="H49" i="4"/>
  <c r="M49" i="4" s="1"/>
  <c r="N49"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76" i="2"/>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49" i="4"/>
  <c r="L49" i="4" l="1"/>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I68" i="11" s="1"/>
  <c r="Q68" i="11" s="1"/>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F77" i="11" l="1"/>
  <c r="R77" i="11" s="1"/>
  <c r="F78" i="11"/>
  <c r="K19" i="11"/>
  <c r="L19" i="11" s="1"/>
  <c r="BM21" i="2"/>
  <c r="K26" i="11"/>
  <c r="L26" i="11" s="1"/>
  <c r="K21" i="11"/>
  <c r="L21" i="11" s="1"/>
  <c r="K23" i="11"/>
  <c r="L23" i="11" s="1"/>
  <c r="K14" i="11"/>
  <c r="L14" i="11" s="1"/>
  <c r="H34" i="11"/>
  <c r="R17" i="11"/>
  <c r="R20" i="11"/>
  <c r="R22" i="11"/>
  <c r="R26" i="11"/>
  <c r="R35" i="11"/>
  <c r="R52" i="11"/>
  <c r="R56" i="11"/>
  <c r="R79" i="11"/>
  <c r="Q69" i="11"/>
  <c r="R68" i="11"/>
  <c r="R69" i="11" s="1"/>
  <c r="R14" i="11"/>
  <c r="R16" i="11"/>
  <c r="R18" i="11"/>
  <c r="R19" i="11"/>
  <c r="R21" i="11"/>
  <c r="R23" i="11"/>
  <c r="R25" i="11"/>
  <c r="R36" i="11"/>
  <c r="R53" i="11"/>
  <c r="R78"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2" i="4"/>
  <c r="H52" i="11"/>
  <c r="I56" i="4"/>
  <c r="H56" i="11"/>
  <c r="K56" i="11" s="1"/>
  <c r="L56" i="11" s="1"/>
  <c r="I78" i="4"/>
  <c r="H77" i="11"/>
  <c r="I80" i="4"/>
  <c r="H79" i="11"/>
  <c r="K79" i="11" s="1"/>
  <c r="L79" i="11" s="1"/>
  <c r="O14" i="11"/>
  <c r="O16" i="11"/>
  <c r="O18" i="11"/>
  <c r="O19" i="11"/>
  <c r="O21" i="11"/>
  <c r="O23" i="11"/>
  <c r="O25" i="11"/>
  <c r="O36" i="11"/>
  <c r="O53" i="11"/>
  <c r="O68" i="11"/>
  <c r="I69" i="11"/>
  <c r="O78" i="11"/>
  <c r="O80" i="11"/>
  <c r="O81" i="11"/>
  <c r="F34" i="11"/>
  <c r="F69" i="11"/>
  <c r="I16" i="4"/>
  <c r="H16" i="11"/>
  <c r="K16" i="11" s="1"/>
  <c r="L16" i="11" s="1"/>
  <c r="I36" i="4"/>
  <c r="H36" i="11"/>
  <c r="K36" i="11" s="1"/>
  <c r="L36" i="11" s="1"/>
  <c r="I53" i="4"/>
  <c r="H53" i="11"/>
  <c r="K53" i="11" s="1"/>
  <c r="L53" i="11" s="1"/>
  <c r="I67" i="4"/>
  <c r="I68" i="4" s="1"/>
  <c r="H68" i="11"/>
  <c r="I79" i="4"/>
  <c r="H78" i="11"/>
  <c r="K78" i="11" s="1"/>
  <c r="L78" i="11" s="1"/>
  <c r="I81" i="4"/>
  <c r="H80" i="11"/>
  <c r="K80" i="11" s="1"/>
  <c r="L80" i="11" s="1"/>
  <c r="I82" i="4"/>
  <c r="H81" i="11"/>
  <c r="K81" i="11" s="1"/>
  <c r="L81" i="11" s="1"/>
  <c r="I28" i="11"/>
  <c r="O15" i="11"/>
  <c r="O17" i="11"/>
  <c r="O20" i="11"/>
  <c r="O22" i="11"/>
  <c r="O24" i="11"/>
  <c r="O26" i="11"/>
  <c r="O35" i="11"/>
  <c r="O52" i="11"/>
  <c r="I54" i="11"/>
  <c r="O56" i="11"/>
  <c r="I83" i="11"/>
  <c r="O77"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6" i="4"/>
  <c r="I17" i="5"/>
  <c r="J17" i="4"/>
  <c r="I34" i="5"/>
  <c r="J34" i="4"/>
  <c r="J67" i="4"/>
  <c r="I68" i="5"/>
  <c r="I78" i="5"/>
  <c r="J79" i="4"/>
  <c r="I36" i="5"/>
  <c r="J36" i="4"/>
  <c r="I79" i="5"/>
  <c r="J80" i="4"/>
  <c r="I16" i="5"/>
  <c r="J16" i="4"/>
  <c r="I53" i="5"/>
  <c r="J53" i="4"/>
  <c r="I77" i="5"/>
  <c r="J78" i="4"/>
  <c r="I13" i="5"/>
  <c r="I81" i="5"/>
  <c r="J82" i="4"/>
  <c r="I15" i="5"/>
  <c r="J15" i="4"/>
  <c r="I22" i="5"/>
  <c r="J22" i="4"/>
  <c r="I26" i="5"/>
  <c r="J26" i="4"/>
  <c r="I35" i="5"/>
  <c r="J35" i="4"/>
  <c r="I52" i="5"/>
  <c r="J52" i="4"/>
  <c r="I80" i="5"/>
  <c r="J81" i="4"/>
  <c r="G36" i="5"/>
  <c r="F36" i="4"/>
  <c r="G79" i="5"/>
  <c r="F80" i="4"/>
  <c r="G82" i="5"/>
  <c r="M82" i="5" s="1"/>
  <c r="F83" i="4"/>
  <c r="O83" i="4" s="1"/>
  <c r="G35" i="5"/>
  <c r="F35" i="4"/>
  <c r="G52" i="5"/>
  <c r="F52" i="4"/>
  <c r="G80" i="5"/>
  <c r="F81" i="4"/>
  <c r="G53" i="5"/>
  <c r="F53" i="4"/>
  <c r="G56" i="5"/>
  <c r="F56" i="4"/>
  <c r="G77" i="5"/>
  <c r="F78" i="4"/>
  <c r="G34" i="5"/>
  <c r="F34" i="4"/>
  <c r="F67" i="4"/>
  <c r="F68" i="4" s="1"/>
  <c r="G68" i="5"/>
  <c r="G69" i="5" s="1"/>
  <c r="G78" i="5"/>
  <c r="F79" i="4"/>
  <c r="G81" i="5"/>
  <c r="F82"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O20" i="4" s="1"/>
  <c r="J24" i="4"/>
  <c r="O24" i="4" s="1"/>
  <c r="S130" i="2"/>
  <c r="S131" i="2" s="1"/>
  <c r="I24" i="4"/>
  <c r="J14" i="4"/>
  <c r="O14" i="4" s="1"/>
  <c r="J18" i="4"/>
  <c r="J21" i="4"/>
  <c r="O21" i="4" s="1"/>
  <c r="J23" i="4"/>
  <c r="O23" i="4" s="1"/>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M35" i="4" s="1"/>
  <c r="N35" i="4" s="1"/>
  <c r="AH128" i="2"/>
  <c r="AH132" i="2" s="1"/>
  <c r="AH133" i="2" s="1"/>
  <c r="BB128" i="2"/>
  <c r="BB132" i="2" s="1"/>
  <c r="BB133" i="2" s="1"/>
  <c r="AD11" i="2"/>
  <c r="AD12" i="2" s="1"/>
  <c r="W128" i="2"/>
  <c r="W132" i="2" s="1"/>
  <c r="W133" i="2" s="1"/>
  <c r="BF128" i="2"/>
  <c r="H82" i="4" s="1"/>
  <c r="M82" i="4" s="1"/>
  <c r="N82"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M36" i="4" s="1"/>
  <c r="N36" i="4" s="1"/>
  <c r="AM128" i="2"/>
  <c r="AM132" i="2" s="1"/>
  <c r="AM133" i="2" s="1"/>
  <c r="AQ128" i="2"/>
  <c r="AQ132" i="2" s="1"/>
  <c r="AQ133" i="2" s="1"/>
  <c r="BA128" i="2"/>
  <c r="BA132" i="2" s="1"/>
  <c r="BA133" i="2" s="1"/>
  <c r="BD128" i="2"/>
  <c r="H81" i="4" s="1"/>
  <c r="M81" i="4" s="1"/>
  <c r="N81" i="4" s="1"/>
  <c r="M128" i="2"/>
  <c r="H22" i="4" s="1"/>
  <c r="V128" i="2"/>
  <c r="H26" i="4" s="1"/>
  <c r="M26" i="4" s="1"/>
  <c r="N26" i="4" s="1"/>
  <c r="Z128" i="2"/>
  <c r="Z132" i="2" s="1"/>
  <c r="Z133" i="2" s="1"/>
  <c r="H128" i="2"/>
  <c r="K128" i="2"/>
  <c r="O128" i="2"/>
  <c r="O132" i="2" s="1"/>
  <c r="O133" i="2" s="1"/>
  <c r="S128" i="2"/>
  <c r="X128" i="2"/>
  <c r="X132" i="2" s="1"/>
  <c r="X133" i="2" s="1"/>
  <c r="C128" i="2"/>
  <c r="G128" i="2"/>
  <c r="H17" i="4" s="1"/>
  <c r="M17" i="4" s="1"/>
  <c r="N17" i="4" s="1"/>
  <c r="AE128" i="2"/>
  <c r="H34" i="4" s="1"/>
  <c r="AP128" i="2"/>
  <c r="H67" i="4" s="1"/>
  <c r="AU128" i="2"/>
  <c r="AU132" i="2" s="1"/>
  <c r="AU133" i="2" s="1"/>
  <c r="AZ128" i="2"/>
  <c r="AZ132" i="2" s="1"/>
  <c r="AZ133" i="2" s="1"/>
  <c r="BC128" i="2"/>
  <c r="H80" i="4" s="1"/>
  <c r="M80" i="4" s="1"/>
  <c r="N80" i="4" s="1"/>
  <c r="L128" i="2"/>
  <c r="P128" i="2"/>
  <c r="T128" i="2"/>
  <c r="Y128" i="2"/>
  <c r="Y132" i="2" s="1"/>
  <c r="Y133" i="2" s="1"/>
  <c r="AX128" i="2"/>
  <c r="H79" i="4" s="1"/>
  <c r="M79" i="4" s="1"/>
  <c r="N79" i="4" s="1"/>
  <c r="AW128" i="2"/>
  <c r="H78" i="4" s="1"/>
  <c r="AL128" i="2"/>
  <c r="AI128" i="2"/>
  <c r="AI132" i="2" s="1"/>
  <c r="AI133" i="2" s="1"/>
  <c r="R128" i="2"/>
  <c r="R132" i="2" s="1"/>
  <c r="R133" i="2" s="1"/>
  <c r="F128" i="2"/>
  <c r="H16" i="4" s="1"/>
  <c r="M16" i="4" s="1"/>
  <c r="N16" i="4" s="1"/>
  <c r="D128" i="2"/>
  <c r="E128" i="2"/>
  <c r="H15" i="4" s="1"/>
  <c r="M15" i="4" s="1"/>
  <c r="N15" i="4" s="1"/>
  <c r="M22" i="4" l="1"/>
  <c r="N22" i="4" s="1"/>
  <c r="C14" i="11"/>
  <c r="H14" i="4"/>
  <c r="M14" i="4" s="1"/>
  <c r="N14" i="4" s="1"/>
  <c r="C53" i="11"/>
  <c r="H53" i="4"/>
  <c r="M53" i="4" s="1"/>
  <c r="N53" i="4" s="1"/>
  <c r="C25" i="11"/>
  <c r="H25" i="4"/>
  <c r="M25" i="4" s="1"/>
  <c r="N25" i="4" s="1"/>
  <c r="C21" i="11"/>
  <c r="H21" i="4"/>
  <c r="M21" i="4" s="1"/>
  <c r="N21" i="4" s="1"/>
  <c r="H68" i="4"/>
  <c r="M67" i="4"/>
  <c r="N67" i="4" s="1"/>
  <c r="C18" i="11"/>
  <c r="M18" i="11" s="1"/>
  <c r="N18" i="11" s="1"/>
  <c r="H18" i="4"/>
  <c r="M18" i="4" s="1"/>
  <c r="N18" i="4" s="1"/>
  <c r="C52" i="11"/>
  <c r="H52" i="4"/>
  <c r="C19" i="11"/>
  <c r="H19" i="4"/>
  <c r="M19" i="4" s="1"/>
  <c r="N19" i="4" s="1"/>
  <c r="H84" i="4"/>
  <c r="M78" i="4"/>
  <c r="N78" i="4" s="1"/>
  <c r="C23" i="11"/>
  <c r="M23" i="11" s="1"/>
  <c r="N23" i="11" s="1"/>
  <c r="H23" i="4"/>
  <c r="M23" i="4" s="1"/>
  <c r="N23" i="4" s="1"/>
  <c r="H37" i="4"/>
  <c r="M34" i="4"/>
  <c r="N34" i="4" s="1"/>
  <c r="C13" i="11"/>
  <c r="M13" i="11" s="1"/>
  <c r="N13" i="11" s="1"/>
  <c r="H13" i="4"/>
  <c r="C24" i="11"/>
  <c r="M24" i="11" s="1"/>
  <c r="N24" i="11" s="1"/>
  <c r="H24" i="4"/>
  <c r="M24" i="4" s="1"/>
  <c r="N24" i="4" s="1"/>
  <c r="C20" i="11"/>
  <c r="M20" i="11" s="1"/>
  <c r="N20" i="11" s="1"/>
  <c r="H20" i="4"/>
  <c r="M20" i="4" s="1"/>
  <c r="N20" i="4" s="1"/>
  <c r="C56" i="11"/>
  <c r="M56" i="11" s="1"/>
  <c r="N56" i="11" s="1"/>
  <c r="H56" i="4"/>
  <c r="M56" i="4" s="1"/>
  <c r="N56" i="4" s="1"/>
  <c r="O16" i="4"/>
  <c r="O25" i="4"/>
  <c r="O53" i="4"/>
  <c r="O36" i="4"/>
  <c r="O34" i="4"/>
  <c r="O82" i="4"/>
  <c r="O18" i="4"/>
  <c r="O13" i="4"/>
  <c r="O78" i="4"/>
  <c r="O80" i="4"/>
  <c r="O56" i="4"/>
  <c r="O19" i="4"/>
  <c r="O35" i="4"/>
  <c r="O15" i="4"/>
  <c r="O67" i="4"/>
  <c r="O81" i="4"/>
  <c r="O26" i="4"/>
  <c r="O79" i="4"/>
  <c r="O17" i="4"/>
  <c r="O52" i="4"/>
  <c r="O22" i="4"/>
  <c r="I37" i="4"/>
  <c r="I5" i="11"/>
  <c r="Q5" i="11" s="1"/>
  <c r="K16" i="4"/>
  <c r="K80" i="4"/>
  <c r="K36" i="4"/>
  <c r="K79" i="4"/>
  <c r="K17" i="4"/>
  <c r="K56" i="4"/>
  <c r="O13" i="11"/>
  <c r="R28" i="11"/>
  <c r="K34" i="11"/>
  <c r="L34" i="11" s="1"/>
  <c r="I54" i="4"/>
  <c r="K53" i="4"/>
  <c r="F83" i="11"/>
  <c r="R82" i="11"/>
  <c r="R83" i="11" s="1"/>
  <c r="I84" i="4"/>
  <c r="R54" i="11"/>
  <c r="Q37" i="11"/>
  <c r="Q85" i="11" s="1"/>
  <c r="R34" i="11"/>
  <c r="R37" i="11" s="1"/>
  <c r="M25" i="5"/>
  <c r="K81" i="4"/>
  <c r="K82" i="4"/>
  <c r="M13" i="5"/>
  <c r="C34" i="11"/>
  <c r="M34" i="11" s="1"/>
  <c r="N34" i="11" s="1"/>
  <c r="F7" i="11"/>
  <c r="G15" i="11" s="1"/>
  <c r="BM126" i="2"/>
  <c r="K22" i="4"/>
  <c r="K35" i="4"/>
  <c r="K15" i="4"/>
  <c r="I37" i="11"/>
  <c r="I85" i="11" s="1"/>
  <c r="O34" i="11"/>
  <c r="D15" i="5"/>
  <c r="K15" i="5" s="1"/>
  <c r="L15" i="5" s="1"/>
  <c r="C15" i="11"/>
  <c r="D78" i="5"/>
  <c r="K78" i="5" s="1"/>
  <c r="L78" i="5" s="1"/>
  <c r="C78" i="11"/>
  <c r="D68" i="5"/>
  <c r="C68" i="11"/>
  <c r="D17" i="5"/>
  <c r="K17" i="5" s="1"/>
  <c r="L17" i="5" s="1"/>
  <c r="C17" i="11"/>
  <c r="D26" i="5"/>
  <c r="K26" i="5" s="1"/>
  <c r="L26" i="5" s="1"/>
  <c r="C26" i="11"/>
  <c r="D80" i="5"/>
  <c r="K80" i="5" s="1"/>
  <c r="L80" i="5" s="1"/>
  <c r="C80" i="11"/>
  <c r="D36" i="5"/>
  <c r="K36" i="5" s="1"/>
  <c r="L36" i="5" s="1"/>
  <c r="C36" i="11"/>
  <c r="C54" i="11"/>
  <c r="M54" i="11" s="1"/>
  <c r="N54" i="11" s="1"/>
  <c r="D81" i="5"/>
  <c r="C81" i="11"/>
  <c r="BI126" i="2"/>
  <c r="F5" i="11"/>
  <c r="F37" i="11"/>
  <c r="H28" i="11"/>
  <c r="K28" i="11" s="1"/>
  <c r="L28" i="11" s="1"/>
  <c r="K13" i="11"/>
  <c r="L13" i="11" s="1"/>
  <c r="M53" i="11"/>
  <c r="N53" i="11" s="1"/>
  <c r="M25" i="11"/>
  <c r="N25" i="11" s="1"/>
  <c r="M21" i="11"/>
  <c r="N21" i="11" s="1"/>
  <c r="M19" i="11"/>
  <c r="N19" i="11" s="1"/>
  <c r="M14" i="11"/>
  <c r="N14" i="11" s="1"/>
  <c r="D16" i="5"/>
  <c r="C16" i="11"/>
  <c r="D77" i="5"/>
  <c r="C77" i="11"/>
  <c r="D79" i="5"/>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69" i="5"/>
  <c r="D24" i="5"/>
  <c r="D20" i="5"/>
  <c r="D56" i="5"/>
  <c r="K56" i="5" s="1"/>
  <c r="L56" i="5" s="1"/>
  <c r="D23" i="5"/>
  <c r="D18" i="5"/>
  <c r="D52" i="5"/>
  <c r="K52" i="5" s="1"/>
  <c r="L52" i="5" s="1"/>
  <c r="D19" i="5"/>
  <c r="I28" i="5"/>
  <c r="K68" i="5"/>
  <c r="L68" i="5" s="1"/>
  <c r="I69" i="5"/>
  <c r="K79" i="5"/>
  <c r="L79" i="5" s="1"/>
  <c r="K81" i="5"/>
  <c r="L81" i="5" s="1"/>
  <c r="K67" i="4"/>
  <c r="J68" i="4"/>
  <c r="J54" i="4"/>
  <c r="K52" i="4"/>
  <c r="J84" i="4"/>
  <c r="K78" i="4"/>
  <c r="L78" i="4" s="1"/>
  <c r="J37" i="4"/>
  <c r="K34" i="4"/>
  <c r="I54" i="5"/>
  <c r="I83" i="5"/>
  <c r="K16" i="5"/>
  <c r="L16" i="5" s="1"/>
  <c r="I37" i="5"/>
  <c r="G83" i="5"/>
  <c r="G54" i="5"/>
  <c r="F84" i="4"/>
  <c r="F54" i="4"/>
  <c r="F5" i="4"/>
  <c r="F28" i="4" s="1"/>
  <c r="G5" i="5"/>
  <c r="F7" i="4"/>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M5" i="4" l="1"/>
  <c r="N5" i="4" s="1"/>
  <c r="M84" i="4"/>
  <c r="N84" i="4" s="1"/>
  <c r="M68" i="4"/>
  <c r="N68" i="4" s="1"/>
  <c r="M37" i="4"/>
  <c r="N37" i="4" s="1"/>
  <c r="M13" i="4"/>
  <c r="N13" i="4" s="1"/>
  <c r="H28" i="4"/>
  <c r="H54" i="4"/>
  <c r="M54" i="4" s="1"/>
  <c r="N54" i="4" s="1"/>
  <c r="M52" i="4"/>
  <c r="N52" i="4" s="1"/>
  <c r="O84" i="4"/>
  <c r="O5" i="4"/>
  <c r="O54" i="4"/>
  <c r="G14" i="4"/>
  <c r="G95" i="4"/>
  <c r="G93" i="4"/>
  <c r="G96" i="4"/>
  <c r="G94" i="4"/>
  <c r="G92" i="4"/>
  <c r="G116" i="4"/>
  <c r="G115" i="4"/>
  <c r="G114" i="4"/>
  <c r="G110" i="4"/>
  <c r="G109" i="4"/>
  <c r="G108" i="4"/>
  <c r="G99" i="4"/>
  <c r="G97" i="4"/>
  <c r="G103" i="4"/>
  <c r="G102" i="4"/>
  <c r="G100" i="4"/>
  <c r="G91" i="4"/>
  <c r="G111" i="4"/>
  <c r="G101" i="4"/>
  <c r="G104" i="4"/>
  <c r="G98" i="4"/>
  <c r="G117" i="4"/>
  <c r="K68" i="4"/>
  <c r="L68" i="4" s="1"/>
  <c r="O68" i="4"/>
  <c r="O37" i="4"/>
  <c r="L79" i="4"/>
  <c r="L15" i="4"/>
  <c r="L19" i="4"/>
  <c r="L24" i="4"/>
  <c r="L52" i="4"/>
  <c r="L35" i="4"/>
  <c r="L36" i="4"/>
  <c r="L20" i="4"/>
  <c r="L14" i="4"/>
  <c r="L82" i="4"/>
  <c r="L80" i="4"/>
  <c r="L21" i="4"/>
  <c r="L34" i="4"/>
  <c r="L22" i="4"/>
  <c r="L81" i="4"/>
  <c r="L16" i="4"/>
  <c r="L13" i="4"/>
  <c r="L25" i="4"/>
  <c r="L67" i="4"/>
  <c r="L56" i="4"/>
  <c r="L23" i="4"/>
  <c r="L18" i="4"/>
  <c r="L53" i="4"/>
  <c r="L17" i="4"/>
  <c r="O5" i="11"/>
  <c r="BI130" i="2"/>
  <c r="BI131" i="2" s="1"/>
  <c r="G77" i="11"/>
  <c r="G81" i="11"/>
  <c r="G91" i="11"/>
  <c r="C5" i="11"/>
  <c r="M5" i="11" s="1"/>
  <c r="N5" i="11" s="1"/>
  <c r="BI128" i="2"/>
  <c r="BI132" i="2" s="1"/>
  <c r="BI133" i="2" s="1"/>
  <c r="D83" i="5"/>
  <c r="K83" i="5" s="1"/>
  <c r="L83" i="5" s="1"/>
  <c r="K54" i="4"/>
  <c r="I86"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3" i="4"/>
  <c r="K19" i="5"/>
  <c r="L19" i="5" s="1"/>
  <c r="D54" i="5"/>
  <c r="K54" i="5" s="1"/>
  <c r="L54" i="5" s="1"/>
  <c r="K18" i="5"/>
  <c r="L18" i="5" s="1"/>
  <c r="K23" i="5"/>
  <c r="L23" i="5" s="1"/>
  <c r="D28" i="5"/>
  <c r="K28" i="5" s="1"/>
  <c r="L28" i="5" s="1"/>
  <c r="D5" i="5"/>
  <c r="K20" i="5"/>
  <c r="L20" i="5" s="1"/>
  <c r="K24" i="5"/>
  <c r="L24" i="5" s="1"/>
  <c r="K21" i="5"/>
  <c r="L21" i="5" s="1"/>
  <c r="K25" i="5"/>
  <c r="L25" i="5" s="1"/>
  <c r="K14" i="5"/>
  <c r="L14" i="5" s="1"/>
  <c r="J86" i="4"/>
  <c r="K84" i="4"/>
  <c r="I85" i="5"/>
  <c r="K69" i="5"/>
  <c r="L69" i="5" s="1"/>
  <c r="G17" i="4"/>
  <c r="G85" i="5"/>
  <c r="H85" i="5" s="1"/>
  <c r="G20" i="4"/>
  <c r="G66" i="4"/>
  <c r="G18" i="4"/>
  <c r="G43" i="4"/>
  <c r="G13" i="4"/>
  <c r="G36" i="4"/>
  <c r="G5" i="4"/>
  <c r="G52" i="4"/>
  <c r="G72" i="4"/>
  <c r="G83" i="4"/>
  <c r="G59" i="4"/>
  <c r="G21" i="4"/>
  <c r="G27" i="4"/>
  <c r="G16" i="4"/>
  <c r="G19" i="4"/>
  <c r="G48" i="4"/>
  <c r="G37" i="4"/>
  <c r="G78" i="4"/>
  <c r="G82" i="4"/>
  <c r="G71" i="4"/>
  <c r="G35" i="4"/>
  <c r="G63" i="4"/>
  <c r="G24" i="4"/>
  <c r="G26" i="4"/>
  <c r="G22" i="4"/>
  <c r="G49" i="4"/>
  <c r="G45" i="4"/>
  <c r="G44" i="4"/>
  <c r="G62" i="4"/>
  <c r="G56" i="4"/>
  <c r="G53" i="4"/>
  <c r="G81" i="4"/>
  <c r="G60" i="4"/>
  <c r="F6" i="4"/>
  <c r="G6" i="4" s="1"/>
  <c r="G23" i="4"/>
  <c r="G15" i="4"/>
  <c r="G25" i="4"/>
  <c r="G42" i="4"/>
  <c r="G46" i="4"/>
  <c r="G47" i="4"/>
  <c r="G34" i="4"/>
  <c r="G80" i="4"/>
  <c r="G79" i="4"/>
  <c r="G68" i="4"/>
  <c r="G67" i="4"/>
  <c r="G84" i="4"/>
  <c r="G61" i="4"/>
  <c r="G54" i="4"/>
  <c r="F86" i="4"/>
  <c r="G86"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6" i="4" l="1"/>
  <c r="M86" i="4" s="1"/>
  <c r="N86" i="4" s="1"/>
  <c r="O86" i="4"/>
  <c r="L54" i="4"/>
  <c r="L84" i="4"/>
  <c r="K86" i="4"/>
  <c r="L86"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56" i="4"/>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86" i="4"/>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I6" i="4" l="1"/>
  <c r="K6" i="4" s="1"/>
  <c r="L6" i="4" s="1"/>
  <c r="J116" i="4"/>
  <c r="J115" i="4"/>
  <c r="J114" i="4"/>
  <c r="J110" i="4"/>
  <c r="J109" i="4"/>
  <c r="J108" i="4"/>
  <c r="J96" i="4"/>
  <c r="J99" i="4"/>
  <c r="J91" i="4"/>
  <c r="J95" i="4"/>
  <c r="J93" i="4"/>
  <c r="J97" i="4"/>
  <c r="J103" i="4"/>
  <c r="J102" i="4"/>
  <c r="J100" i="4"/>
  <c r="J92" i="4"/>
  <c r="J117" i="4"/>
  <c r="J94" i="4"/>
  <c r="J101" i="4"/>
  <c r="J98" i="4"/>
  <c r="J111" i="4"/>
  <c r="J104"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<sst xmlns="http://schemas.openxmlformats.org/spreadsheetml/2006/main" count="1594" uniqueCount="330">
  <si>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</si>
  <si>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</si>
  <si>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</si>
  <si>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</si>
  <si>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</si>
  <si>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</si>
  <si>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</si>
  <si>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</si>
  <si>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</si>
  <si>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</si>
  <si>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</si>
  <si>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</si>
  <si>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</si>
  <si>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</si>
  <si>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</si>
  <si>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</si>
  <si>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</si>
  <si>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</si>
  <si>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</si>
  <si>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</si>
  <si>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</si>
  <si>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</si>
  <si>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</si>
  <si>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</si>
  <si>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</si>
  <si>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</si>
  <si>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</si>
  <si>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</si>
  <si>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</si>
  <si>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</si>
  <si>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</si>
  <si>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</si>
  <si>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</si>
  <si>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</si>
  <si>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</si>
  <si>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</si>
  <si>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</si>
  <si>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</si>
  <si>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</si>
  <si>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</si>
  <si>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</si>
  <si>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</si>
  <si>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</si>
  <si>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</si>
  <si>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</si>
  <si>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</si>
  <si>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</si>
  <si>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</si>
  <si>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</si>
  <si>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</si>
  <si>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</si>
  <si>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</si>
  <si>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</si>
  <si>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</si>
  <si>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</si>
  <si>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</si>
  <si>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</si>
  <si>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</si>
  <si>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</si>
  <si>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</si>
  <si>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</si>
  <si>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</si>
  <si>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</si>
  <si>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</si>
  <si>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</si>
  <si>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</si>
  <si>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</si>
  <si>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</si>
  <si>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</si>
  <si>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</si>
  <si>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</si>
  <si>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</si>
  <si>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</si>
  <si>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</si>
  <si>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</si>
  <si>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</si>
  <si>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</si>
  <si>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</si>
  <si>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</si>
  <si>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</si>
  <si>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</si>
  <si>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</si>
  <si>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</si>
  <si>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</si>
  <si>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</si>
  <si>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</si>
  <si>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</si>
  <si>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</si>
  <si>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</si>
  <si>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</si>
  <si>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</si>
  <si>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</si>
  <si>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</si>
  <si>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</si>
  <si>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</si>
  <si>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</si>
  <si>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</si>
  <si>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</si>
  <si>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</si>
  <si>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</si>
  <si>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</si>
  <si>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</si>
  <si>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</si>
  <si>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</si>
  <si>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</si>
  <si>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</si>
  <si>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</si>
  <si>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</si>
  <si>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</si>
  <si>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</si>
  <si>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</si>
  <si>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</si>
  <si>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</si>
  <si>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</si>
  <si>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</si>
  <si>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</si>
  <si>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</si>
  <si>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</si>
  <si>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</si>
  <si>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</si>
  <si>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</si>
  <si>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</si>
  <si>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</si>
  <si>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</si>
  <si>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</si>
  <si>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</si>
  <si>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</si>
  <si>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</si>
  <si>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</si>
  <si>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</si>
  <si>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</si>
  <si>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</si>
  <si>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</si>
  <si>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</si>
  <si>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</si>
  <si>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</si>
  <si>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</si>
  <si>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</si>
  <si>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</si>
  <si>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</si>
  <si>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</si>
  <si>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</si>
  <si>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</si>
  <si>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</si>
  <si>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</si>
  <si>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</si>
  <si>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</si>
  <si>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</si>
  <si>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</si>
  <si>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</si>
  <si>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</si>
  <si>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</si>
  <si>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</si>
  <si>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</si>
  <si>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</si>
  <si>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</si>
  <si>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</si>
  <si>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</si>
  <si>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</si>
  <si>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</si>
  <si>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</si>
  <si>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</si>
  <si>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</si>
  <si>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</si>
  <si>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</si>
  <si>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</si>
  <si>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</si>
  <si>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</si>
  <si>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</si>
  <si>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</si>
  <si>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</si>
  <si>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</si>
  <si>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</si>
  <si>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</si>
  <si>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</si>
  <si>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</si>
  <si>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</si>
  <si>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</si>
  <si>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</si>
  <si>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</si>
  <si>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</si>
  <si>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</si>
  <si>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</si>
  <si>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</si>
  <si>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</si>
  <si>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</si>
  <si>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</si>
  <si>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</si>
  <si>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</si>
  <si>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</si>
  <si>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</si>
  <si>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</si>
  <si>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</si>
  <si>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</si>
  <si>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</si>
  <si>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</si>
  <si>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</si>
  <si>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</si>
  <si>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</si>
  <si>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</si>
  <si>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</si>
  <si>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</si>
  <si>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</si>
  <si>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</si>
  <si>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</si>
  <si>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</si>
  <si>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</si>
  <si>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</si>
  <si>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</si>
  <si>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</si>
  <si>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</si>
  <si>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</si>
  <si>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</si>
  <si>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</si>
  <si>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</si>
  <si>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</si>
  <si>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</si>
  <si>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</si>
  <si>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</si>
  <si>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</si>
  <si>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</si>
  <si>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</si>
  <si>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</si>
  <si>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</si>
  <si>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</si>
  <si>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</si>
  <si>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</si>
  <si>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</si>
  <si>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</si>
  <si>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</si>
  <si>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</si>
  <si>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</si>
  <si>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</si>
  <si>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</si>
  <si>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</si>
  <si>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</si>
  <si>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</si>
  <si>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</si>
  <si>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</si>
  <si>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</si>
  <si>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</si>
  <si>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</si>
  <si>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</si>
  <si>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</si>
  <si>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</si>
  <si>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</si>
  <si>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</si>
  <si>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</si>
  <si>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</si>
  <si>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</si>
  <si>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</si>
  <si>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</si>
  <si>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</si>
  <si>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</si>
  <si>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</si>
  <si>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</si>
  <si>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</si>
  <si>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</si>
  <si>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</si>
  <si>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</si>
  <si>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</si>
  <si>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</si>
  <si>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</si>
  <si>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</si>
  <si>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</si>
  <si>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</si>
  <si>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</si>
  <si>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</si>
  <si>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</si>
  <si>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</si>
  <si>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</si>
  <si>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</si>
  <si>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</si>
  <si>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</si>
  <si>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</si>
  <si>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</si>
  <si>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</si>
  <si>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</si>
  <si>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</si>
  <si>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</si>
  <si>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</si>
  <si>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</si>
  <si>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</si>
  <si>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</si>
  <si>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</si>
  <si>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</si>
  <si>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</si>
  <si>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</si>
  <si>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</si>
  <si>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</si>
  <si>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</si>
  <si>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</si>
  <si>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</si>
  <si>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</si>
  <si>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</si>
  <si>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</si>
  <si>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ORDINARY WORKING EXPENSES PU WISE ZONAL</t>
  </si>
  <si>
    <t>% of Total FG 2020-21</t>
  </si>
  <si>
    <t xml:space="preserve">OBG(SL) 2021-22 </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</si>
  <si>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</si>
  <si>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</si>
  <si>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</si>
  <si>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</si>
  <si>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</si>
  <si>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</si>
  <si>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</si>
  <si>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</si>
  <si>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</si>
  <si>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</si>
  <si>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</si>
  <si>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</si>
  <si>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</si>
  <si>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</si>
  <si>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</si>
  <si>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</si>
  <si>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</si>
  <si>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</si>
  <si>
    <t>% of Total OWE 2020-21</t>
  </si>
  <si>
    <t xml:space="preserve"> </t>
  </si>
  <si>
    <t>FINANCE REGISTER - GRANT WISE AND PU WISE SUMMARY FROM MONTH :APRIL    20 TO JUNE     20</t>
  </si>
  <si>
    <t>Report generated on : 06.07.2021 at 05:41:17 PM</t>
  </si>
  <si>
    <t>FINANCE REGISTER - GRANT WISE AND PU WISE SUMMARY FROM MONTH :APRIL    21 TO JUNE     21</t>
  </si>
  <si>
    <t>Report generated on : 08.07.2021 at 11:35:23 AM</t>
  </si>
  <si>
    <t>P U Wise  expenditure   to   end   of June-21 on OBG(SL) ZONAL</t>
  </si>
  <si>
    <t>Actuals upto June' 20</t>
  </si>
  <si>
    <t>Actuals upto June' 21</t>
  </si>
  <si>
    <t>BP to end of  June'21</t>
  </si>
  <si>
    <t>Actual upto June'20</t>
  </si>
  <si>
    <t>Actual Upto June'21</t>
  </si>
  <si>
    <t>AC - 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</si>
</sst>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b/>
      <i/>
      <sz val="10"/>
      <name val="Arial"/>
      <family val="2"/>
    </font>
    <font>
      <sz val="12"/>
      <name val="Calibri"/>
      <family val="2"/>
      <scheme val="minor"/>
    </font>
    <font>
      <b/>
      <sz val="12"/>
      <color rgb="FF00B0F0"/>
      <name val="Arial"/>
      <family val="2"/>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91">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24" fillId="0" borderId="3" xfId="0" applyFont="1" applyBorder="1"/>
    <xf numFmtId="0" fontId="4" fillId="0" borderId="8"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0" fillId="0" borderId="0" xfId="0"/>
    <xf numFmtId="0" fontId="23" fillId="0" borderId="1" xfId="0" applyFont="1" applyBorder="1" applyAlignment="1">
      <alignment horizontal="center" vertical="top"/>
    </xf>
    <xf numFmtId="0" fontId="3" fillId="0" borderId="8" xfId="0" applyFont="1" applyBorder="1"/>
    <xf numFmtId="1" fontId="8" fillId="0" borderId="0" xfId="0" applyNumberFormat="1" applyFont="1"/>
    <xf numFmtId="1" fontId="3" fillId="0" borderId="3" xfId="0" applyNumberFormat="1" applyFont="1" applyBorder="1" applyAlignment="1">
      <alignment horizontal="right"/>
    </xf>
    <xf numFmtId="0" fontId="0" fillId="0" borderId="0" xfId="0"/>
    <xf numFmtId="1" fontId="25" fillId="0" borderId="3" xfId="0" applyNumberFormat="1" applyFont="1" applyBorder="1"/>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20"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0" fillId="0" borderId="9" xfId="0" applyFont="1" applyBorder="1" applyAlignment="1">
      <alignment horizontal="center"/>
    </xf>
    <xf numFmtId="0" fontId="20"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vised%20PU%20wise%20OWE%20PRYJ%20%20Review%20June'21%20-%20AS%20OBG(SL)%20(6)%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Month COPPY"/>
      <sheetName val="For Month"/>
      <sheetName val="Upto Month COPPY"/>
      <sheetName val="Upto Month Current"/>
      <sheetName val="PU Wise OWE"/>
      <sheetName val="Sheet1"/>
      <sheetName val="Sheet2"/>
      <sheetName val="Sheet3"/>
      <sheetName val="Sheet4"/>
      <sheetName val="RG"/>
      <sheetName val="Detailed Review analysis"/>
    </sheetNames>
    <sheetDataSet>
      <sheetData sheetId="0"/>
      <sheetData sheetId="1"/>
      <sheetData sheetId="2"/>
      <sheetData sheetId="3"/>
      <sheetData sheetId="4"/>
      <sheetData sheetId="5">
        <row r="90">
          <cell r="O90"/>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283" t="s">
        <v>223</v>
      </c>
      <c r="B1" s="231"/>
      <c r="C1" s="231"/>
      <c r="D1" s="231"/>
      <c r="E1" s="231"/>
      <c r="F1" s="231"/>
      <c r="G1" s="231"/>
      <c r="H1" s="231"/>
      <c r="I1" s="231"/>
      <c r="J1" s="231"/>
      <c r="K1" s="231"/>
      <c r="L1" s="231"/>
      <c r="M1" s="231"/>
      <c r="N1" s="231"/>
      <c r="O1" s="231"/>
      <c r="P1" s="231"/>
    </row>
    <row r="3" spans="1:27" x14ac:dyDescent="0.25">
      <c r="A3" s="283" t="s">
        <v>224</v>
      </c>
      <c r="B3" s="231"/>
      <c r="C3" s="231"/>
      <c r="D3" s="231"/>
      <c r="E3" s="231"/>
      <c r="F3" s="231"/>
      <c r="G3" s="231"/>
      <c r="H3" s="231"/>
      <c r="I3" s="231"/>
      <c r="J3" s="231"/>
      <c r="K3" s="231"/>
      <c r="L3" s="231"/>
      <c r="M3" s="231"/>
      <c r="N3" s="231"/>
      <c r="O3" s="231"/>
      <c r="P3" s="231"/>
    </row>
    <row r="5" spans="1:27" ht="76.5" x14ac:dyDescent="0.25">
      <c r="A5" s="143" t="s">
        <v>225</v>
      </c>
      <c r="B5" s="143" t="s">
        <v>226</v>
      </c>
      <c r="C5" s="143" t="s">
        <v>227</v>
      </c>
      <c r="D5" s="143" t="s">
        <v>228</v>
      </c>
      <c r="E5" s="143" t="s">
        <v>229</v>
      </c>
      <c r="F5" s="143" t="s">
        <v>230</v>
      </c>
      <c r="G5" s="143" t="s">
        <v>231</v>
      </c>
      <c r="H5" s="147" t="s">
        <v>232</v>
      </c>
      <c r="I5" s="143" t="s">
        <v>233</v>
      </c>
      <c r="J5" s="143" t="s">
        <v>234</v>
      </c>
      <c r="K5" s="143" t="s">
        <v>235</v>
      </c>
      <c r="L5" s="143" t="s">
        <v>236</v>
      </c>
      <c r="M5" s="143" t="s">
        <v>237</v>
      </c>
      <c r="N5" s="143" t="s">
        <v>238</v>
      </c>
      <c r="O5" s="143" t="s">
        <v>239</v>
      </c>
      <c r="P5" s="172" t="s">
        <v>240</v>
      </c>
      <c r="Q5" s="173" t="s">
        <v>72</v>
      </c>
      <c r="R5" s="173" t="s">
        <v>290</v>
      </c>
      <c r="S5" s="144"/>
      <c r="T5" s="144"/>
      <c r="U5" s="144"/>
      <c r="V5" s="144"/>
      <c r="X5" s="144"/>
      <c r="Y5" s="144"/>
      <c r="Z5" s="144"/>
      <c r="AA5" s="144"/>
    </row>
    <row r="6" spans="1:27" x14ac:dyDescent="0.25">
      <c r="A6" s="145" t="s">
        <v>241</v>
      </c>
      <c r="B6" s="145" t="s">
        <v>242</v>
      </c>
      <c r="C6" s="146">
        <v>4657889</v>
      </c>
      <c r="D6" s="146">
        <v>4310000</v>
      </c>
      <c r="E6" s="146">
        <v>547001</v>
      </c>
      <c r="F6" s="146">
        <v>3762999</v>
      </c>
      <c r="G6" s="146">
        <v>4162093</v>
      </c>
      <c r="H6" s="148">
        <v>3980000</v>
      </c>
      <c r="I6" s="146">
        <v>4821984</v>
      </c>
      <c r="J6" s="175">
        <v>2626052</v>
      </c>
      <c r="K6" s="175">
        <v>2717930</v>
      </c>
      <c r="L6" s="175">
        <v>2733189</v>
      </c>
      <c r="M6" s="175">
        <v>3036567</v>
      </c>
      <c r="N6" s="175">
        <v>3037918</v>
      </c>
      <c r="O6" s="146">
        <v>3792777</v>
      </c>
      <c r="P6" s="176">
        <v>3038051</v>
      </c>
      <c r="Q6" s="22">
        <v>72522</v>
      </c>
      <c r="R6" s="23"/>
      <c r="S6" s="30"/>
      <c r="T6" s="30"/>
      <c r="U6" s="30"/>
      <c r="V6" s="30"/>
      <c r="X6" s="30"/>
      <c r="Y6" s="30"/>
      <c r="Z6" s="30"/>
      <c r="AA6" s="30"/>
    </row>
    <row r="7" spans="1:27" x14ac:dyDescent="0.25">
      <c r="A7" s="145" t="s">
        <v>241</v>
      </c>
      <c r="B7" s="145" t="s">
        <v>243</v>
      </c>
      <c r="C7" s="146">
        <v>9898884</v>
      </c>
      <c r="D7" s="146">
        <v>10040000</v>
      </c>
      <c r="E7" s="146">
        <v>1671788</v>
      </c>
      <c r="F7" s="146">
        <v>8368212</v>
      </c>
      <c r="G7" s="146">
        <v>9411581</v>
      </c>
      <c r="H7" s="148">
        <v>8790000</v>
      </c>
      <c r="I7" s="146">
        <v>10962562</v>
      </c>
      <c r="J7" s="175">
        <v>5910673</v>
      </c>
      <c r="K7" s="175">
        <v>6349150</v>
      </c>
      <c r="L7" s="175">
        <v>6545058</v>
      </c>
      <c r="M7" s="175">
        <v>7141085</v>
      </c>
      <c r="N7" s="175">
        <v>7190755</v>
      </c>
      <c r="O7" s="146">
        <v>9334835</v>
      </c>
      <c r="P7" s="176">
        <v>7190755</v>
      </c>
      <c r="Q7" s="22">
        <v>272940</v>
      </c>
      <c r="R7" s="23"/>
      <c r="S7" s="30"/>
      <c r="T7" s="30"/>
      <c r="U7" s="30"/>
      <c r="V7" s="30"/>
      <c r="X7" s="30"/>
      <c r="Y7" s="30"/>
      <c r="Z7" s="30"/>
      <c r="AA7" s="30"/>
    </row>
    <row r="8" spans="1:27" x14ac:dyDescent="0.25">
      <c r="A8" s="145" t="s">
        <v>241</v>
      </c>
      <c r="B8" s="145" t="s">
        <v>244</v>
      </c>
      <c r="C8" s="146">
        <v>3778499</v>
      </c>
      <c r="D8" s="146">
        <v>2720000</v>
      </c>
      <c r="E8" s="146">
        <v>402610</v>
      </c>
      <c r="F8" s="146">
        <v>2317390</v>
      </c>
      <c r="G8" s="146">
        <v>2540447</v>
      </c>
      <c r="H8" s="148">
        <v>2390000</v>
      </c>
      <c r="I8" s="146">
        <v>3498456</v>
      </c>
      <c r="J8" s="175">
        <v>1602580</v>
      </c>
      <c r="K8" s="175">
        <v>1700321</v>
      </c>
      <c r="L8" s="175">
        <v>1873559</v>
      </c>
      <c r="M8" s="175">
        <v>2005467</v>
      </c>
      <c r="N8" s="175">
        <v>1977649</v>
      </c>
      <c r="O8" s="146">
        <v>2526071</v>
      </c>
      <c r="P8" s="176">
        <v>1977649</v>
      </c>
      <c r="Q8" s="22">
        <v>50198</v>
      </c>
      <c r="R8" s="23"/>
      <c r="S8" s="30"/>
      <c r="T8" s="30"/>
      <c r="U8" s="30"/>
      <c r="V8" s="30"/>
      <c r="X8" s="30"/>
      <c r="Y8" s="30"/>
      <c r="Z8" s="30"/>
      <c r="AA8" s="30"/>
    </row>
    <row r="9" spans="1:27" x14ac:dyDescent="0.25">
      <c r="A9" s="145" t="s">
        <v>241</v>
      </c>
      <c r="B9" s="145" t="s">
        <v>245</v>
      </c>
      <c r="C9" s="146">
        <v>6093566</v>
      </c>
      <c r="D9" s="146">
        <v>5580000</v>
      </c>
      <c r="E9" s="146">
        <v>967983</v>
      </c>
      <c r="F9" s="146">
        <v>4612017</v>
      </c>
      <c r="G9" s="146">
        <v>4949135</v>
      </c>
      <c r="H9" s="148">
        <v>4820000</v>
      </c>
      <c r="I9" s="146">
        <v>5698040</v>
      </c>
      <c r="J9" s="175">
        <v>3259468</v>
      </c>
      <c r="K9" s="175">
        <v>3148900</v>
      </c>
      <c r="L9" s="175">
        <v>3375771</v>
      </c>
      <c r="M9" s="175">
        <v>3688586</v>
      </c>
      <c r="N9" s="175">
        <v>3543787</v>
      </c>
      <c r="O9" s="146">
        <v>4820572</v>
      </c>
      <c r="P9" s="176">
        <v>3543787</v>
      </c>
      <c r="Q9" s="22">
        <v>65243</v>
      </c>
      <c r="R9" s="23"/>
      <c r="S9" s="30"/>
      <c r="T9" s="30"/>
      <c r="U9" s="30"/>
      <c r="V9" s="30"/>
      <c r="X9" s="30"/>
      <c r="Y9" s="30"/>
      <c r="Z9" s="30"/>
      <c r="AA9" s="30"/>
    </row>
    <row r="10" spans="1:27" x14ac:dyDescent="0.25">
      <c r="A10" s="145" t="s">
        <v>241</v>
      </c>
      <c r="B10" s="145" t="s">
        <v>246</v>
      </c>
      <c r="C10" s="146">
        <v>6921196</v>
      </c>
      <c r="D10" s="146">
        <v>6430000</v>
      </c>
      <c r="E10" s="146">
        <v>1222221</v>
      </c>
      <c r="F10" s="146">
        <v>5207779</v>
      </c>
      <c r="G10" s="146">
        <v>5738604</v>
      </c>
      <c r="H10" s="148">
        <v>5390000</v>
      </c>
      <c r="I10" s="146">
        <v>7093900</v>
      </c>
      <c r="J10" s="175">
        <v>3662624</v>
      </c>
      <c r="K10" s="175">
        <v>3943431</v>
      </c>
      <c r="L10" s="175">
        <v>3859338</v>
      </c>
      <c r="M10" s="175">
        <v>4420358</v>
      </c>
      <c r="N10" s="175">
        <v>4278070</v>
      </c>
      <c r="O10" s="146">
        <v>5695696</v>
      </c>
      <c r="P10" s="176">
        <v>4278070</v>
      </c>
      <c r="Q10" s="22">
        <v>118272</v>
      </c>
      <c r="R10" s="23"/>
      <c r="S10" s="30"/>
      <c r="T10" s="30"/>
      <c r="U10" s="30"/>
      <c r="V10" s="30"/>
      <c r="X10" s="30"/>
      <c r="Y10" s="30"/>
      <c r="Z10" s="30"/>
      <c r="AA10" s="30"/>
    </row>
    <row r="11" spans="1:27" x14ac:dyDescent="0.25">
      <c r="A11" s="145" t="s">
        <v>241</v>
      </c>
      <c r="B11" s="145" t="s">
        <v>247</v>
      </c>
      <c r="C11" s="146">
        <v>11360408</v>
      </c>
      <c r="D11" s="146">
        <v>11050000</v>
      </c>
      <c r="E11" s="146">
        <v>2239418</v>
      </c>
      <c r="F11" s="146">
        <v>8810582</v>
      </c>
      <c r="G11" s="146">
        <v>9819352</v>
      </c>
      <c r="H11" s="148">
        <v>9620000</v>
      </c>
      <c r="I11" s="146">
        <v>12138236</v>
      </c>
      <c r="J11" s="175">
        <v>6217455</v>
      </c>
      <c r="K11" s="175">
        <v>8103136</v>
      </c>
      <c r="L11" s="175">
        <v>6779016</v>
      </c>
      <c r="M11" s="175">
        <v>8845083</v>
      </c>
      <c r="N11" s="175">
        <v>7542912</v>
      </c>
      <c r="O11" s="146">
        <v>11287807</v>
      </c>
      <c r="P11" s="176">
        <v>7542912</v>
      </c>
      <c r="Q11" s="22">
        <v>127709</v>
      </c>
      <c r="R11" s="23"/>
      <c r="S11" s="30"/>
      <c r="T11" s="30"/>
      <c r="U11" s="30"/>
      <c r="V11" s="30"/>
      <c r="X11" s="30"/>
      <c r="Y11" s="30"/>
      <c r="Z11" s="30"/>
      <c r="AA11" s="30"/>
    </row>
    <row r="12" spans="1:27" x14ac:dyDescent="0.25">
      <c r="A12" s="145" t="s">
        <v>241</v>
      </c>
      <c r="B12" s="145" t="s">
        <v>248</v>
      </c>
      <c r="C12" s="146">
        <v>26891557</v>
      </c>
      <c r="D12" s="146">
        <v>27780000</v>
      </c>
      <c r="E12" s="146">
        <v>1690102</v>
      </c>
      <c r="F12" s="146">
        <v>26089898</v>
      </c>
      <c r="G12" s="146">
        <v>26851626</v>
      </c>
      <c r="H12" s="148">
        <v>24300000</v>
      </c>
      <c r="I12" s="146">
        <v>28761730</v>
      </c>
      <c r="J12" s="175">
        <v>19992824</v>
      </c>
      <c r="K12" s="175">
        <v>18243784</v>
      </c>
      <c r="L12" s="175">
        <v>19432641</v>
      </c>
      <c r="M12" s="175">
        <v>19758335</v>
      </c>
      <c r="N12" s="175">
        <v>20184752</v>
      </c>
      <c r="O12" s="146">
        <v>24801378</v>
      </c>
      <c r="P12" s="176">
        <v>20184752</v>
      </c>
      <c r="Q12" s="22">
        <v>224042</v>
      </c>
      <c r="R12" s="23"/>
      <c r="S12" s="30"/>
      <c r="T12" s="30"/>
      <c r="U12" s="30"/>
      <c r="V12" s="30"/>
      <c r="X12" s="30"/>
      <c r="Y12" s="30"/>
      <c r="Z12" s="30"/>
      <c r="AA12" s="30"/>
    </row>
    <row r="13" spans="1:27" x14ac:dyDescent="0.25">
      <c r="A13" s="145" t="s">
        <v>241</v>
      </c>
      <c r="B13" s="145" t="s">
        <v>249</v>
      </c>
      <c r="C13" s="146">
        <v>19760498</v>
      </c>
      <c r="D13" s="146">
        <v>15300000</v>
      </c>
      <c r="E13" s="146">
        <v>6665820</v>
      </c>
      <c r="F13" s="146">
        <v>8634180</v>
      </c>
      <c r="G13" s="146">
        <v>10533483</v>
      </c>
      <c r="H13" s="148">
        <v>9030000</v>
      </c>
      <c r="I13" s="146">
        <v>14547312</v>
      </c>
      <c r="J13" s="175">
        <v>7258992</v>
      </c>
      <c r="K13" s="175">
        <v>9873789</v>
      </c>
      <c r="L13" s="175">
        <v>5877990</v>
      </c>
      <c r="M13" s="175">
        <v>11211875</v>
      </c>
      <c r="N13" s="175">
        <v>6085462</v>
      </c>
      <c r="O13" s="146">
        <v>14752133</v>
      </c>
      <c r="P13" s="176">
        <v>6085462</v>
      </c>
      <c r="Q13" s="22">
        <v>546</v>
      </c>
      <c r="R13" s="23"/>
      <c r="S13" s="30"/>
      <c r="T13" s="30"/>
      <c r="U13" s="30"/>
      <c r="V13" s="30"/>
      <c r="X13" s="30"/>
      <c r="Y13" s="30"/>
      <c r="Z13" s="30"/>
      <c r="AA13" s="30"/>
    </row>
    <row r="14" spans="1:27" x14ac:dyDescent="0.25">
      <c r="A14" s="145" t="s">
        <v>241</v>
      </c>
      <c r="B14" s="145" t="s">
        <v>250</v>
      </c>
      <c r="C14" s="146">
        <v>4747401</v>
      </c>
      <c r="D14" s="146">
        <v>4360000</v>
      </c>
      <c r="E14" s="146">
        <v>630837</v>
      </c>
      <c r="F14" s="146">
        <v>3729163</v>
      </c>
      <c r="G14" s="146">
        <v>4207011</v>
      </c>
      <c r="H14" s="148">
        <v>3740000</v>
      </c>
      <c r="I14" s="146">
        <v>4777515</v>
      </c>
      <c r="J14" s="175">
        <v>2730785</v>
      </c>
      <c r="K14" s="175">
        <v>2902050</v>
      </c>
      <c r="L14" s="175">
        <v>2850911</v>
      </c>
      <c r="M14" s="175">
        <v>3215292</v>
      </c>
      <c r="N14" s="175">
        <v>3110586</v>
      </c>
      <c r="O14" s="146">
        <v>3879626</v>
      </c>
      <c r="P14" s="176">
        <v>3111162</v>
      </c>
      <c r="Q14" s="22">
        <v>36634</v>
      </c>
      <c r="R14" s="174">
        <v>845474</v>
      </c>
      <c r="S14" s="30"/>
      <c r="T14" s="30"/>
      <c r="U14" s="30"/>
      <c r="V14" s="30"/>
      <c r="X14" s="30"/>
      <c r="Y14" s="30"/>
      <c r="Z14" s="30"/>
      <c r="AA14" s="30"/>
    </row>
    <row r="15" spans="1:27" x14ac:dyDescent="0.25">
      <c r="A15" s="145" t="s">
        <v>241</v>
      </c>
      <c r="B15" s="145" t="s">
        <v>251</v>
      </c>
      <c r="C15" s="146">
        <v>5041185</v>
      </c>
      <c r="D15" s="146">
        <v>4200157</v>
      </c>
      <c r="E15" s="146">
        <v>983885</v>
      </c>
      <c r="F15" s="146">
        <v>3216272</v>
      </c>
      <c r="G15" s="146">
        <v>3547805</v>
      </c>
      <c r="H15" s="148">
        <v>3430000</v>
      </c>
      <c r="I15" s="146">
        <v>4917933</v>
      </c>
      <c r="J15" s="175">
        <v>2228845</v>
      </c>
      <c r="K15" s="175">
        <v>2736049</v>
      </c>
      <c r="L15" s="175">
        <v>2753891</v>
      </c>
      <c r="M15" s="175">
        <v>2982440</v>
      </c>
      <c r="N15" s="175">
        <v>3238961</v>
      </c>
      <c r="O15" s="146">
        <v>3942646</v>
      </c>
      <c r="P15" s="176">
        <v>3238961</v>
      </c>
      <c r="Q15" s="22">
        <v>23170</v>
      </c>
      <c r="R15" s="23"/>
      <c r="S15" s="30"/>
      <c r="T15" s="30"/>
      <c r="U15" s="30"/>
      <c r="V15" s="30"/>
      <c r="X15" s="30"/>
      <c r="Y15" s="30"/>
      <c r="Z15" s="30"/>
      <c r="AA15" s="30"/>
    </row>
    <row r="16" spans="1:27" x14ac:dyDescent="0.25">
      <c r="A16" s="145" t="s">
        <v>241</v>
      </c>
      <c r="B16" s="145" t="s">
        <v>252</v>
      </c>
      <c r="C16" s="146">
        <v>2946670</v>
      </c>
      <c r="D16" s="146">
        <v>2947000</v>
      </c>
      <c r="E16" s="146">
        <v>239683</v>
      </c>
      <c r="F16" s="146">
        <v>2707317</v>
      </c>
      <c r="G16" s="146">
        <v>2690645</v>
      </c>
      <c r="H16" s="148">
        <v>2730000</v>
      </c>
      <c r="I16" s="146">
        <v>2977544</v>
      </c>
      <c r="J16" s="175">
        <v>2065535</v>
      </c>
      <c r="K16" s="175">
        <v>1555583</v>
      </c>
      <c r="L16" s="175">
        <v>1850369</v>
      </c>
      <c r="M16" s="175">
        <v>1749122</v>
      </c>
      <c r="N16" s="175">
        <v>2061716</v>
      </c>
      <c r="O16" s="146">
        <v>2144457</v>
      </c>
      <c r="P16" s="176">
        <v>2061716</v>
      </c>
      <c r="Q16" s="22">
        <v>0</v>
      </c>
      <c r="R16" s="23"/>
      <c r="S16" s="30"/>
      <c r="T16" s="30"/>
      <c r="U16" s="30"/>
      <c r="V16" s="30"/>
      <c r="X16" s="30"/>
      <c r="Y16" s="30"/>
      <c r="Z16" s="30"/>
      <c r="AA16" s="30"/>
    </row>
    <row r="17" spans="1:27" x14ac:dyDescent="0.25">
      <c r="A17" s="145" t="s">
        <v>241</v>
      </c>
      <c r="B17" s="145" t="s">
        <v>253</v>
      </c>
      <c r="C17" s="146">
        <v>-70157</v>
      </c>
      <c r="D17" s="146">
        <v>-70157</v>
      </c>
      <c r="E17" s="146">
        <v>0</v>
      </c>
      <c r="F17" s="146">
        <v>-70157</v>
      </c>
      <c r="G17" s="146">
        <v>-53057</v>
      </c>
      <c r="H17" s="148">
        <v>0</v>
      </c>
      <c r="I17" s="146">
        <v>-53457</v>
      </c>
      <c r="J17" s="175">
        <v>-70157</v>
      </c>
      <c r="K17" s="175">
        <v>2815405</v>
      </c>
      <c r="L17" s="175">
        <v>3004791</v>
      </c>
      <c r="M17" s="175">
        <v>2879163</v>
      </c>
      <c r="N17" s="175">
        <v>3044441</v>
      </c>
      <c r="O17" s="146">
        <v>73130</v>
      </c>
      <c r="P17" s="176">
        <v>3044441</v>
      </c>
      <c r="Q17" s="22">
        <v>0</v>
      </c>
      <c r="R17" s="23"/>
      <c r="S17" s="30"/>
      <c r="T17" s="30"/>
      <c r="U17" s="30"/>
      <c r="V17" s="30"/>
      <c r="X17" s="30"/>
      <c r="Y17" s="30"/>
      <c r="Z17" s="30"/>
      <c r="AA17" s="30"/>
    </row>
    <row r="18" spans="1:27" x14ac:dyDescent="0.25">
      <c r="A18" s="145" t="s">
        <v>241</v>
      </c>
      <c r="B18" s="145" t="s">
        <v>130</v>
      </c>
      <c r="C18" s="146">
        <v>102027596</v>
      </c>
      <c r="D18" s="146">
        <v>94647000</v>
      </c>
      <c r="E18" s="146">
        <v>17261348</v>
      </c>
      <c r="F18" s="146">
        <v>77385652</v>
      </c>
      <c r="G18" s="146">
        <v>84398725</v>
      </c>
      <c r="H18" s="148">
        <v>78220000</v>
      </c>
      <c r="I18" s="146">
        <v>100141755</v>
      </c>
      <c r="J18" s="175">
        <v>57485676</v>
      </c>
      <c r="K18" s="175">
        <v>64089529</v>
      </c>
      <c r="L18" s="175">
        <v>60936526</v>
      </c>
      <c r="M18" s="175">
        <v>70933373</v>
      </c>
      <c r="N18" s="175">
        <v>65297007</v>
      </c>
      <c r="O18" s="146">
        <v>87051130</v>
      </c>
      <c r="P18" s="176">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7" customWidth="1"/>
    <col min="2" max="2" width="10" style="157" customWidth="1"/>
    <col min="3" max="3" width="11.7109375" style="71" customWidth="1"/>
    <col min="4" max="4" width="11.7109375" style="157" customWidth="1"/>
    <col min="5" max="5" width="2" style="157" hidden="1" customWidth="1"/>
    <col min="6" max="6" width="17.28515625" style="157" customWidth="1"/>
    <col min="7" max="7" width="13.42578125" style="157" customWidth="1"/>
    <col min="8" max="8" width="10.7109375" style="157" customWidth="1"/>
    <col min="9" max="9" width="11.7109375" style="157" customWidth="1"/>
    <col min="10" max="12" width="10.7109375" style="157" customWidth="1"/>
    <col min="13" max="13" width="11.28515625" style="157" customWidth="1"/>
    <col min="14" max="14" width="11.5703125" style="157" customWidth="1"/>
    <col min="15" max="15" width="11.140625" style="157" customWidth="1"/>
    <col min="16" max="16" width="98.28515625" style="150" customWidth="1"/>
    <col min="17" max="17" width="12.140625" style="150" customWidth="1"/>
    <col min="18" max="18" width="10.28515625" style="157" customWidth="1"/>
    <col min="19" max="16384" width="9.140625" style="157"/>
  </cols>
  <sheetData>
    <row r="1" spans="1:19" x14ac:dyDescent="0.25">
      <c r="A1" s="36" t="s">
        <v>280</v>
      </c>
      <c r="B1" s="36"/>
    </row>
    <row r="2" spans="1:19" x14ac:dyDescent="0.25">
      <c r="M2" s="36" t="s">
        <v>150</v>
      </c>
      <c r="P2" s="177" t="s">
        <v>292</v>
      </c>
    </row>
    <row r="3" spans="1:19" s="36" customFormat="1" ht="15" customHeight="1" x14ac:dyDescent="0.25">
      <c r="A3" s="238" t="s">
        <v>151</v>
      </c>
      <c r="B3" s="237" t="s">
        <v>300</v>
      </c>
      <c r="C3" s="235" t="str">
        <f>'PU Wise OWE'!$B$7</f>
        <v>Actuals upto June' 20</v>
      </c>
      <c r="D3" s="237" t="s">
        <v>173</v>
      </c>
      <c r="E3" s="237"/>
      <c r="F3" s="235" t="str">
        <f>'PU Wise OWE'!$B$5</f>
        <v xml:space="preserve">OBG(SL) 2021-22 </v>
      </c>
      <c r="G3" s="237" t="s">
        <v>306</v>
      </c>
      <c r="H3" s="237" t="s">
        <v>314</v>
      </c>
      <c r="I3" s="235" t="str">
        <f>'PU Wise OWE'!B8</f>
        <v>Actuals upto June' 21</v>
      </c>
      <c r="J3" s="237" t="s">
        <v>205</v>
      </c>
      <c r="K3" s="234" t="s">
        <v>207</v>
      </c>
      <c r="L3" s="234"/>
      <c r="M3" s="234" t="s">
        <v>147</v>
      </c>
      <c r="N3" s="234"/>
      <c r="O3" s="258" t="s">
        <v>312</v>
      </c>
      <c r="P3" s="178" t="s">
        <v>293</v>
      </c>
      <c r="Q3" s="158"/>
    </row>
    <row r="4" spans="1:19" ht="15.6" customHeight="1" x14ac:dyDescent="0.25">
      <c r="A4" s="239"/>
      <c r="B4" s="236"/>
      <c r="C4" s="236"/>
      <c r="D4" s="236"/>
      <c r="E4" s="236"/>
      <c r="F4" s="236"/>
      <c r="G4" s="236"/>
      <c r="H4" s="236"/>
      <c r="I4" s="236"/>
      <c r="J4" s="236"/>
      <c r="K4" s="19" t="s">
        <v>145</v>
      </c>
      <c r="L4" s="18" t="s">
        <v>146</v>
      </c>
      <c r="M4" s="19" t="s">
        <v>145</v>
      </c>
      <c r="N4" s="18" t="s">
        <v>146</v>
      </c>
      <c r="O4" s="258"/>
      <c r="P4" s="177" t="s">
        <v>294</v>
      </c>
      <c r="R4" s="71" t="s">
        <v>281</v>
      </c>
    </row>
    <row r="5" spans="1:19" ht="15.75" x14ac:dyDescent="0.25">
      <c r="A5" s="63" t="s">
        <v>148</v>
      </c>
      <c r="B5" s="105">
        <v>4575.6000000000004</v>
      </c>
      <c r="C5" s="72">
        <f>ROUND('PU Wise OWE'!$AD$128/10000,2)</f>
        <v>1106.1300000000001</v>
      </c>
      <c r="D5" s="68">
        <f>C5/C7</f>
        <v>0.5450258684405026</v>
      </c>
      <c r="E5" s="68"/>
      <c r="F5" s="22">
        <f>ROUND('PU Wise OWE'!$AD$126/10000,2)</f>
        <v>4658.2700000000004</v>
      </c>
      <c r="G5" s="68">
        <f>F5/F7</f>
        <v>0.58469561943014947</v>
      </c>
      <c r="H5" s="23">
        <f>ROUND('PU Wise OWE'!$AD$127/10000,2)</f>
        <v>1215.6500000000001</v>
      </c>
      <c r="I5" s="23">
        <f>ROUND('PU Wise OWE'!$AD$129/10000,2)</f>
        <v>1189.6300000000001</v>
      </c>
      <c r="J5" s="24">
        <f>I5/$I$7</f>
        <v>0.49589612121970039</v>
      </c>
      <c r="K5" s="22">
        <f>H5-I5</f>
        <v>26.019999999999982</v>
      </c>
      <c r="L5" s="24">
        <f>K5/I5</f>
        <v>2.1872346864151022E-2</v>
      </c>
      <c r="M5" s="22">
        <f>I5-C5</f>
        <v>83.5</v>
      </c>
      <c r="N5" s="54">
        <f>M5/C5</f>
        <v>7.5488414562483605E-2</v>
      </c>
      <c r="O5" s="54">
        <f>I5/F5</f>
        <v>0.25538021626054308</v>
      </c>
      <c r="P5" s="150">
        <f>10.57+1.36+2.68+11.45+3.4+9.35</f>
        <v>38.809999999999995</v>
      </c>
      <c r="Q5" s="167">
        <f>Q28+I5-I28</f>
        <v>1558.8719999999998</v>
      </c>
      <c r="R5" s="70">
        <f>Q5-F5</f>
        <v>-3099.3980000000006</v>
      </c>
      <c r="S5" s="70"/>
    </row>
    <row r="6" spans="1:19" ht="15.75" x14ac:dyDescent="0.25">
      <c r="A6" s="80" t="s">
        <v>144</v>
      </c>
      <c r="B6" s="105">
        <v>3242.41</v>
      </c>
      <c r="C6" s="72">
        <f>C7-C5</f>
        <v>923.36999999999989</v>
      </c>
      <c r="D6" s="68">
        <f>C6/C7</f>
        <v>0.45497413155949734</v>
      </c>
      <c r="E6" s="68"/>
      <c r="F6" s="21">
        <f t="shared" ref="F6:I6" si="0">F7-F5</f>
        <v>3308.7299999999996</v>
      </c>
      <c r="G6" s="68">
        <f>F6/F7</f>
        <v>0.41530438056985058</v>
      </c>
      <c r="H6" s="21">
        <f t="shared" si="0"/>
        <v>1024.8699999999999</v>
      </c>
      <c r="I6" s="21">
        <f t="shared" si="0"/>
        <v>1209.3199999999997</v>
      </c>
      <c r="J6" s="24">
        <f t="shared" ref="J6:J7" si="1">I6/$I$7</f>
        <v>0.50410387878029961</v>
      </c>
      <c r="K6" s="22">
        <f t="shared" ref="K6:K7" si="2">H6-I6</f>
        <v>-184.44999999999982</v>
      </c>
      <c r="L6" s="24">
        <f t="shared" ref="L6:L7" si="3">K6/I6</f>
        <v>-0.15252373234545022</v>
      </c>
      <c r="M6" s="22">
        <f>I6-C6</f>
        <v>285.94999999999982</v>
      </c>
      <c r="N6" s="54">
        <f>M6/C6</f>
        <v>0.30968084299901433</v>
      </c>
      <c r="O6" s="54">
        <f>I6/F6</f>
        <v>0.36549370906662071</v>
      </c>
      <c r="P6" s="150">
        <f>26.18+9.93</f>
        <v>36.11</v>
      </c>
      <c r="Q6" s="167">
        <f>Q85+I6-I85</f>
        <v>1775.8339999999996</v>
      </c>
      <c r="R6" s="70">
        <f>Q6-F6</f>
        <v>-1532.896</v>
      </c>
      <c r="S6" s="70"/>
    </row>
    <row r="7" spans="1:19" x14ac:dyDescent="0.25">
      <c r="A7" s="27" t="s">
        <v>171</v>
      </c>
      <c r="B7" s="106">
        <f>SUM(B5:B6)</f>
        <v>7818.01</v>
      </c>
      <c r="C7" s="73">
        <f>ROUND('PU Wise OWE'!BK128/10000,2)</f>
        <v>2029.5</v>
      </c>
      <c r="D7" s="69">
        <f>SUM(D5:D6)</f>
        <v>1</v>
      </c>
      <c r="E7" s="69"/>
      <c r="F7" s="26">
        <f>ROUND('PU Wise OWE'!BK126/10000,2)</f>
        <v>7967</v>
      </c>
      <c r="G7" s="69">
        <f>SUM(G5:G6)</f>
        <v>1</v>
      </c>
      <c r="H7" s="25">
        <f>ROUND('PU Wise OWE'!BK127/10000,2)</f>
        <v>2240.52</v>
      </c>
      <c r="I7" s="25">
        <f>ROUND('PU Wise OWE'!BK129/10000,2)</f>
        <v>2398.9499999999998</v>
      </c>
      <c r="J7" s="56">
        <f t="shared" si="1"/>
        <v>1</v>
      </c>
      <c r="K7" s="26">
        <f t="shared" si="2"/>
        <v>-158.42999999999984</v>
      </c>
      <c r="L7" s="56">
        <f t="shared" si="3"/>
        <v>-6.6041393109485341E-2</v>
      </c>
      <c r="M7" s="26">
        <f>I7-C7</f>
        <v>369.44999999999982</v>
      </c>
      <c r="N7" s="57">
        <f>M7/C7</f>
        <v>0.18203991130820391</v>
      </c>
      <c r="O7" s="54">
        <f>I7/F7</f>
        <v>0.30111083218275386</v>
      </c>
      <c r="Q7" s="70">
        <f>SUM(Q5:Q6)</f>
        <v>3334.7059999999992</v>
      </c>
      <c r="R7" s="70">
        <f>Q7-F7</f>
        <v>-4632.2940000000008</v>
      </c>
      <c r="S7" s="70"/>
    </row>
    <row r="8" spans="1:19" x14ac:dyDescent="0.25">
      <c r="A8" s="32"/>
      <c r="B8" s="32"/>
      <c r="C8" s="74"/>
      <c r="D8" s="33"/>
      <c r="E8" s="33"/>
      <c r="F8" s="34"/>
      <c r="G8" s="34"/>
      <c r="H8" s="34"/>
      <c r="I8" s="31"/>
      <c r="J8" s="31"/>
      <c r="K8" s="31"/>
      <c r="L8" s="31"/>
      <c r="M8" s="34"/>
      <c r="N8" s="31"/>
    </row>
    <row r="9" spans="1:19" ht="14.45" customHeight="1" x14ac:dyDescent="0.25">
      <c r="C9" s="74"/>
      <c r="D9" s="33"/>
      <c r="E9" s="33"/>
      <c r="F9" s="34"/>
      <c r="G9" s="34"/>
      <c r="H9" s="34"/>
      <c r="I9" s="31"/>
      <c r="J9" s="31"/>
      <c r="K9" s="31"/>
      <c r="L9" s="31"/>
      <c r="M9" s="34"/>
      <c r="N9" s="31"/>
    </row>
    <row r="10" spans="1:19" x14ac:dyDescent="0.25">
      <c r="A10" s="64" t="s">
        <v>172</v>
      </c>
      <c r="B10" s="64"/>
      <c r="C10" s="75"/>
      <c r="D10" s="65"/>
      <c r="E10" s="65"/>
      <c r="F10" s="65"/>
      <c r="G10" s="65"/>
      <c r="H10" s="65"/>
      <c r="I10" s="65"/>
      <c r="J10" s="65"/>
      <c r="K10" s="65"/>
      <c r="L10" s="65"/>
      <c r="M10" s="36" t="s">
        <v>150</v>
      </c>
    </row>
    <row r="11" spans="1:19" ht="15" customHeight="1" x14ac:dyDescent="0.25">
      <c r="A11" s="244"/>
      <c r="B11" s="244" t="s">
        <v>300</v>
      </c>
      <c r="C11" s="242" t="str">
        <f>'PU Wise OWE'!$B$7</f>
        <v>Actuals upto June' 20</v>
      </c>
      <c r="D11" s="244" t="s">
        <v>173</v>
      </c>
      <c r="E11" s="244"/>
      <c r="F11" s="279" t="str">
        <f>'PU Wise OWE'!$B$5</f>
        <v xml:space="preserve">OBG(SL) 2021-22 </v>
      </c>
      <c r="G11" s="244" t="s">
        <v>307</v>
      </c>
      <c r="H11" s="244" t="s">
        <v>314</v>
      </c>
      <c r="I11" s="242" t="str">
        <f>'PU Wise OWE'!B8</f>
        <v>Actuals upto June' 21</v>
      </c>
      <c r="J11" s="244" t="s">
        <v>205</v>
      </c>
      <c r="K11" s="245" t="s">
        <v>207</v>
      </c>
      <c r="L11" s="245"/>
      <c r="M11" s="245" t="s">
        <v>147</v>
      </c>
      <c r="N11" s="245"/>
      <c r="O11" s="259" t="s">
        <v>312</v>
      </c>
      <c r="P11" s="284" t="s">
        <v>268</v>
      </c>
      <c r="Q11" s="166"/>
    </row>
    <row r="12" spans="1:19" ht="17.25" customHeight="1" x14ac:dyDescent="0.25">
      <c r="A12" s="243"/>
      <c r="B12" s="243"/>
      <c r="C12" s="243"/>
      <c r="D12" s="243"/>
      <c r="E12" s="243"/>
      <c r="F12" s="280"/>
      <c r="G12" s="243"/>
      <c r="H12" s="243"/>
      <c r="I12" s="243"/>
      <c r="J12" s="243"/>
      <c r="K12" s="66" t="s">
        <v>145</v>
      </c>
      <c r="L12" s="67" t="s">
        <v>146</v>
      </c>
      <c r="M12" s="66" t="s">
        <v>145</v>
      </c>
      <c r="N12" s="67" t="s">
        <v>146</v>
      </c>
      <c r="O12" s="259"/>
      <c r="P12" s="284"/>
      <c r="Q12" s="166"/>
    </row>
    <row r="13" spans="1:19" ht="15.75" x14ac:dyDescent="0.25">
      <c r="A13" s="20" t="s">
        <v>152</v>
      </c>
      <c r="B13" s="107">
        <v>2522.8000000000002</v>
      </c>
      <c r="C13" s="72">
        <f>ROUND('PU Wise OWE'!$C$128/10000,2)</f>
        <v>628.13</v>
      </c>
      <c r="D13" s="68">
        <f>C13/$C$7</f>
        <v>0.30949987681694996</v>
      </c>
      <c r="E13" s="21"/>
      <c r="F13" s="22">
        <f>ROUND('PU Wise OWE'!$C$126/10000,2)</f>
        <v>2509.4499999999998</v>
      </c>
      <c r="G13" s="24">
        <f>F13/$F$7</f>
        <v>0.3149805447470817</v>
      </c>
      <c r="H13" s="23">
        <f>ROUND('PU Wise OWE'!$C$127/10000,2)</f>
        <v>652.46</v>
      </c>
      <c r="I13" s="23">
        <f>ROUND('PU Wise OWE'!$C$129/10000,2)</f>
        <v>643.91</v>
      </c>
      <c r="J13" s="24">
        <f>I13/$I$7</f>
        <v>0.26841326413639299</v>
      </c>
      <c r="K13" s="22">
        <f>H13-I13</f>
        <v>8.5500000000000682</v>
      </c>
      <c r="L13" s="24">
        <f>K13/I13</f>
        <v>1.3278253172027254E-2</v>
      </c>
      <c r="M13" s="22">
        <f t="shared" ref="M13:M28" si="4">I13-C13</f>
        <v>15.779999999999973</v>
      </c>
      <c r="N13" s="54">
        <f t="shared" ref="N13:N28" si="5">M13/C13</f>
        <v>2.5122188082084874E-2</v>
      </c>
      <c r="O13" s="54">
        <f>I13/F13</f>
        <v>0.25659407439877263</v>
      </c>
      <c r="P13" s="159"/>
      <c r="Q13" s="167">
        <f>(I13/10)*12</f>
        <v>772.69199999999989</v>
      </c>
      <c r="R13" s="171">
        <f t="shared" ref="R13:R27" si="6">Q13-F13</f>
        <v>-1736.7579999999998</v>
      </c>
    </row>
    <row r="14" spans="1:19" ht="15.75" x14ac:dyDescent="0.25">
      <c r="A14" s="20" t="s">
        <v>153</v>
      </c>
      <c r="B14" s="107">
        <v>441.91</v>
      </c>
      <c r="C14" s="72">
        <f>ROUND('PU Wise OWE'!$D$128/10000,2)</f>
        <v>109.85</v>
      </c>
      <c r="D14" s="68">
        <f t="shared" ref="D14:D27" si="7">C14/$C$7</f>
        <v>5.4126632175412658E-2</v>
      </c>
      <c r="E14" s="21"/>
      <c r="F14" s="22">
        <f>ROUND('PU Wise OWE'!$D$126/10000,2)</f>
        <v>451.98</v>
      </c>
      <c r="G14" s="24">
        <f t="shared" ref="G14:G27" si="8">F14/$F$7</f>
        <v>5.673151750972763E-2</v>
      </c>
      <c r="H14" s="23">
        <f>ROUND('PU Wise OWE'!$D$127/10000,2)</f>
        <v>117.51</v>
      </c>
      <c r="I14" s="23">
        <f>ROUND('PU Wise OWE'!$D$129/10000,2)</f>
        <v>113.89</v>
      </c>
      <c r="J14" s="24">
        <f t="shared" ref="J14:J28" si="9">I14/$I$7</f>
        <v>4.7474936951582988E-2</v>
      </c>
      <c r="K14" s="22">
        <f t="shared" ref="K14:K28" si="10">H14-I14</f>
        <v>3.6200000000000045</v>
      </c>
      <c r="L14" s="24">
        <f t="shared" ref="L14:L28" si="11">K14/I14</f>
        <v>3.1785055755553647E-2</v>
      </c>
      <c r="M14" s="22">
        <f t="shared" si="4"/>
        <v>4.0400000000000063</v>
      </c>
      <c r="N14" s="54">
        <f t="shared" si="5"/>
        <v>3.6777423759672342E-2</v>
      </c>
      <c r="O14" s="54">
        <f t="shared" ref="O14:O27" si="12">I14/F14</f>
        <v>0.25198017611398732</v>
      </c>
      <c r="P14" s="159"/>
      <c r="Q14" s="167">
        <f>(I14/10)*12</f>
        <v>136.66800000000001</v>
      </c>
      <c r="R14" s="70">
        <f t="shared" si="6"/>
        <v>-315.31200000000001</v>
      </c>
    </row>
    <row r="15" spans="1:19" ht="15.75" x14ac:dyDescent="0.25">
      <c r="A15" s="23" t="s">
        <v>174</v>
      </c>
      <c r="B15" s="22">
        <v>98.2</v>
      </c>
      <c r="C15" s="72">
        <f>ROUND('PU Wise OWE'!$E$128/10000,2)</f>
        <v>0.39</v>
      </c>
      <c r="D15" s="68">
        <f t="shared" si="7"/>
        <v>1.9216555801921656E-4</v>
      </c>
      <c r="E15" s="21"/>
      <c r="F15" s="22">
        <f>ROUND('PU Wise OWE'!$E$126/10000,2)</f>
        <v>99.13</v>
      </c>
      <c r="G15" s="24">
        <f t="shared" si="8"/>
        <v>1.244257562445086E-2</v>
      </c>
      <c r="H15" s="23">
        <f>ROUND('PU Wise OWE'!$E$127/10000,2)</f>
        <v>0</v>
      </c>
      <c r="I15" s="23">
        <f>ROUND('PU Wise OWE'!$E$129/10000,2)</f>
        <v>0.23</v>
      </c>
      <c r="J15" s="24">
        <f t="shared" si="9"/>
        <v>9.5875278767794248E-5</v>
      </c>
      <c r="K15" s="22">
        <f t="shared" si="10"/>
        <v>-0.23</v>
      </c>
      <c r="L15" s="24">
        <f t="shared" si="11"/>
        <v>-1</v>
      </c>
      <c r="M15" s="22">
        <f t="shared" si="4"/>
        <v>-0.16</v>
      </c>
      <c r="N15" s="54">
        <f t="shared" si="5"/>
        <v>-0.41025641025641024</v>
      </c>
      <c r="O15" s="54">
        <f t="shared" si="12"/>
        <v>2.3201856148491883E-3</v>
      </c>
      <c r="P15" s="159" t="s">
        <v>269</v>
      </c>
      <c r="Q15" s="167">
        <f>F15</f>
        <v>99.13</v>
      </c>
      <c r="R15" s="70">
        <f t="shared" si="6"/>
        <v>0</v>
      </c>
    </row>
    <row r="16" spans="1:19" ht="15.75" x14ac:dyDescent="0.25">
      <c r="A16" s="23" t="s">
        <v>175</v>
      </c>
      <c r="B16" s="22">
        <v>264.85000000000002</v>
      </c>
      <c r="C16" s="72">
        <f>ROUND('PU Wise OWE'!$F$128/10000,2)</f>
        <v>64.959999999999994</v>
      </c>
      <c r="D16" s="68">
        <f t="shared" si="7"/>
        <v>3.2007883715200788E-2</v>
      </c>
      <c r="E16" s="21"/>
      <c r="F16" s="22">
        <f>ROUND('PU Wise OWE'!$F$126/10000,2)</f>
        <v>286.05</v>
      </c>
      <c r="G16" s="24">
        <f t="shared" si="8"/>
        <v>3.5904355466298485E-2</v>
      </c>
      <c r="H16" s="23">
        <f>ROUND('PU Wise OWE'!$F$127/10000,2)</f>
        <v>74.37</v>
      </c>
      <c r="I16" s="23">
        <f>ROUND('PU Wise OWE'!$F$129/10000,2)</f>
        <v>68.540000000000006</v>
      </c>
      <c r="J16" s="24">
        <f t="shared" si="9"/>
        <v>2.8570833072802688E-2</v>
      </c>
      <c r="K16" s="22">
        <f t="shared" si="10"/>
        <v>5.8299999999999983</v>
      </c>
      <c r="L16" s="24">
        <f t="shared" si="11"/>
        <v>8.5059819083746685E-2</v>
      </c>
      <c r="M16" s="22">
        <f t="shared" si="4"/>
        <v>3.5800000000000125</v>
      </c>
      <c r="N16" s="54">
        <f t="shared" si="5"/>
        <v>5.5110837438423842E-2</v>
      </c>
      <c r="O16" s="54">
        <f t="shared" si="12"/>
        <v>0.23960846005943018</v>
      </c>
      <c r="P16" s="159"/>
      <c r="Q16" s="167">
        <f>(I16/10)*12</f>
        <v>82.248000000000019</v>
      </c>
      <c r="R16" s="70">
        <f t="shared" si="6"/>
        <v>-203.80199999999999</v>
      </c>
    </row>
    <row r="17" spans="1:18" ht="15.75" x14ac:dyDescent="0.25">
      <c r="A17" s="23" t="s">
        <v>176</v>
      </c>
      <c r="B17" s="22">
        <v>134.78</v>
      </c>
      <c r="C17" s="72">
        <f>ROUND('PU Wise OWE'!$G$128/10000,2)</f>
        <v>33.659999999999997</v>
      </c>
      <c r="D17" s="68">
        <f t="shared" si="7"/>
        <v>1.6585365853658534E-2</v>
      </c>
      <c r="E17" s="21"/>
      <c r="F17" s="22">
        <f>ROUND('PU Wise OWE'!$G$126/10000,2)</f>
        <v>148.21</v>
      </c>
      <c r="G17" s="24">
        <f t="shared" si="8"/>
        <v>1.8602987322706165E-2</v>
      </c>
      <c r="H17" s="23">
        <f>ROUND('PU Wise OWE'!$G$127/10000,2)</f>
        <v>38.53</v>
      </c>
      <c r="I17" s="23">
        <f>ROUND('PU Wise OWE'!$G$129/10000,2)</f>
        <v>34.590000000000003</v>
      </c>
      <c r="J17" s="24">
        <f t="shared" si="9"/>
        <v>1.4418808228600016E-2</v>
      </c>
      <c r="K17" s="22">
        <f t="shared" si="10"/>
        <v>3.9399999999999977</v>
      </c>
      <c r="L17" s="24">
        <f t="shared" si="11"/>
        <v>0.11390575310783456</v>
      </c>
      <c r="M17" s="22">
        <f t="shared" si="4"/>
        <v>0.93000000000000682</v>
      </c>
      <c r="N17" s="54">
        <f t="shared" si="5"/>
        <v>2.7629233511586658E-2</v>
      </c>
      <c r="O17" s="54">
        <f t="shared" si="12"/>
        <v>0.23338506173672494</v>
      </c>
      <c r="P17" s="159"/>
      <c r="Q17" s="167">
        <f>(I17/10)*12</f>
        <v>41.50800000000001</v>
      </c>
      <c r="R17" s="70">
        <f t="shared" si="6"/>
        <v>-106.702</v>
      </c>
    </row>
    <row r="18" spans="1:18" ht="15.75" x14ac:dyDescent="0.25">
      <c r="A18" s="20" t="s">
        <v>154</v>
      </c>
      <c r="B18" s="107">
        <v>247.05</v>
      </c>
      <c r="C18" s="72">
        <f>ROUND('PU Wise OWE'!$H$128/10000,2)</f>
        <v>70.19</v>
      </c>
      <c r="D18" s="68">
        <f t="shared" si="7"/>
        <v>3.4584873121458484E-2</v>
      </c>
      <c r="E18" s="21"/>
      <c r="F18" s="22">
        <f>ROUND('PU Wise OWE'!$H$126/10000,2)</f>
        <v>289.98</v>
      </c>
      <c r="G18" s="24">
        <f t="shared" si="8"/>
        <v>3.6397640266097653E-2</v>
      </c>
      <c r="H18" s="23">
        <f>ROUND('PU Wise OWE'!$H$127/10000,2)</f>
        <v>75.400000000000006</v>
      </c>
      <c r="I18" s="23">
        <f>ROUND('PU Wise OWE'!$H$129/10000,2)</f>
        <v>84.69</v>
      </c>
      <c r="J18" s="24">
        <f t="shared" si="9"/>
        <v>3.5302945038454325E-2</v>
      </c>
      <c r="K18" s="22">
        <f t="shared" si="10"/>
        <v>-9.289999999999992</v>
      </c>
      <c r="L18" s="24">
        <f t="shared" si="11"/>
        <v>-0.10969417876963032</v>
      </c>
      <c r="M18" s="22">
        <f t="shared" si="4"/>
        <v>14.5</v>
      </c>
      <c r="N18" s="54">
        <f t="shared" si="5"/>
        <v>0.20658213420715202</v>
      </c>
      <c r="O18" s="54">
        <f t="shared" si="12"/>
        <v>0.29205462445685909</v>
      </c>
      <c r="P18" s="159"/>
      <c r="Q18" s="167">
        <f>(I18/10)*12</f>
        <v>101.62799999999999</v>
      </c>
      <c r="R18" s="70">
        <f t="shared" si="6"/>
        <v>-188.35200000000003</v>
      </c>
    </row>
    <row r="19" spans="1:18" ht="72" customHeight="1" x14ac:dyDescent="0.25">
      <c r="A19" s="58" t="s">
        <v>155</v>
      </c>
      <c r="B19" s="108">
        <v>188.24</v>
      </c>
      <c r="C19" s="72">
        <f>ROUND('PU Wise OWE'!$J$128/10000,2)</f>
        <v>47.24</v>
      </c>
      <c r="D19" s="68">
        <f t="shared" si="7"/>
        <v>2.3276669130327669E-2</v>
      </c>
      <c r="E19" s="21"/>
      <c r="F19" s="22">
        <f>ROUND('PU Wise OWE'!$J$126/10000,2)</f>
        <v>198.27</v>
      </c>
      <c r="G19" s="24">
        <f t="shared" si="8"/>
        <v>2.4886406426509352E-2</v>
      </c>
      <c r="H19" s="23">
        <f>ROUND('PU Wise OWE'!$J$127/10000,2)</f>
        <v>51.55</v>
      </c>
      <c r="I19" s="23">
        <f>ROUND('PU Wise OWE'!$J$129/10000,2)</f>
        <v>53.42</v>
      </c>
      <c r="J19" s="24">
        <f t="shared" si="9"/>
        <v>2.2268075616415518E-2</v>
      </c>
      <c r="K19" s="22">
        <f t="shared" si="10"/>
        <v>-1.8700000000000045</v>
      </c>
      <c r="L19" s="24">
        <f t="shared" si="11"/>
        <v>-3.5005615874204504E-2</v>
      </c>
      <c r="M19" s="22">
        <f t="shared" si="4"/>
        <v>6.18</v>
      </c>
      <c r="N19" s="54">
        <f t="shared" si="5"/>
        <v>0.13082133784928027</v>
      </c>
      <c r="O19" s="54">
        <f t="shared" si="12"/>
        <v>0.26943057446915819</v>
      </c>
      <c r="P19" s="160" t="s">
        <v>283</v>
      </c>
      <c r="Q19" s="167">
        <f>(I19-10.57)/10*2+I19</f>
        <v>61.99</v>
      </c>
      <c r="R19" s="171">
        <f t="shared" si="6"/>
        <v>-136.28</v>
      </c>
    </row>
    <row r="20" spans="1:18" ht="48" customHeight="1" x14ac:dyDescent="0.25">
      <c r="A20" s="20" t="s">
        <v>156</v>
      </c>
      <c r="B20" s="107">
        <v>12.03</v>
      </c>
      <c r="C20" s="72">
        <f>ROUND('PU Wise OWE'!$K$128/10000,2)</f>
        <v>1.72</v>
      </c>
      <c r="D20" s="68">
        <f t="shared" si="7"/>
        <v>8.4749938408474994E-4</v>
      </c>
      <c r="E20" s="21"/>
      <c r="F20" s="22">
        <f>ROUND('PU Wise OWE'!$K$126/10000,2)</f>
        <v>11.75</v>
      </c>
      <c r="G20" s="24">
        <f t="shared" si="8"/>
        <v>1.4748336889669888E-3</v>
      </c>
      <c r="H20" s="23">
        <f>ROUND('PU Wise OWE'!$K$127/10000,2)</f>
        <v>3.05</v>
      </c>
      <c r="I20" s="23">
        <f>ROUND('PU Wise OWE'!$K$129/10000,2)</f>
        <v>0.43</v>
      </c>
      <c r="J20" s="24">
        <f t="shared" si="9"/>
        <v>1.7924508639196316E-4</v>
      </c>
      <c r="K20" s="22">
        <f t="shared" si="10"/>
        <v>2.6199999999999997</v>
      </c>
      <c r="L20" s="24">
        <f t="shared" si="11"/>
        <v>6.0930232558139528</v>
      </c>
      <c r="M20" s="22">
        <f t="shared" si="4"/>
        <v>-1.29</v>
      </c>
      <c r="N20" s="54">
        <f t="shared" si="5"/>
        <v>-0.75</v>
      </c>
      <c r="O20" s="54">
        <f t="shared" si="12"/>
        <v>3.6595744680851063E-2</v>
      </c>
      <c r="P20" s="160" t="s">
        <v>282</v>
      </c>
      <c r="Q20" s="167">
        <f>(I20-1.36)/10*2+I20</f>
        <v>0.24399999999999997</v>
      </c>
      <c r="R20" s="70">
        <f t="shared" si="6"/>
        <v>-11.506</v>
      </c>
    </row>
    <row r="21" spans="1:18" ht="60" x14ac:dyDescent="0.25">
      <c r="A21" s="20" t="s">
        <v>157</v>
      </c>
      <c r="B21" s="107">
        <v>48.93</v>
      </c>
      <c r="C21" s="72">
        <f>ROUND('PU Wise OWE'!$L$128/10000,2)</f>
        <v>16.02</v>
      </c>
      <c r="D21" s="68">
        <f t="shared" si="7"/>
        <v>7.8935698447893561E-3</v>
      </c>
      <c r="E21" s="21"/>
      <c r="F21" s="22">
        <f>ROUND('PU Wise OWE'!$L$126/10000,2)</f>
        <v>52.98</v>
      </c>
      <c r="G21" s="24">
        <f t="shared" si="8"/>
        <v>6.6499309652315796E-3</v>
      </c>
      <c r="H21" s="23">
        <f>ROUND('PU Wise OWE'!$L$127/10000,2)</f>
        <v>13.78</v>
      </c>
      <c r="I21" s="23">
        <f>ROUND('PU Wise OWE'!$L$129/10000,2)</f>
        <v>9.51</v>
      </c>
      <c r="J21" s="24">
        <f t="shared" si="9"/>
        <v>3.964234352529232E-3</v>
      </c>
      <c r="K21" s="22">
        <f t="shared" si="10"/>
        <v>4.2699999999999996</v>
      </c>
      <c r="L21" s="24">
        <f t="shared" si="11"/>
        <v>0.44900105152471081</v>
      </c>
      <c r="M21" s="22">
        <f t="shared" si="4"/>
        <v>-6.51</v>
      </c>
      <c r="N21" s="54">
        <f t="shared" si="5"/>
        <v>-0.40636704119850187</v>
      </c>
      <c r="O21" s="54">
        <f t="shared" si="12"/>
        <v>0.1795016987542469</v>
      </c>
      <c r="P21" s="160" t="s">
        <v>284</v>
      </c>
      <c r="Q21" s="167">
        <f>(I21-2.68)/10*2+I21</f>
        <v>10.875999999999999</v>
      </c>
      <c r="R21" s="70">
        <f t="shared" si="6"/>
        <v>-42.103999999999999</v>
      </c>
    </row>
    <row r="22" spans="1:18" ht="45" x14ac:dyDescent="0.25">
      <c r="A22" s="20" t="s">
        <v>179</v>
      </c>
      <c r="B22" s="107">
        <v>120.4</v>
      </c>
      <c r="C22" s="72">
        <f>ROUND('PU Wise OWE'!$M$128/10000,2)</f>
        <v>25.65</v>
      </c>
      <c r="D22" s="68">
        <f t="shared" si="7"/>
        <v>1.2638580931263858E-2</v>
      </c>
      <c r="E22" s="21"/>
      <c r="F22" s="22">
        <f>ROUND('PU Wise OWE'!$M$126/10000,2)</f>
        <v>149.94999999999999</v>
      </c>
      <c r="G22" s="24">
        <f t="shared" si="8"/>
        <v>1.882138822643404E-2</v>
      </c>
      <c r="H22" s="23">
        <f>ROUND('PU Wise OWE'!$M$127/10000,2)</f>
        <v>38.99</v>
      </c>
      <c r="I22" s="23">
        <f>ROUND('PU Wise OWE'!$M$129/10000,2)</f>
        <v>29.42</v>
      </c>
      <c r="J22" s="24">
        <f t="shared" si="9"/>
        <v>1.2263698701515249E-2</v>
      </c>
      <c r="K22" s="22">
        <f t="shared" si="10"/>
        <v>9.57</v>
      </c>
      <c r="L22" s="24">
        <f t="shared" si="11"/>
        <v>0.32528891910265123</v>
      </c>
      <c r="M22" s="22">
        <f t="shared" si="4"/>
        <v>3.7700000000000031</v>
      </c>
      <c r="N22" s="54">
        <f t="shared" si="5"/>
        <v>0.14697855750487343</v>
      </c>
      <c r="O22" s="54">
        <f t="shared" si="12"/>
        <v>0.19619873291097034</v>
      </c>
      <c r="P22" s="160" t="s">
        <v>270</v>
      </c>
      <c r="Q22" s="167">
        <f>(I22/10)*12</f>
        <v>35.304000000000002</v>
      </c>
      <c r="R22" s="70">
        <f t="shared" si="6"/>
        <v>-114.64599999999999</v>
      </c>
    </row>
    <row r="23" spans="1:18" ht="60" x14ac:dyDescent="0.25">
      <c r="A23" s="58" t="s">
        <v>158</v>
      </c>
      <c r="B23" s="108">
        <v>88.73</v>
      </c>
      <c r="C23" s="72">
        <f>ROUND('PU Wise OWE'!$P$128/10000,2)</f>
        <v>27.25</v>
      </c>
      <c r="D23" s="68">
        <f t="shared" si="7"/>
        <v>1.3426952451342695E-2</v>
      </c>
      <c r="E23" s="21"/>
      <c r="F23" s="22">
        <f>ROUND('PU Wise OWE'!$P$126/10000,2)</f>
        <v>92.29</v>
      </c>
      <c r="G23" s="24">
        <f t="shared" si="8"/>
        <v>1.1584034140830929E-2</v>
      </c>
      <c r="H23" s="23">
        <f>ROUND('PU Wise OWE'!$P$127/10000,2)</f>
        <v>24</v>
      </c>
      <c r="I23" s="23">
        <f>ROUND('PU Wise OWE'!$P$129/10000,2)</f>
        <v>33.81</v>
      </c>
      <c r="J23" s="24">
        <f t="shared" si="9"/>
        <v>1.4093665978865756E-2</v>
      </c>
      <c r="K23" s="22">
        <f t="shared" si="10"/>
        <v>-9.8100000000000023</v>
      </c>
      <c r="L23" s="24">
        <f t="shared" si="11"/>
        <v>-0.29015084294587407</v>
      </c>
      <c r="M23" s="22">
        <f t="shared" si="4"/>
        <v>6.5600000000000023</v>
      </c>
      <c r="N23" s="54">
        <f t="shared" si="5"/>
        <v>0.24073394495412853</v>
      </c>
      <c r="O23" s="54">
        <f t="shared" si="12"/>
        <v>0.3663452161664319</v>
      </c>
      <c r="P23" s="160" t="s">
        <v>291</v>
      </c>
      <c r="Q23" s="167">
        <f>(I23-11.45)/10*2+I23</f>
        <v>38.282000000000004</v>
      </c>
      <c r="R23" s="171">
        <f t="shared" si="6"/>
        <v>-54.008000000000003</v>
      </c>
    </row>
    <row r="24" spans="1:18" ht="34.15" customHeight="1" x14ac:dyDescent="0.25">
      <c r="A24" s="58" t="s">
        <v>159</v>
      </c>
      <c r="B24" s="108">
        <v>81.78</v>
      </c>
      <c r="C24" s="72">
        <f>ROUND('PU Wise OWE'!$S$128/10000,2)</f>
        <v>21.44</v>
      </c>
      <c r="D24" s="68">
        <f t="shared" si="7"/>
        <v>1.0564178369056418E-2</v>
      </c>
      <c r="E24" s="21"/>
      <c r="F24" s="22">
        <f>ROUND('PU Wise OWE'!$S$126/10000,2)</f>
        <v>89.03</v>
      </c>
      <c r="G24" s="24">
        <f t="shared" si="8"/>
        <v>1.1174846240743065E-2</v>
      </c>
      <c r="H24" s="23">
        <f>ROUND('PU Wise OWE'!$S$127/10000,2)</f>
        <v>53.42</v>
      </c>
      <c r="I24" s="23">
        <f>ROUND('PU Wise OWE'!$S$129/10000,2)</f>
        <v>38.78</v>
      </c>
      <c r="J24" s="24">
        <f t="shared" si="9"/>
        <v>1.6165405698326352E-2</v>
      </c>
      <c r="K24" s="22">
        <f t="shared" si="10"/>
        <v>14.64</v>
      </c>
      <c r="L24" s="24">
        <f t="shared" si="11"/>
        <v>0.37751418256833419</v>
      </c>
      <c r="M24" s="22">
        <f t="shared" si="4"/>
        <v>17.34</v>
      </c>
      <c r="N24" s="54">
        <f t="shared" si="5"/>
        <v>0.80876865671641784</v>
      </c>
      <c r="O24" s="54">
        <f t="shared" si="12"/>
        <v>0.43558351117600808</v>
      </c>
      <c r="P24" s="160" t="s">
        <v>271</v>
      </c>
      <c r="Q24" s="167">
        <f>F24</f>
        <v>89.03</v>
      </c>
      <c r="R24" s="70">
        <f t="shared" si="6"/>
        <v>0</v>
      </c>
    </row>
    <row r="25" spans="1:18" ht="28.9" customHeight="1" x14ac:dyDescent="0.25">
      <c r="A25" s="58" t="s">
        <v>160</v>
      </c>
      <c r="B25" s="108">
        <v>90.5</v>
      </c>
      <c r="C25" s="72">
        <f>ROUND('PU Wise OWE'!$T$128/10000,2)</f>
        <v>21.74</v>
      </c>
      <c r="D25" s="68">
        <f t="shared" si="7"/>
        <v>1.0711998029071199E-2</v>
      </c>
      <c r="E25" s="21"/>
      <c r="F25" s="22">
        <f>ROUND('PU Wise OWE'!$T$126/10000,2)</f>
        <v>83.15</v>
      </c>
      <c r="G25" s="24">
        <f t="shared" si="8"/>
        <v>1.0436801807455756E-2</v>
      </c>
      <c r="H25" s="22">
        <f>ROUND('PU Wise OWE'!$T$127/10000,2)</f>
        <v>21.62</v>
      </c>
      <c r="I25" s="23">
        <f>ROUND('PU Wise OWE'!$T$129/10000,2)</f>
        <v>26.64</v>
      </c>
      <c r="J25" s="24">
        <f t="shared" si="9"/>
        <v>1.11048583755393E-2</v>
      </c>
      <c r="K25" s="22">
        <f t="shared" si="10"/>
        <v>-5.0199999999999996</v>
      </c>
      <c r="L25" s="24">
        <f t="shared" si="11"/>
        <v>-0.18843843843843841</v>
      </c>
      <c r="M25" s="22">
        <f t="shared" si="4"/>
        <v>4.9000000000000021</v>
      </c>
      <c r="N25" s="54">
        <f t="shared" si="5"/>
        <v>0.22539098436062568</v>
      </c>
      <c r="O25" s="54">
        <f t="shared" si="12"/>
        <v>0.32038484666265782</v>
      </c>
      <c r="P25" s="160" t="s">
        <v>285</v>
      </c>
      <c r="Q25" s="167">
        <f>(I25-4)/10*2+I25</f>
        <v>31.167999999999999</v>
      </c>
      <c r="R25" s="70">
        <f t="shared" si="6"/>
        <v>-51.982000000000006</v>
      </c>
    </row>
    <row r="26" spans="1:18" ht="42.6" customHeight="1" x14ac:dyDescent="0.25">
      <c r="A26" s="58" t="s">
        <v>178</v>
      </c>
      <c r="B26" s="108">
        <v>41.07</v>
      </c>
      <c r="C26" s="72">
        <f>ROUND('PU Wise OWE'!$V$128/10000,2)</f>
        <v>13.06</v>
      </c>
      <c r="D26" s="68">
        <f t="shared" si="7"/>
        <v>6.4350825326435082E-3</v>
      </c>
      <c r="E26" s="22"/>
      <c r="F26" s="22">
        <f>ROUND('PU Wise OWE'!$V$126/10000,2)</f>
        <v>34.5</v>
      </c>
      <c r="G26" s="24">
        <f t="shared" si="8"/>
        <v>4.3303627463286056E-3</v>
      </c>
      <c r="H26" s="22">
        <f>ROUND('PU Wise OWE'!$V$127/10000,2)</f>
        <v>8.9700000000000006</v>
      </c>
      <c r="I26" s="23">
        <f>ROUND('PU Wise OWE'!$V$129/10000,2)</f>
        <v>8.31</v>
      </c>
      <c r="J26" s="24">
        <f t="shared" si="9"/>
        <v>3.4640155067842187E-3</v>
      </c>
      <c r="K26" s="22">
        <f t="shared" si="10"/>
        <v>0.66000000000000014</v>
      </c>
      <c r="L26" s="24">
        <f t="shared" si="11"/>
        <v>7.9422382671480163E-2</v>
      </c>
      <c r="M26" s="22">
        <f t="shared" si="4"/>
        <v>-4.75</v>
      </c>
      <c r="N26" s="54">
        <f t="shared" si="5"/>
        <v>-0.36370597243491576</v>
      </c>
      <c r="O26" s="54">
        <f t="shared" si="12"/>
        <v>0.24086956521739131</v>
      </c>
      <c r="P26" s="160" t="s">
        <v>288</v>
      </c>
      <c r="Q26" s="167">
        <f>(I26-3.4)/10*2+I26</f>
        <v>9.2919999999999998</v>
      </c>
      <c r="R26" s="70">
        <f t="shared" si="6"/>
        <v>-25.207999999999998</v>
      </c>
    </row>
    <row r="27" spans="1:18" ht="60" customHeight="1" x14ac:dyDescent="0.25">
      <c r="A27" s="58" t="s">
        <v>177</v>
      </c>
      <c r="B27" s="108">
        <v>169.78</v>
      </c>
      <c r="C27" s="72">
        <f>ROUND('PU Wise OWE'!$AC$128/10000,2)</f>
        <v>20.48</v>
      </c>
      <c r="D27" s="68">
        <f t="shared" si="7"/>
        <v>1.0091155457009116E-2</v>
      </c>
      <c r="E27" s="22"/>
      <c r="F27" s="22">
        <f>ROUND('PU Wise OWE'!$AC$126/10000,2)</f>
        <v>133.18</v>
      </c>
      <c r="G27" s="24">
        <f t="shared" si="8"/>
        <v>1.6716455378436048E-2</v>
      </c>
      <c r="H27" s="23">
        <f>ROUND('PU Wise OWE'!$AC$127/10000,2)</f>
        <v>34.630000000000003</v>
      </c>
      <c r="I27" s="23">
        <f>ROUND('PU Wise OWE'!$AC$129/10000,2)</f>
        <v>36.11</v>
      </c>
      <c r="J27" s="24">
        <f t="shared" si="9"/>
        <v>1.5052418766543696E-2</v>
      </c>
      <c r="K27" s="22">
        <f t="shared" si="10"/>
        <v>-1.4799999999999969</v>
      </c>
      <c r="L27" s="24">
        <f t="shared" si="11"/>
        <v>-4.0985876488507253E-2</v>
      </c>
      <c r="M27" s="22">
        <f t="shared" si="4"/>
        <v>15.629999999999999</v>
      </c>
      <c r="N27" s="54">
        <f t="shared" si="5"/>
        <v>0.76318359374999989</v>
      </c>
      <c r="O27" s="54">
        <f t="shared" si="12"/>
        <v>0.27113680732842765</v>
      </c>
      <c r="P27" s="160" t="s">
        <v>287</v>
      </c>
      <c r="Q27" s="167">
        <f>(I27-9.35)/10*2+I27</f>
        <v>41.461999999999996</v>
      </c>
      <c r="R27" s="70">
        <f t="shared" si="6"/>
        <v>-91.718000000000018</v>
      </c>
    </row>
    <row r="28" spans="1:18" x14ac:dyDescent="0.25">
      <c r="A28" s="25" t="s">
        <v>149</v>
      </c>
      <c r="B28" s="26">
        <f>SUM(B13:B27)</f>
        <v>4551.0499999999993</v>
      </c>
      <c r="C28" s="76">
        <f>SUM(C13:C27)</f>
        <v>1101.78</v>
      </c>
      <c r="D28" s="56">
        <f>SUM(D13:D27)</f>
        <v>0.5428824833702881</v>
      </c>
      <c r="E28" s="26"/>
      <c r="F28" s="26">
        <f>F5</f>
        <v>4658.2700000000004</v>
      </c>
      <c r="G28" s="56">
        <f t="shared" ref="G28:I28" si="13">SUM(G13:G27)</f>
        <v>0.58113468055729889</v>
      </c>
      <c r="H28" s="26">
        <f>SUM(H13:H27)</f>
        <v>1208.28</v>
      </c>
      <c r="I28" s="26">
        <f t="shared" si="13"/>
        <v>1182.2799999999997</v>
      </c>
      <c r="J28" s="56">
        <f t="shared" si="9"/>
        <v>0.49283228078951202</v>
      </c>
      <c r="K28" s="26">
        <f t="shared" si="10"/>
        <v>26.000000000000227</v>
      </c>
      <c r="L28" s="56">
        <f t="shared" si="11"/>
        <v>2.199140643502405E-2</v>
      </c>
      <c r="M28" s="26">
        <f t="shared" si="4"/>
        <v>80.499999999999773</v>
      </c>
      <c r="N28" s="57">
        <f t="shared" si="5"/>
        <v>7.3063588012125633E-2</v>
      </c>
      <c r="Q28" s="76">
        <f>SUM(Q13:Q27)</f>
        <v>1551.5219999999995</v>
      </c>
      <c r="R28" s="76">
        <f>SUM(R13:R27)</f>
        <v>-3078.3779999999992</v>
      </c>
    </row>
    <row r="29" spans="1:18" x14ac:dyDescent="0.25">
      <c r="I29" s="70"/>
      <c r="J29" s="70"/>
      <c r="K29" s="70"/>
      <c r="L29" s="70"/>
      <c r="Q29" s="168"/>
    </row>
    <row r="30" spans="1:18" x14ac:dyDescent="0.25">
      <c r="Q30" s="168"/>
    </row>
    <row r="31" spans="1:18" x14ac:dyDescent="0.25">
      <c r="A31" s="77" t="s">
        <v>180</v>
      </c>
      <c r="B31" s="77"/>
      <c r="C31" s="78"/>
      <c r="D31" s="79"/>
      <c r="M31" s="157" t="s">
        <v>150</v>
      </c>
      <c r="Q31" s="168"/>
    </row>
    <row r="32" spans="1:18" ht="15" customHeight="1" x14ac:dyDescent="0.25">
      <c r="A32" s="252"/>
      <c r="B32" s="251" t="s">
        <v>300</v>
      </c>
      <c r="C32" s="248" t="str">
        <f>'PU Wise OWE'!$B$7</f>
        <v>Actuals upto June' 20</v>
      </c>
      <c r="D32" s="251" t="s">
        <v>173</v>
      </c>
      <c r="E32" s="251"/>
      <c r="F32" s="276" t="str">
        <f>'PU Wise OWE'!$B$5</f>
        <v xml:space="preserve">OBG(SL) 2021-22 </v>
      </c>
      <c r="G32" s="251" t="s">
        <v>307</v>
      </c>
      <c r="H32" s="251" t="s">
        <v>314</v>
      </c>
      <c r="I32" s="248" t="str">
        <f>'PU Wise OWE'!B8</f>
        <v>Actuals upto June' 21</v>
      </c>
      <c r="J32" s="251" t="s">
        <v>205</v>
      </c>
      <c r="K32" s="250" t="s">
        <v>207</v>
      </c>
      <c r="L32" s="250"/>
      <c r="M32" s="250" t="s">
        <v>147</v>
      </c>
      <c r="N32" s="250"/>
      <c r="O32" s="252" t="s">
        <v>312</v>
      </c>
      <c r="P32" s="284" t="s">
        <v>268</v>
      </c>
      <c r="Q32" s="169"/>
    </row>
    <row r="33" spans="1:18" ht="17.25" customHeight="1" x14ac:dyDescent="0.25">
      <c r="A33" s="252"/>
      <c r="B33" s="249"/>
      <c r="C33" s="249"/>
      <c r="D33" s="249"/>
      <c r="E33" s="249"/>
      <c r="F33" s="277"/>
      <c r="G33" s="249"/>
      <c r="H33" s="249"/>
      <c r="I33" s="249"/>
      <c r="J33" s="249"/>
      <c r="K33" s="81" t="s">
        <v>145</v>
      </c>
      <c r="L33" s="82" t="s">
        <v>146</v>
      </c>
      <c r="M33" s="81" t="s">
        <v>145</v>
      </c>
      <c r="N33" s="82" t="s">
        <v>146</v>
      </c>
      <c r="O33" s="252"/>
      <c r="P33" s="284"/>
      <c r="Q33" s="169"/>
    </row>
    <row r="34" spans="1:18" ht="15" customHeight="1" x14ac:dyDescent="0.25">
      <c r="A34" s="86" t="s">
        <v>181</v>
      </c>
      <c r="B34" s="109">
        <v>10.44</v>
      </c>
      <c r="C34" s="72">
        <f>ROUND(('PU Wise OWE'!$AE$128+'PU Wise OWE'!$AF$128)/10000,2)</f>
        <v>3.65</v>
      </c>
      <c r="D34" s="87">
        <f>C34/$C$7</f>
        <v>1.7984725301798473E-3</v>
      </c>
      <c r="E34" s="21"/>
      <c r="F34" s="22">
        <f>ROUND(('PU Wise OWE'!$AE$126+'PU Wise OWE'!$AF$126)/10000,2)</f>
        <v>9.56</v>
      </c>
      <c r="G34" s="24">
        <f t="shared" ref="G34:G37" si="14">F34/$F$7</f>
        <v>1.1999497928956947E-3</v>
      </c>
      <c r="H34" s="23">
        <f>ROUND(('PU Wise OWE'!$AE$127+'PU Wise OWE'!$AF$127)/10000,2)</f>
        <v>2.48</v>
      </c>
      <c r="I34" s="23">
        <f>ROUND(('PU Wise OWE'!$AE$129+'PU Wise OWE'!$AF$129)/10000,2)</f>
        <v>1.64</v>
      </c>
      <c r="J34" s="24">
        <f t="shared" ref="J34:J37" si="15">I34/$I$7</f>
        <v>6.8363242251818503E-4</v>
      </c>
      <c r="K34" s="22">
        <f t="shared" ref="K34" si="16">H34-I34</f>
        <v>0.84000000000000008</v>
      </c>
      <c r="L34" s="24">
        <f t="shared" ref="L34" si="17">K34/I34</f>
        <v>0.51219512195121963</v>
      </c>
      <c r="M34" s="22">
        <f>I34-C34</f>
        <v>-2.0099999999999998</v>
      </c>
      <c r="N34" s="54">
        <f>M34/C34</f>
        <v>-0.55068493150684927</v>
      </c>
      <c r="O34" s="54">
        <f t="shared" ref="O34:O37" si="18">I34/F34</f>
        <v>0.17154811715481169</v>
      </c>
      <c r="P34" s="285" t="s">
        <v>279</v>
      </c>
      <c r="Q34" s="167">
        <f>(I34/10)*12</f>
        <v>1.9679999999999997</v>
      </c>
      <c r="R34" s="70">
        <f>Q34-F34</f>
        <v>-7.5920000000000005</v>
      </c>
    </row>
    <row r="35" spans="1:18" ht="16.5" customHeight="1" x14ac:dyDescent="0.25">
      <c r="A35" s="86" t="s">
        <v>182</v>
      </c>
      <c r="B35" s="109">
        <v>21.76</v>
      </c>
      <c r="C35" s="72">
        <f>ROUND('PU Wise OWE'!$AG$128/10000,2)</f>
        <v>7.16</v>
      </c>
      <c r="D35" s="87">
        <f t="shared" ref="D35:D37" si="19">C35/$C$7</f>
        <v>3.5279625523527963E-3</v>
      </c>
      <c r="E35" s="21"/>
      <c r="F35" s="22">
        <f>ROUND('PU Wise OWE'!$AG$126/10000,2)</f>
        <v>7.15</v>
      </c>
      <c r="G35" s="24">
        <f t="shared" si="14"/>
        <v>8.9745198945650811E-4</v>
      </c>
      <c r="H35" s="23">
        <f>ROUND('PU Wise OWE'!$AG$127/10000,2)</f>
        <v>1.9</v>
      </c>
      <c r="I35" s="23">
        <f>ROUND('PU Wise OWE'!$AG$129/10000,2)</f>
        <v>6</v>
      </c>
      <c r="J35" s="24">
        <f t="shared" si="15"/>
        <v>2.5010942287250672E-3</v>
      </c>
      <c r="K35" s="22">
        <f t="shared" ref="K35:K37" si="20">H35-I35</f>
        <v>-4.0999999999999996</v>
      </c>
      <c r="L35" s="24">
        <f t="shared" ref="L35:L37" si="21">K35/I35</f>
        <v>-0.68333333333333324</v>
      </c>
      <c r="M35" s="22">
        <f>I35-C35</f>
        <v>-1.1600000000000001</v>
      </c>
      <c r="N35" s="54">
        <f>M35/C35</f>
        <v>-0.16201117318435757</v>
      </c>
      <c r="O35" s="54">
        <f t="shared" si="18"/>
        <v>0.83916083916083917</v>
      </c>
      <c r="P35" s="286"/>
      <c r="Q35" s="167">
        <f>(I35/10)*12+6</f>
        <v>13.2</v>
      </c>
      <c r="R35" s="171">
        <f>Q35-F35</f>
        <v>6.0499999999999989</v>
      </c>
    </row>
    <row r="36" spans="1:18" ht="15.75" customHeight="1" x14ac:dyDescent="0.25">
      <c r="A36" s="86" t="s">
        <v>183</v>
      </c>
      <c r="B36" s="109">
        <v>2.4700000000000002</v>
      </c>
      <c r="C36" s="72">
        <f>ROUND('PU Wise OWE'!$AJ$128/10000,2)</f>
        <v>0.79</v>
      </c>
      <c r="D36" s="87">
        <f t="shared" si="19"/>
        <v>3.8925843803892584E-4</v>
      </c>
      <c r="E36" s="21"/>
      <c r="F36" s="22">
        <f>ROUND('PU Wise OWE'!$AJ$126/10000,2)</f>
        <v>2.23</v>
      </c>
      <c r="G36" s="24">
        <f t="shared" si="14"/>
        <v>2.7990460650181999E-4</v>
      </c>
      <c r="H36" s="23">
        <f>ROUND('PU Wise OWE'!$AJ$127/10000,2)</f>
        <v>0.57999999999999996</v>
      </c>
      <c r="I36" s="23">
        <f>ROUND('PU Wise OWE'!$AJ$129/10000,2)</f>
        <v>0.42</v>
      </c>
      <c r="J36" s="24">
        <f t="shared" si="15"/>
        <v>1.7507659601075472E-4</v>
      </c>
      <c r="K36" s="22">
        <f t="shared" si="20"/>
        <v>0.15999999999999998</v>
      </c>
      <c r="L36" s="24">
        <f t="shared" si="21"/>
        <v>0.38095238095238093</v>
      </c>
      <c r="M36" s="22">
        <f>I36-C36</f>
        <v>-0.37000000000000005</v>
      </c>
      <c r="N36" s="54">
        <f>M36/C36</f>
        <v>-0.46835443037974689</v>
      </c>
      <c r="O36" s="54">
        <f t="shared" si="18"/>
        <v>0.18834080717488788</v>
      </c>
      <c r="P36" s="286"/>
      <c r="Q36" s="167">
        <f>(I36/10)*12</f>
        <v>0.504</v>
      </c>
      <c r="R36" s="70">
        <f>Q36-F36</f>
        <v>-1.726</v>
      </c>
    </row>
    <row r="37" spans="1:18" x14ac:dyDescent="0.25">
      <c r="A37" s="25" t="s">
        <v>149</v>
      </c>
      <c r="B37" s="26">
        <v>34.619999999999997</v>
      </c>
      <c r="C37" s="76">
        <f>SUM(C34:C36)</f>
        <v>11.600000000000001</v>
      </c>
      <c r="D37" s="88">
        <f t="shared" si="19"/>
        <v>5.7156935205715702E-3</v>
      </c>
      <c r="E37" s="26"/>
      <c r="F37" s="76">
        <f t="shared" ref="F37:I37" si="22">SUM(F34:F36)</f>
        <v>18.940000000000001</v>
      </c>
      <c r="G37" s="56">
        <f t="shared" si="14"/>
        <v>2.3773063888540228E-3</v>
      </c>
      <c r="H37" s="76">
        <f t="shared" si="22"/>
        <v>4.96</v>
      </c>
      <c r="I37" s="76">
        <f t="shared" si="22"/>
        <v>8.06</v>
      </c>
      <c r="J37" s="56">
        <f t="shared" si="15"/>
        <v>3.3598032472540074E-3</v>
      </c>
      <c r="K37" s="26">
        <f t="shared" si="20"/>
        <v>-3.1000000000000005</v>
      </c>
      <c r="L37" s="56">
        <f t="shared" si="21"/>
        <v>-0.38461538461538464</v>
      </c>
      <c r="M37" s="26">
        <f>I37-C37</f>
        <v>-3.5400000000000009</v>
      </c>
      <c r="N37" s="57">
        <f>M37/C37</f>
        <v>-0.3051724137931035</v>
      </c>
      <c r="O37" s="54">
        <f t="shared" si="18"/>
        <v>0.42555438225976766</v>
      </c>
      <c r="P37" s="287"/>
      <c r="Q37" s="76">
        <f>SUM(Q34:Q36)</f>
        <v>15.671999999999999</v>
      </c>
      <c r="R37" s="76">
        <f>SUM(R34:R36)</f>
        <v>-3.2680000000000016</v>
      </c>
    </row>
    <row r="38" spans="1:18" x14ac:dyDescent="0.25">
      <c r="Q38" s="168"/>
    </row>
    <row r="39" spans="1:18" ht="15.75" thickBot="1" x14ac:dyDescent="0.3">
      <c r="A39" s="84"/>
      <c r="B39" s="84"/>
      <c r="C39" s="85"/>
      <c r="D39" s="84"/>
      <c r="M39" s="157" t="s">
        <v>150</v>
      </c>
      <c r="Q39" s="168"/>
    </row>
    <row r="40" spans="1:18" ht="15" customHeight="1" x14ac:dyDescent="0.25">
      <c r="A40" s="252" t="s">
        <v>164</v>
      </c>
      <c r="B40" s="251" t="s">
        <v>300</v>
      </c>
      <c r="C40" s="248" t="str">
        <f>'PU Wise OWE'!$B$7</f>
        <v>Actuals upto June' 20</v>
      </c>
      <c r="D40" s="251" t="s">
        <v>173</v>
      </c>
      <c r="E40" s="251"/>
      <c r="F40" s="276" t="str">
        <f>'PU Wise OWE'!$B$5</f>
        <v xml:space="preserve">OBG(SL) 2021-22 </v>
      </c>
      <c r="G40" s="251" t="s">
        <v>307</v>
      </c>
      <c r="H40" s="251" t="s">
        <v>314</v>
      </c>
      <c r="I40" s="248" t="str">
        <f>'PU Wise OWE'!B8</f>
        <v>Actuals upto June' 21</v>
      </c>
      <c r="J40" s="251" t="s">
        <v>205</v>
      </c>
      <c r="K40" s="250" t="s">
        <v>207</v>
      </c>
      <c r="L40" s="250"/>
      <c r="M40" s="250" t="s">
        <v>147</v>
      </c>
      <c r="N40" s="250"/>
      <c r="O40" s="252" t="s">
        <v>312</v>
      </c>
      <c r="P40" s="288" t="s">
        <v>268</v>
      </c>
      <c r="Q40" s="169"/>
    </row>
    <row r="41" spans="1:18" ht="30" x14ac:dyDescent="0.25">
      <c r="A41" s="252"/>
      <c r="B41" s="249"/>
      <c r="C41" s="249"/>
      <c r="D41" s="249"/>
      <c r="E41" s="249"/>
      <c r="F41" s="277"/>
      <c r="G41" s="249"/>
      <c r="H41" s="249"/>
      <c r="I41" s="249"/>
      <c r="J41" s="249"/>
      <c r="K41" s="81" t="s">
        <v>145</v>
      </c>
      <c r="L41" s="82" t="s">
        <v>146</v>
      </c>
      <c r="M41" s="81" t="s">
        <v>145</v>
      </c>
      <c r="N41" s="82" t="s">
        <v>146</v>
      </c>
      <c r="O41" s="252"/>
      <c r="P41" s="289"/>
      <c r="Q41" s="169"/>
    </row>
    <row r="42" spans="1:18" ht="15.75" x14ac:dyDescent="0.25">
      <c r="A42" s="27" t="s">
        <v>165</v>
      </c>
      <c r="B42" s="106">
        <v>273.47000000000003</v>
      </c>
      <c r="C42" s="72">
        <f>SUM(C43:C47)</f>
        <v>70.94</v>
      </c>
      <c r="D42" s="87">
        <f t="shared" ref="D42:D49" si="23">C42/$C$7</f>
        <v>3.4954422271495443E-2</v>
      </c>
      <c r="E42" s="99"/>
      <c r="F42" s="21">
        <f>SUM(F43:F47)</f>
        <v>213.87</v>
      </c>
      <c r="G42" s="24">
        <f t="shared" ref="G42:G49" si="24">F42/$F$7</f>
        <v>2.684448349441446E-2</v>
      </c>
      <c r="H42" s="21">
        <f>SUM(H43:H47)</f>
        <v>55.610000000000007</v>
      </c>
      <c r="I42" s="21">
        <f>SUM(I43:I47)</f>
        <v>164.14000000000001</v>
      </c>
      <c r="J42" s="24">
        <f t="shared" ref="J42:J49" si="25">I42/$I$7</f>
        <v>6.8421601117155437E-2</v>
      </c>
      <c r="K42" s="22">
        <f>H42-I42</f>
        <v>-108.53</v>
      </c>
      <c r="L42" s="24">
        <f>K42/I42</f>
        <v>-0.66120385037163387</v>
      </c>
      <c r="M42" s="22">
        <f t="shared" ref="M42:M49" si="26">I42-C42</f>
        <v>93.200000000000017</v>
      </c>
      <c r="N42" s="54">
        <f t="shared" ref="N42:N49" si="27">M42/C42</f>
        <v>1.3137862982802371</v>
      </c>
      <c r="O42" s="54">
        <f t="shared" ref="O42:O49" si="28">I42/F42</f>
        <v>0.76747556927105254</v>
      </c>
      <c r="P42" s="161"/>
      <c r="Q42" s="167">
        <v>266.16000000000003</v>
      </c>
      <c r="R42" s="70">
        <f t="shared" ref="R42:R48" si="29">Q42-F42</f>
        <v>52.29000000000002</v>
      </c>
    </row>
    <row r="43" spans="1:18" ht="15.75" x14ac:dyDescent="0.25">
      <c r="A43" s="59" t="s">
        <v>161</v>
      </c>
      <c r="B43" s="21">
        <v>19.690000000000001</v>
      </c>
      <c r="C43" s="72">
        <f>ROUND('PU Wise OWE'!$AK$84/10000,2)</f>
        <v>3.62</v>
      </c>
      <c r="D43" s="87">
        <f t="shared" si="23"/>
        <v>1.7836905641783691E-3</v>
      </c>
      <c r="E43" s="99"/>
      <c r="F43" s="21">
        <f>ROUND('PU Wise OWE'!$AK$82/10000,2)</f>
        <v>14.25</v>
      </c>
      <c r="G43" s="24">
        <f t="shared" si="24"/>
        <v>1.7886280908748589E-3</v>
      </c>
      <c r="H43" s="21">
        <f>ROUND('PU Wise OWE'!$AK$83/10000,2)</f>
        <v>3.71</v>
      </c>
      <c r="I43" s="21">
        <f>ROUND('PU Wise OWE'!$AK$85/10000,2)</f>
        <v>10.26</v>
      </c>
      <c r="J43" s="24">
        <f t="shared" si="25"/>
        <v>4.2768711311198648E-3</v>
      </c>
      <c r="K43" s="22">
        <f t="shared" ref="K43:K49" si="30">H43-I43</f>
        <v>-6.55</v>
      </c>
      <c r="L43" s="24">
        <f t="shared" ref="L43:L49" si="31">K43/I43</f>
        <v>-0.63840155945419108</v>
      </c>
      <c r="M43" s="22">
        <f t="shared" si="26"/>
        <v>6.64</v>
      </c>
      <c r="N43" s="54">
        <f t="shared" si="27"/>
        <v>1.8342541436464086</v>
      </c>
      <c r="O43" s="54">
        <f t="shared" si="28"/>
        <v>0.72</v>
      </c>
      <c r="P43" s="161"/>
      <c r="Q43" s="167">
        <f>(I43/10)*12</f>
        <v>12.312000000000001</v>
      </c>
      <c r="R43" s="70">
        <f t="shared" si="29"/>
        <v>-1.9379999999999988</v>
      </c>
    </row>
    <row r="44" spans="1:18" ht="15.75" x14ac:dyDescent="0.25">
      <c r="A44" s="60" t="s">
        <v>168</v>
      </c>
      <c r="B44" s="110">
        <v>114.4</v>
      </c>
      <c r="C44" s="72">
        <f>ROUND('PU Wise OWE'!$AR$84/10000,2)</f>
        <v>28.24</v>
      </c>
      <c r="D44" s="87">
        <f t="shared" si="23"/>
        <v>1.3914757329391476E-2</v>
      </c>
      <c r="E44" s="99"/>
      <c r="F44" s="21">
        <f>ROUND('PU Wise OWE'!$AR$82/10000,2)</f>
        <v>78.95</v>
      </c>
      <c r="G44" s="24">
        <f t="shared" si="24"/>
        <v>9.9096272122505338E-3</v>
      </c>
      <c r="H44" s="21">
        <f>ROUND('PU Wise OWE'!$AR$83/10000,2)</f>
        <v>20.53</v>
      </c>
      <c r="I44" s="21">
        <f>ROUND('PU Wise OWE'!$AR$85/10000,2)</f>
        <v>62.36</v>
      </c>
      <c r="J44" s="24">
        <f t="shared" si="25"/>
        <v>2.5994706017215867E-2</v>
      </c>
      <c r="K44" s="22">
        <f t="shared" si="30"/>
        <v>-41.83</v>
      </c>
      <c r="L44" s="24">
        <f t="shared" si="31"/>
        <v>-0.6707825529185375</v>
      </c>
      <c r="M44" s="22">
        <f t="shared" si="26"/>
        <v>34.120000000000005</v>
      </c>
      <c r="N44" s="54">
        <f t="shared" si="27"/>
        <v>1.2082152974504252</v>
      </c>
      <c r="O44" s="54">
        <f t="shared" si="28"/>
        <v>0.78986700443318547</v>
      </c>
      <c r="P44" s="161"/>
      <c r="Q44" s="167">
        <f>(I44/10)*12</f>
        <v>74.831999999999994</v>
      </c>
      <c r="R44" s="70">
        <f t="shared" si="29"/>
        <v>-4.1180000000000092</v>
      </c>
    </row>
    <row r="45" spans="1:18" ht="15.75" x14ac:dyDescent="0.25">
      <c r="A45" s="60" t="s">
        <v>169</v>
      </c>
      <c r="B45" s="110">
        <v>46.69</v>
      </c>
      <c r="C45" s="72">
        <f>ROUND('PU Wise OWE'!$AU$84/10000,2)</f>
        <v>11.4</v>
      </c>
      <c r="D45" s="87">
        <f t="shared" si="23"/>
        <v>5.6171470805617147E-3</v>
      </c>
      <c r="E45" s="99"/>
      <c r="F45" s="21">
        <f>ROUND('PU Wise OWE'!$AU$82/10000,2)</f>
        <v>34.83</v>
      </c>
      <c r="G45" s="24">
        <f t="shared" si="24"/>
        <v>4.3717836073804443E-3</v>
      </c>
      <c r="H45" s="21">
        <f>ROUND('PU Wise OWE'!$AU$83/10000,2)</f>
        <v>9.0500000000000007</v>
      </c>
      <c r="I45" s="21">
        <f>ROUND('PU Wise OWE'!$AU$85/10000,2)</f>
        <v>26.21</v>
      </c>
      <c r="J45" s="24">
        <f t="shared" si="25"/>
        <v>1.0925613289147337E-2</v>
      </c>
      <c r="K45" s="22">
        <f t="shared" si="30"/>
        <v>-17.16</v>
      </c>
      <c r="L45" s="24">
        <f t="shared" si="31"/>
        <v>-0.65471194200686755</v>
      </c>
      <c r="M45" s="22">
        <f t="shared" si="26"/>
        <v>14.81</v>
      </c>
      <c r="N45" s="54">
        <f t="shared" si="27"/>
        <v>1.2991228070175438</v>
      </c>
      <c r="O45" s="54">
        <f t="shared" si="28"/>
        <v>0.75251220212460523</v>
      </c>
      <c r="P45" s="161"/>
      <c r="Q45" s="167">
        <f>(I45/10)*12</f>
        <v>31.451999999999998</v>
      </c>
      <c r="R45" s="70">
        <f t="shared" si="29"/>
        <v>-3.3780000000000001</v>
      </c>
    </row>
    <row r="46" spans="1:18" ht="15.75" x14ac:dyDescent="0.25">
      <c r="A46" s="59" t="s">
        <v>166</v>
      </c>
      <c r="B46" s="21">
        <v>54.55</v>
      </c>
      <c r="C46" s="72">
        <f>ROUND('PU Wise OWE'!$AZ$84/10000,2)</f>
        <v>6.98</v>
      </c>
      <c r="D46" s="87">
        <f t="shared" si="23"/>
        <v>3.4392707563439271E-3</v>
      </c>
      <c r="E46" s="99"/>
      <c r="F46" s="21">
        <f>ROUND('PU Wise OWE'!$AZ$82/10000,2)</f>
        <v>31.73</v>
      </c>
      <c r="G46" s="24">
        <f t="shared" si="24"/>
        <v>3.9826785490146861E-3</v>
      </c>
      <c r="H46" s="21">
        <f>ROUND('PU Wise OWE'!$AZ$83/10000,2)</f>
        <v>8.25</v>
      </c>
      <c r="I46" s="21">
        <f>ROUND('PU Wise OWE'!$AZ$85/10000,2)</f>
        <v>30.83</v>
      </c>
      <c r="J46" s="24">
        <f t="shared" si="25"/>
        <v>1.2851455845265636E-2</v>
      </c>
      <c r="K46" s="22">
        <f t="shared" si="30"/>
        <v>-22.58</v>
      </c>
      <c r="L46" s="24">
        <f t="shared" si="31"/>
        <v>-0.73240350308141422</v>
      </c>
      <c r="M46" s="22">
        <f t="shared" si="26"/>
        <v>23.849999999999998</v>
      </c>
      <c r="N46" s="54">
        <f t="shared" si="27"/>
        <v>3.416905444126074</v>
      </c>
      <c r="O46" s="54">
        <f t="shared" si="28"/>
        <v>0.97163567601638823</v>
      </c>
      <c r="P46" s="161"/>
      <c r="Q46" s="167">
        <f>(I46/10)*12</f>
        <v>36.995999999999995</v>
      </c>
      <c r="R46" s="171">
        <f t="shared" si="29"/>
        <v>5.2659999999999947</v>
      </c>
    </row>
    <row r="47" spans="1:18" ht="15.75" x14ac:dyDescent="0.25">
      <c r="A47" s="60" t="s">
        <v>167</v>
      </c>
      <c r="B47" s="110">
        <v>38.14</v>
      </c>
      <c r="C47" s="72">
        <f>ROUND('PU Wise OWE'!$BA$84/10000,2)</f>
        <v>20.7</v>
      </c>
      <c r="D47" s="87">
        <f t="shared" si="23"/>
        <v>1.0199556541019955E-2</v>
      </c>
      <c r="E47" s="99"/>
      <c r="F47" s="21">
        <f>ROUND('PU Wise OWE'!$BA$82/10000,2)</f>
        <v>54.11</v>
      </c>
      <c r="G47" s="24">
        <f t="shared" si="24"/>
        <v>6.791766034893937E-3</v>
      </c>
      <c r="H47" s="21">
        <f>ROUND('PU Wise OWE'!$BA$83/10000,2)</f>
        <v>14.07</v>
      </c>
      <c r="I47" s="21">
        <f>ROUND('PU Wise OWE'!$BA$85/10000,2)</f>
        <v>34.479999999999997</v>
      </c>
      <c r="J47" s="24">
        <f t="shared" si="25"/>
        <v>1.4372954834406719E-2</v>
      </c>
      <c r="K47" s="22">
        <f t="shared" si="30"/>
        <v>-20.409999999999997</v>
      </c>
      <c r="L47" s="24">
        <f t="shared" si="31"/>
        <v>-0.59193735498839906</v>
      </c>
      <c r="M47" s="22">
        <f t="shared" si="26"/>
        <v>13.779999999999998</v>
      </c>
      <c r="N47" s="54">
        <f t="shared" si="27"/>
        <v>0.66570048309178731</v>
      </c>
      <c r="O47" s="54">
        <f t="shared" si="28"/>
        <v>0.63722047680650518</v>
      </c>
      <c r="P47" s="161"/>
      <c r="Q47" s="167">
        <f>(I47/10)*12</f>
        <v>41.375999999999991</v>
      </c>
      <c r="R47" s="70">
        <f t="shared" si="29"/>
        <v>-12.734000000000009</v>
      </c>
    </row>
    <row r="48" spans="1:18" ht="15.75" x14ac:dyDescent="0.25">
      <c r="A48" s="61" t="s">
        <v>170</v>
      </c>
      <c r="B48" s="105">
        <v>663.48</v>
      </c>
      <c r="C48" s="72">
        <f>ROUND('PU Wise OWE'!$AM$84/10000,2)-ROUND('PU Wise OWE'!$BJ$84/10000,2)</f>
        <v>151.60999999999999</v>
      </c>
      <c r="D48" s="87">
        <f t="shared" si="23"/>
        <v>7.4703128849470307E-2</v>
      </c>
      <c r="E48" s="99"/>
      <c r="F48" s="21">
        <f>ROUND('PU Wise OWE'!$AM$82/10000,2)-ROUND('PU Wise OWE'!$BJ$82/10000,2)</f>
        <v>637.38</v>
      </c>
      <c r="G48" s="24">
        <f t="shared" si="24"/>
        <v>8.0002510355215259E-2</v>
      </c>
      <c r="H48" s="21">
        <f>ROUND('PU Wise OWE'!$AM$83/10000,2)-ROUND('PU Wise OWE'!$BJ$83/10000,2)</f>
        <v>166.2</v>
      </c>
      <c r="I48" s="21">
        <f>ROUND('PU Wise OWE'!$AM$85/10000,2)-ROUND('PU Wise OWE'!$BJ$85/10000,2)</f>
        <v>213.04999999999998</v>
      </c>
      <c r="J48" s="24">
        <f t="shared" si="25"/>
        <v>8.8809687571645923E-2</v>
      </c>
      <c r="K48" s="22">
        <f t="shared" si="30"/>
        <v>-46.849999999999994</v>
      </c>
      <c r="L48" s="24">
        <f t="shared" si="31"/>
        <v>-0.21990143158882891</v>
      </c>
      <c r="M48" s="22">
        <f t="shared" si="26"/>
        <v>61.44</v>
      </c>
      <c r="N48" s="54">
        <f t="shared" si="27"/>
        <v>0.40525031330387179</v>
      </c>
      <c r="O48" s="54">
        <f t="shared" si="28"/>
        <v>0.33425899777212964</v>
      </c>
      <c r="P48" s="161"/>
      <c r="Q48" s="167">
        <v>670.28</v>
      </c>
      <c r="R48" s="70">
        <f t="shared" si="29"/>
        <v>32.899999999999977</v>
      </c>
    </row>
    <row r="49" spans="1:18" s="36" customFormat="1" ht="15.75" thickBot="1" x14ac:dyDescent="0.3">
      <c r="A49" s="62" t="s">
        <v>130</v>
      </c>
      <c r="B49" s="76">
        <f>B42+B48</f>
        <v>936.95</v>
      </c>
      <c r="C49" s="76">
        <f>C42+C48</f>
        <v>222.54999999999998</v>
      </c>
      <c r="D49" s="88">
        <f t="shared" si="23"/>
        <v>0.10965755112096574</v>
      </c>
      <c r="E49" s="100"/>
      <c r="F49" s="26">
        <f>F42+F48</f>
        <v>851.25</v>
      </c>
      <c r="G49" s="56">
        <f t="shared" si="24"/>
        <v>0.10684699384962973</v>
      </c>
      <c r="H49" s="26">
        <f>H42+H48</f>
        <v>221.81</v>
      </c>
      <c r="I49" s="26">
        <f>I42+I48</f>
        <v>377.19</v>
      </c>
      <c r="J49" s="56">
        <f t="shared" si="25"/>
        <v>0.15723128868880137</v>
      </c>
      <c r="K49" s="26">
        <f t="shared" si="30"/>
        <v>-155.38</v>
      </c>
      <c r="L49" s="56">
        <f t="shared" si="31"/>
        <v>-0.41194093162597101</v>
      </c>
      <c r="M49" s="26">
        <f t="shared" si="26"/>
        <v>154.64000000000001</v>
      </c>
      <c r="N49" s="57">
        <f t="shared" si="27"/>
        <v>0.69485508874410262</v>
      </c>
      <c r="O49" s="54">
        <f t="shared" si="28"/>
        <v>0.4431013215859031</v>
      </c>
      <c r="P49" s="162"/>
      <c r="Q49" s="76">
        <f>Q42+Q48</f>
        <v>936.44</v>
      </c>
      <c r="R49" s="76">
        <f>R42+R48</f>
        <v>85.19</v>
      </c>
    </row>
    <row r="50" spans="1:18" x14ac:dyDescent="0.25">
      <c r="Q50" s="168"/>
    </row>
    <row r="51" spans="1:18" x14ac:dyDescent="0.25">
      <c r="A51" s="77" t="s">
        <v>184</v>
      </c>
      <c r="B51" s="77"/>
      <c r="Q51" s="168"/>
    </row>
    <row r="52" spans="1:18" ht="30" customHeight="1" x14ac:dyDescent="0.25">
      <c r="A52" s="83" t="s">
        <v>185</v>
      </c>
      <c r="B52" s="111">
        <v>188.88</v>
      </c>
      <c r="C52" s="72">
        <f>ROUND('PU Wise OWE'!$AK$128/10000,2)-C43</f>
        <v>10.73</v>
      </c>
      <c r="D52" s="87">
        <f t="shared" ref="D52:D56" si="32">C52/$C$7</f>
        <v>5.2870165065287021E-3</v>
      </c>
      <c r="E52" s="265"/>
      <c r="F52" s="22">
        <f>ROUND('PU Wise OWE'!$AK$126/10000,2)-F43</f>
        <v>121.82</v>
      </c>
      <c r="G52" s="24">
        <f t="shared" ref="G52:G54" si="33">F52/$F$7</f>
        <v>1.5290573616166687E-2</v>
      </c>
      <c r="H52" s="22">
        <f>ROUND('PU Wise OWE'!$AK$127/10000,2)-H43</f>
        <v>31.67</v>
      </c>
      <c r="I52" s="22">
        <f>ROUND('PU Wise OWE'!$AK$129/10000,2)-I43</f>
        <v>94.259999999999991</v>
      </c>
      <c r="J52" s="24">
        <f t="shared" ref="J52:J56" si="34">I52/$I$7</f>
        <v>3.9292190333270804E-2</v>
      </c>
      <c r="K52" s="22">
        <f>H52-I52</f>
        <v>-62.589999999999989</v>
      </c>
      <c r="L52" s="24">
        <f>K52/I52</f>
        <v>-0.66401442817738165</v>
      </c>
      <c r="M52" s="22">
        <f>I52-C52</f>
        <v>83.529999999999987</v>
      </c>
      <c r="N52" s="54">
        <f>M52/C52</f>
        <v>7.7847157502329898</v>
      </c>
      <c r="O52" s="54">
        <f t="shared" ref="O52:O54" si="35">I52/F52</f>
        <v>0.7737645706780496</v>
      </c>
      <c r="P52" s="160" t="s">
        <v>272</v>
      </c>
      <c r="Q52" s="167">
        <f>(I52/10)*12</f>
        <v>113.11199999999998</v>
      </c>
      <c r="R52" s="171">
        <f>Q52-F52</f>
        <v>-8.7080000000000126</v>
      </c>
    </row>
    <row r="53" spans="1:18" ht="15.75" x14ac:dyDescent="0.25">
      <c r="A53" s="20" t="s">
        <v>162</v>
      </c>
      <c r="B53" s="107">
        <v>121.46</v>
      </c>
      <c r="C53" s="72">
        <f>ROUND('PU Wise OWE'!$AL$128/10000,2)</f>
        <v>30.36</v>
      </c>
      <c r="D53" s="87">
        <f t="shared" si="32"/>
        <v>1.4959349593495935E-2</v>
      </c>
      <c r="E53" s="266"/>
      <c r="F53" s="22">
        <f>ROUND('PU Wise OWE'!$AL$126/10000,2)</f>
        <v>109.58</v>
      </c>
      <c r="G53" s="24">
        <f t="shared" si="33"/>
        <v>1.3754236224425755E-2</v>
      </c>
      <c r="H53" s="23">
        <f>ROUND('PU Wise OWE'!$AL$127/10000,2)</f>
        <v>28.49</v>
      </c>
      <c r="I53" s="23">
        <f>ROUND('PU Wise OWE'!$AL$129/10000,2)</f>
        <v>17.86</v>
      </c>
      <c r="J53" s="24">
        <f t="shared" si="34"/>
        <v>7.4449238208382836E-3</v>
      </c>
      <c r="K53" s="22">
        <f t="shared" ref="K53:K54" si="36">H53-I53</f>
        <v>10.629999999999999</v>
      </c>
      <c r="L53" s="24">
        <f t="shared" ref="L53:L54" si="37">K53/I53</f>
        <v>0.59518477043673013</v>
      </c>
      <c r="M53" s="22">
        <f>I53-C53</f>
        <v>-12.5</v>
      </c>
      <c r="N53" s="54">
        <f>M53/C53</f>
        <v>-0.41172595520421607</v>
      </c>
      <c r="O53" s="54">
        <f t="shared" si="35"/>
        <v>0.16298594634057309</v>
      </c>
      <c r="P53" s="159" t="s">
        <v>273</v>
      </c>
      <c r="Q53" s="167">
        <f>(I53/10)*12</f>
        <v>21.432000000000002</v>
      </c>
      <c r="R53" s="70">
        <f>Q53-F53</f>
        <v>-88.147999999999996</v>
      </c>
    </row>
    <row r="54" spans="1:18" s="36" customFormat="1" x14ac:dyDescent="0.25">
      <c r="A54" s="25" t="s">
        <v>130</v>
      </c>
      <c r="B54" s="26">
        <f>SUM(B52:B53)</f>
        <v>310.33999999999997</v>
      </c>
      <c r="C54" s="76">
        <f>SUM(C52:C53)</f>
        <v>41.09</v>
      </c>
      <c r="D54" s="88">
        <f t="shared" si="32"/>
        <v>2.024636610002464E-2</v>
      </c>
      <c r="E54" s="267"/>
      <c r="F54" s="76">
        <f t="shared" ref="F54:I54" si="38">SUM(F52:F53)</f>
        <v>231.39999999999998</v>
      </c>
      <c r="G54" s="56">
        <f t="shared" si="33"/>
        <v>2.9044809840592441E-2</v>
      </c>
      <c r="H54" s="76">
        <f t="shared" si="38"/>
        <v>60.16</v>
      </c>
      <c r="I54" s="76">
        <f t="shared" si="38"/>
        <v>112.11999999999999</v>
      </c>
      <c r="J54" s="56">
        <f t="shared" si="34"/>
        <v>4.673711415410909E-2</v>
      </c>
      <c r="K54" s="26">
        <f t="shared" si="36"/>
        <v>-51.959999999999994</v>
      </c>
      <c r="L54" s="56">
        <f t="shared" si="37"/>
        <v>-0.46343203710310382</v>
      </c>
      <c r="M54" s="26">
        <f>I54-C54</f>
        <v>71.029999999999987</v>
      </c>
      <c r="N54" s="104">
        <f>M54/C54</f>
        <v>1.7286444390362614</v>
      </c>
      <c r="O54" s="54">
        <f t="shared" si="35"/>
        <v>0.48452895419187553</v>
      </c>
      <c r="P54" s="158"/>
      <c r="Q54" s="76">
        <f>SUM(Q52:Q53)</f>
        <v>134.54399999999998</v>
      </c>
      <c r="R54" s="76">
        <f>SUM(R52:R53)</f>
        <v>-96.856000000000009</v>
      </c>
    </row>
    <row r="55" spans="1:18" x14ac:dyDescent="0.25">
      <c r="Q55" s="168"/>
    </row>
    <row r="56" spans="1:18" s="36" customFormat="1" ht="38.450000000000003" customHeight="1" x14ac:dyDescent="0.25">
      <c r="A56" s="80" t="s">
        <v>163</v>
      </c>
      <c r="B56" s="112">
        <v>348.19</v>
      </c>
      <c r="C56" s="73">
        <f>ROUND('PU Wise OWE'!$AO$128/10000,2)</f>
        <v>95.77</v>
      </c>
      <c r="D56" s="88">
        <f t="shared" si="32"/>
        <v>4.7188962798718898E-2</v>
      </c>
      <c r="E56" s="55"/>
      <c r="F56" s="26">
        <f>ROUND('PU Wise OWE'!$AO$126/10000,2)</f>
        <v>304.54000000000002</v>
      </c>
      <c r="G56" s="56">
        <f t="shared" ref="G56" si="39">F56/$F$7</f>
        <v>3.8225178862809087E-2</v>
      </c>
      <c r="H56" s="25">
        <f>ROUND('PU Wise OWE'!$AO$127/10000,2)</f>
        <v>79.180000000000007</v>
      </c>
      <c r="I56" s="25">
        <f>ROUND('PU Wise OWE'!$AO$129/10000,2)</f>
        <v>79.69</v>
      </c>
      <c r="J56" s="56">
        <f t="shared" si="34"/>
        <v>3.32186998478501E-2</v>
      </c>
      <c r="K56" s="26">
        <f>H56-I56</f>
        <v>-0.50999999999999091</v>
      </c>
      <c r="L56" s="56">
        <f>K56/I56</f>
        <v>-6.399799221985079E-3</v>
      </c>
      <c r="M56" s="26">
        <f>I56-C56</f>
        <v>-16.079999999999998</v>
      </c>
      <c r="N56" s="57">
        <f>M56/C56</f>
        <v>-0.16790226584525425</v>
      </c>
      <c r="O56" s="54">
        <f t="shared" ref="O56" si="40">I56/F56</f>
        <v>0.26167334340316539</v>
      </c>
      <c r="P56" s="160" t="s">
        <v>286</v>
      </c>
      <c r="Q56" s="167">
        <f>(I56-26.18)/10*2+I56</f>
        <v>90.391999999999996</v>
      </c>
      <c r="R56" s="171">
        <f>Q56-F56</f>
        <v>-214.14800000000002</v>
      </c>
    </row>
    <row r="57" spans="1:18" s="36" customFormat="1" x14ac:dyDescent="0.25">
      <c r="A57" s="118"/>
      <c r="B57" s="119"/>
      <c r="C57" s="115"/>
      <c r="D57" s="116"/>
      <c r="E57" s="117"/>
      <c r="F57" s="93"/>
      <c r="G57" s="92"/>
      <c r="H57" s="92"/>
      <c r="I57" s="90"/>
      <c r="J57" s="92"/>
      <c r="K57" s="92"/>
      <c r="L57" s="92"/>
      <c r="M57" s="26"/>
      <c r="N57" s="57"/>
      <c r="O57" s="102"/>
      <c r="P57" s="163"/>
      <c r="Q57" s="170"/>
    </row>
    <row r="58" spans="1:18" x14ac:dyDescent="0.25">
      <c r="B58" s="251" t="s">
        <v>300</v>
      </c>
      <c r="C58" s="248" t="str">
        <f>'PU Wise OWE'!$B$7</f>
        <v>Actuals upto June' 20</v>
      </c>
      <c r="D58" s="251" t="s">
        <v>173</v>
      </c>
      <c r="E58" s="251"/>
      <c r="F58" s="276" t="str">
        <f>'PU Wise OWE'!$B$5</f>
        <v xml:space="preserve">OBG(SL) 2021-22 </v>
      </c>
      <c r="G58" s="251" t="s">
        <v>307</v>
      </c>
      <c r="H58" s="251" t="s">
        <v>314</v>
      </c>
      <c r="I58" s="248" t="str">
        <f>'PU Wise OWE'!B8</f>
        <v>Actuals upto June' 21</v>
      </c>
      <c r="J58" s="251" t="s">
        <v>205</v>
      </c>
      <c r="K58" s="250" t="s">
        <v>207</v>
      </c>
      <c r="L58" s="250"/>
      <c r="M58" s="250" t="s">
        <v>147</v>
      </c>
      <c r="N58" s="250"/>
      <c r="O58" s="252" t="s">
        <v>312</v>
      </c>
      <c r="P58" s="284" t="s">
        <v>268</v>
      </c>
      <c r="Q58" s="169"/>
    </row>
    <row r="59" spans="1:18" ht="30" x14ac:dyDescent="0.25">
      <c r="A59" s="77" t="s">
        <v>186</v>
      </c>
      <c r="B59" s="249"/>
      <c r="C59" s="249"/>
      <c r="D59" s="249"/>
      <c r="E59" s="249"/>
      <c r="F59" s="277"/>
      <c r="G59" s="249"/>
      <c r="H59" s="249"/>
      <c r="I59" s="249"/>
      <c r="J59" s="249"/>
      <c r="K59" s="81" t="s">
        <v>145</v>
      </c>
      <c r="L59" s="82" t="s">
        <v>146</v>
      </c>
      <c r="M59" s="81" t="s">
        <v>145</v>
      </c>
      <c r="N59" s="82" t="s">
        <v>146</v>
      </c>
      <c r="O59" s="252"/>
      <c r="P59" s="284"/>
      <c r="Q59" s="169"/>
    </row>
    <row r="60" spans="1:18" ht="15.75" x14ac:dyDescent="0.25">
      <c r="A60" s="23" t="s">
        <v>187</v>
      </c>
      <c r="B60" s="22">
        <v>80.099999999999994</v>
      </c>
      <c r="C60" s="72">
        <f>ROUND('PU Wise OWE'!$AM$62/10000,2)</f>
        <v>10.17</v>
      </c>
      <c r="D60" s="87">
        <f t="shared" ref="D60:D64" si="41">C60/$C$7</f>
        <v>5.0110864745011082E-3</v>
      </c>
      <c r="E60" s="262"/>
      <c r="F60" s="22">
        <f>ROUND('PU Wise OWE'!$AM$60/10000,2)</f>
        <v>67.81</v>
      </c>
      <c r="G60" s="24">
        <f t="shared" ref="G60:G64" si="42">F60/$F$7</f>
        <v>8.5113593573490649E-3</v>
      </c>
      <c r="H60" s="23">
        <f>ROUND('PU Wise OWE'!$AM$61/10000,2)</f>
        <v>17.63</v>
      </c>
      <c r="I60" s="23">
        <f>ROUND('PU Wise OWE'!$AM$63/10000,2)</f>
        <v>21.59</v>
      </c>
      <c r="J60" s="96">
        <f t="shared" ref="J60:J64" si="43">I60/$I$7</f>
        <v>8.999770733029034E-3</v>
      </c>
      <c r="K60" s="22">
        <f>H60-I60</f>
        <v>-3.9600000000000009</v>
      </c>
      <c r="L60" s="24">
        <f>K60/I60</f>
        <v>-0.18341824918943961</v>
      </c>
      <c r="M60" s="22">
        <f>I60-C60</f>
        <v>11.42</v>
      </c>
      <c r="N60" s="54">
        <f>M60/C60</f>
        <v>1.1229105211406096</v>
      </c>
      <c r="O60" s="54">
        <f t="shared" ref="O60:O64" si="44">I60/F60</f>
        <v>0.31838961805043503</v>
      </c>
      <c r="P60" s="160"/>
      <c r="Q60" s="167">
        <f>(I60/10)*12</f>
        <v>25.907999999999998</v>
      </c>
      <c r="R60" s="70">
        <f>Q60-F60</f>
        <v>-41.902000000000001</v>
      </c>
    </row>
    <row r="61" spans="1:18" ht="46.15" customHeight="1" x14ac:dyDescent="0.25">
      <c r="A61" s="23" t="s">
        <v>188</v>
      </c>
      <c r="B61" s="22">
        <v>21.26</v>
      </c>
      <c r="C61" s="72">
        <f>ROUND('PU Wise OWE'!$AM$95/10000,2)</f>
        <v>4.3099999999999996</v>
      </c>
      <c r="D61" s="87">
        <f t="shared" si="41"/>
        <v>2.1236757822123676E-3</v>
      </c>
      <c r="E61" s="263"/>
      <c r="F61" s="22">
        <f>ROUND('PU Wise OWE'!$AM$93/10000,2)</f>
        <v>16.309999999999999</v>
      </c>
      <c r="G61" s="24">
        <f t="shared" si="42"/>
        <v>2.0471946780469437E-3</v>
      </c>
      <c r="H61" s="23">
        <f>ROUND('PU Wise OWE'!$AM$94/10000,2)</f>
        <v>4.24</v>
      </c>
      <c r="I61" s="23">
        <f>ROUND('PU Wise OWE'!$AM$96/10000,2)</f>
        <v>2.17</v>
      </c>
      <c r="J61" s="96">
        <f t="shared" si="43"/>
        <v>9.0456241272223272E-4</v>
      </c>
      <c r="K61" s="22">
        <f t="shared" ref="K61:K64" si="45">H61-I61</f>
        <v>2.0700000000000003</v>
      </c>
      <c r="L61" s="24">
        <f t="shared" ref="L61:L64" si="46">K61/I61</f>
        <v>0.95391705069124444</v>
      </c>
      <c r="M61" s="22">
        <f>I61-C61</f>
        <v>-2.1399999999999997</v>
      </c>
      <c r="N61" s="54">
        <f>M61/C61</f>
        <v>-0.49651972157772617</v>
      </c>
      <c r="O61" s="54">
        <f t="shared" si="44"/>
        <v>0.13304721030042918</v>
      </c>
      <c r="P61" s="160" t="s">
        <v>277</v>
      </c>
      <c r="Q61" s="167">
        <f>(I61/10)*12</f>
        <v>2.6040000000000001</v>
      </c>
      <c r="R61" s="70">
        <f>Q61-F61</f>
        <v>-13.706</v>
      </c>
    </row>
    <row r="62" spans="1:18" ht="43.15" customHeight="1" x14ac:dyDescent="0.25">
      <c r="A62" s="23" t="s">
        <v>189</v>
      </c>
      <c r="B62" s="22">
        <v>9.89</v>
      </c>
      <c r="C62" s="72">
        <f>ROUND('PU Wise OWE'!$AN$18/10000,2)</f>
        <v>3.19</v>
      </c>
      <c r="D62" s="87">
        <f t="shared" si="41"/>
        <v>1.5718157181571816E-3</v>
      </c>
      <c r="E62" s="263"/>
      <c r="F62" s="22">
        <f>ROUND('PU Wise OWE'!$AN$16/10000,2)</f>
        <v>10.1</v>
      </c>
      <c r="G62" s="24">
        <f>F62/$F$7</f>
        <v>1.2677293837077947E-3</v>
      </c>
      <c r="H62" s="23">
        <f>ROUND('PU Wise OWE'!$AN$17/10000,2)</f>
        <v>2.63</v>
      </c>
      <c r="I62" s="23">
        <f>ROUND('PU Wise OWE'!$AN$19/10000,2)</f>
        <v>4.42</v>
      </c>
      <c r="J62" s="96">
        <f t="shared" si="43"/>
        <v>1.8424727484941329E-3</v>
      </c>
      <c r="K62" s="22">
        <f t="shared" si="45"/>
        <v>-1.79</v>
      </c>
      <c r="L62" s="24">
        <f t="shared" si="46"/>
        <v>-0.40497737556561086</v>
      </c>
      <c r="M62" s="22">
        <f>I62-C62</f>
        <v>1.23</v>
      </c>
      <c r="N62" s="54">
        <f>M62/C62</f>
        <v>0.38557993730407525</v>
      </c>
      <c r="O62" s="54">
        <f t="shared" si="44"/>
        <v>0.43762376237623762</v>
      </c>
      <c r="P62" s="160" t="s">
        <v>274</v>
      </c>
      <c r="Q62" s="167">
        <f>(I62/10)*12</f>
        <v>5.3040000000000003</v>
      </c>
      <c r="R62" s="70">
        <f>Q62-F62</f>
        <v>-4.7959999999999994</v>
      </c>
    </row>
    <row r="63" spans="1:18" ht="15.75" x14ac:dyDescent="0.25">
      <c r="A63" s="23" t="s">
        <v>190</v>
      </c>
      <c r="B63" s="22">
        <v>1.64</v>
      </c>
      <c r="C63" s="72">
        <f>ROUND('PU Wise OWE'!$AN$62/10000,2)</f>
        <v>5.15</v>
      </c>
      <c r="D63" s="87">
        <f t="shared" si="41"/>
        <v>2.5375708302537571E-3</v>
      </c>
      <c r="E63" s="263"/>
      <c r="F63" s="22">
        <f>ROUND('PU Wise OWE'!$AN$60/10000,2)</f>
        <v>1.46</v>
      </c>
      <c r="G63" s="24">
        <f>F63/$F$7</f>
        <v>1.8325593071419607E-4</v>
      </c>
      <c r="H63" s="23">
        <f>ROUND('PU Wise OWE'!$AN$61/10000,2)</f>
        <v>0.38</v>
      </c>
      <c r="I63" s="23">
        <f>ROUND('PU Wise OWE'!$AN$63/10000,2)</f>
        <v>1.19</v>
      </c>
      <c r="J63" s="96">
        <f t="shared" si="43"/>
        <v>4.9605035536380506E-4</v>
      </c>
      <c r="K63" s="22">
        <f t="shared" si="45"/>
        <v>-0.80999999999999994</v>
      </c>
      <c r="L63" s="24">
        <f t="shared" si="46"/>
        <v>-0.68067226890756305</v>
      </c>
      <c r="M63" s="22">
        <f>I63-C63</f>
        <v>-3.9600000000000004</v>
      </c>
      <c r="N63" s="54">
        <f>M63/C63</f>
        <v>-0.76893203883495154</v>
      </c>
      <c r="O63" s="54">
        <f t="shared" si="44"/>
        <v>0.81506849315068497</v>
      </c>
      <c r="P63" s="159"/>
      <c r="Q63" s="167">
        <f>(I63/10)*12</f>
        <v>1.4279999999999999</v>
      </c>
      <c r="R63" s="70">
        <f>Q63-F63</f>
        <v>-3.2000000000000028E-2</v>
      </c>
    </row>
    <row r="64" spans="1:18" s="36" customFormat="1" x14ac:dyDescent="0.25">
      <c r="A64" s="25" t="s">
        <v>130</v>
      </c>
      <c r="B64" s="26">
        <f>SUM(B60:B63)</f>
        <v>112.89</v>
      </c>
      <c r="C64" s="76">
        <f>SUM(C60:C63)</f>
        <v>22.82</v>
      </c>
      <c r="D64" s="88">
        <f t="shared" si="41"/>
        <v>1.1244148805124416E-2</v>
      </c>
      <c r="E64" s="264"/>
      <c r="F64" s="26">
        <f>SUM(F60:F63)</f>
        <v>95.679999999999993</v>
      </c>
      <c r="G64" s="56">
        <f t="shared" si="42"/>
        <v>1.2009539349817999E-2</v>
      </c>
      <c r="H64" s="26">
        <f>SUM(H60:H63)</f>
        <v>24.879999999999995</v>
      </c>
      <c r="I64" s="26">
        <f>SUM(I60:I63)</f>
        <v>29.37</v>
      </c>
      <c r="J64" s="56">
        <f t="shared" si="43"/>
        <v>1.2242856249609205E-2</v>
      </c>
      <c r="K64" s="26">
        <f t="shared" si="45"/>
        <v>-4.4900000000000055</v>
      </c>
      <c r="L64" s="56">
        <f t="shared" si="46"/>
        <v>-0.15287708546135531</v>
      </c>
      <c r="M64" s="26">
        <f>I64-C64</f>
        <v>6.5500000000000007</v>
      </c>
      <c r="N64" s="57">
        <f>M64/C64</f>
        <v>0.2870289219982472</v>
      </c>
      <c r="O64" s="54">
        <f t="shared" si="44"/>
        <v>0.30696070234113715</v>
      </c>
      <c r="P64" s="158"/>
      <c r="Q64" s="76">
        <f>SUM(Q60:Q63)</f>
        <v>35.243999999999993</v>
      </c>
      <c r="R64" s="76">
        <f>SUM(R60:R63)</f>
        <v>-60.436000000000007</v>
      </c>
    </row>
    <row r="65" spans="1:18" x14ac:dyDescent="0.25">
      <c r="Q65" s="168"/>
    </row>
    <row r="66" spans="1:18" x14ac:dyDescent="0.25">
      <c r="A66" s="77" t="s">
        <v>191</v>
      </c>
      <c r="B66" s="77"/>
      <c r="Q66" s="168"/>
    </row>
    <row r="67" spans="1:18" ht="27.6" customHeight="1" x14ac:dyDescent="0.25">
      <c r="A67" s="23" t="s">
        <v>192</v>
      </c>
      <c r="B67" s="22">
        <v>1117.51</v>
      </c>
      <c r="C67" s="72">
        <f>ROUND('PU Wise OWE'!$AP$73/10000,2)</f>
        <v>472.6</v>
      </c>
      <c r="D67" s="87">
        <f t="shared" ref="D67:D69" si="47">C67/$C$7</f>
        <v>0.23286523774328655</v>
      </c>
      <c r="E67" s="23"/>
      <c r="F67" s="22">
        <f>ROUND('PU Wise OWE'!$AP$71/10000,2)</f>
        <v>1543.31</v>
      </c>
      <c r="G67" s="24">
        <f t="shared" ref="G67:G69" si="48">F67/$F$7</f>
        <v>0.1937128153633739</v>
      </c>
      <c r="H67" s="23">
        <f>ROUND('PU Wise OWE'!$AP$72/10000,2)</f>
        <v>563.62</v>
      </c>
      <c r="I67" s="23">
        <f>ROUND('PU Wise OWE'!$AP$74/10000,2)</f>
        <v>513.04999999999995</v>
      </c>
      <c r="J67" s="96">
        <f t="shared" ref="J67:J69" si="49">I67/$I$7</f>
        <v>0.21386439900789928</v>
      </c>
      <c r="K67" s="22">
        <f>H67-I67</f>
        <v>50.57000000000005</v>
      </c>
      <c r="L67" s="24">
        <f>K67/I67</f>
        <v>9.8567391092486217E-2</v>
      </c>
      <c r="M67" s="22">
        <f>I67-C67</f>
        <v>40.449999999999932</v>
      </c>
      <c r="N67" s="54">
        <f>M67/C67</f>
        <v>8.5590351248412883E-2</v>
      </c>
      <c r="O67" s="54">
        <f t="shared" ref="O67:O68" si="50">I67/F67</f>
        <v>0.33243483162812393</v>
      </c>
      <c r="P67" s="160" t="s">
        <v>278</v>
      </c>
      <c r="Q67" s="167">
        <f>(I67-256.76-544.78)/10*2+I67</f>
        <v>455.35199999999998</v>
      </c>
      <c r="R67" s="70">
        <f>Q67-F67</f>
        <v>-1087.9580000000001</v>
      </c>
    </row>
    <row r="68" spans="1:18" ht="15.75" x14ac:dyDescent="0.25">
      <c r="A68" s="89" t="s">
        <v>193</v>
      </c>
      <c r="B68" s="113">
        <v>38.520000000000003</v>
      </c>
      <c r="C68" s="72">
        <f>ROUND('PU Wise OWE'!$AP$128/10000,2)-C67</f>
        <v>8.1999999999999886</v>
      </c>
      <c r="D68" s="87">
        <f t="shared" si="47"/>
        <v>4.0404040404040352E-3</v>
      </c>
      <c r="E68" s="23"/>
      <c r="F68" s="22">
        <f>ROUND('PU Wise OWE'!$AP$126/10000,2)-F67</f>
        <v>35.230000000000018</v>
      </c>
      <c r="G68" s="24">
        <f t="shared" si="48"/>
        <v>4.4219907116857058E-3</v>
      </c>
      <c r="H68" s="23">
        <f>ROUND('PU Wise OWE'!$AP$127/10000,2)-H67</f>
        <v>9.1599999999999682</v>
      </c>
      <c r="I68" s="23">
        <f>ROUND('PU Wise OWE'!$AP$129/10000,2)-I67</f>
        <v>17.430000000000064</v>
      </c>
      <c r="J68" s="96">
        <f t="shared" si="49"/>
        <v>7.2656787344463477E-3</v>
      </c>
      <c r="K68" s="22">
        <f t="shared" ref="K68:K69" si="51">H68-I68</f>
        <v>-8.2700000000000955</v>
      </c>
      <c r="L68" s="24">
        <f t="shared" ref="L68:L69" si="52">K68/I68</f>
        <v>-0.47446930579461072</v>
      </c>
      <c r="M68" s="22">
        <f>I68-C68</f>
        <v>9.230000000000075</v>
      </c>
      <c r="N68" s="54">
        <f>M68/C68</f>
        <v>1.1256097560975717</v>
      </c>
      <c r="O68" s="54">
        <f t="shared" si="50"/>
        <v>0.49474879364178415</v>
      </c>
      <c r="P68" s="159"/>
      <c r="Q68" s="167">
        <f>(I68/10)*12</f>
        <v>20.916000000000075</v>
      </c>
      <c r="R68" s="70">
        <f>Q68-F68</f>
        <v>-14.313999999999943</v>
      </c>
    </row>
    <row r="69" spans="1:18" s="36" customFormat="1" x14ac:dyDescent="0.25">
      <c r="A69" s="25" t="s">
        <v>130</v>
      </c>
      <c r="B69" s="26">
        <f>SUM(B67:B68)</f>
        <v>1156.03</v>
      </c>
      <c r="C69" s="76">
        <f>SUM(C67:C68)</f>
        <v>480.8</v>
      </c>
      <c r="D69" s="88">
        <f t="shared" si="47"/>
        <v>0.23690564178369056</v>
      </c>
      <c r="E69" s="90"/>
      <c r="F69" s="91">
        <f>SUM(F67:F68)</f>
        <v>1578.54</v>
      </c>
      <c r="G69" s="92">
        <f t="shared" si="48"/>
        <v>0.19813480607505962</v>
      </c>
      <c r="H69" s="91">
        <f>SUM(H67:H68)</f>
        <v>572.78</v>
      </c>
      <c r="I69" s="91">
        <f>SUM(I67:I68)</f>
        <v>530.48</v>
      </c>
      <c r="J69" s="56">
        <f t="shared" si="49"/>
        <v>0.22113007774234564</v>
      </c>
      <c r="K69" s="22">
        <f t="shared" si="51"/>
        <v>42.299999999999955</v>
      </c>
      <c r="L69" s="24">
        <f t="shared" si="52"/>
        <v>7.9739104207510098E-2</v>
      </c>
      <c r="M69" s="93">
        <f>I69-C69</f>
        <v>49.680000000000007</v>
      </c>
      <c r="N69" s="103">
        <f>M69/C69</f>
        <v>0.10332778702163063</v>
      </c>
      <c r="P69" s="164"/>
      <c r="Q69" s="76">
        <f>SUM(Q67:Q68)</f>
        <v>476.26800000000003</v>
      </c>
      <c r="R69" s="76">
        <f>SUM(R67:R68)</f>
        <v>-1102.2719999999999</v>
      </c>
    </row>
    <row r="70" spans="1:18" x14ac:dyDescent="0.25">
      <c r="E70" s="31"/>
      <c r="F70" s="34"/>
      <c r="G70" s="34"/>
      <c r="H70" s="34"/>
      <c r="I70" s="31"/>
      <c r="J70" s="31"/>
      <c r="K70" s="31"/>
      <c r="L70" s="31"/>
      <c r="M70" s="34"/>
      <c r="N70" s="94"/>
      <c r="Q70" s="168"/>
    </row>
    <row r="71" spans="1:18" x14ac:dyDescent="0.25">
      <c r="A71" s="77" t="s">
        <v>195</v>
      </c>
      <c r="B71" s="77"/>
      <c r="E71" s="31"/>
      <c r="F71" s="34"/>
      <c r="G71" s="34"/>
      <c r="H71" s="34"/>
      <c r="I71" s="31"/>
      <c r="J71" s="31"/>
      <c r="K71" s="31"/>
      <c r="L71" s="31"/>
      <c r="M71" s="34"/>
      <c r="N71" s="94"/>
      <c r="Q71" s="168"/>
    </row>
    <row r="72" spans="1:18" ht="38.450000000000003" customHeight="1" x14ac:dyDescent="0.25">
      <c r="A72" s="23" t="s">
        <v>194</v>
      </c>
      <c r="B72" s="22">
        <v>12.31</v>
      </c>
      <c r="C72" s="72">
        <f>ROUND('PU Wise OWE'!$AQ$29/10000,2)+ROUND('PU Wise OWE'!$BB$29/10000,2)</f>
        <v>4.82</v>
      </c>
      <c r="D72" s="87">
        <f t="shared" ref="D72:D74" si="53">C72/$C$7</f>
        <v>2.3749692042374969E-3</v>
      </c>
      <c r="E72" s="23"/>
      <c r="F72" s="72">
        <f>ROUND('PU Wise OWE'!$AQ$27/10000,2)+ROUND('PU Wise OWE'!$BB$27/10000,2)</f>
        <v>11.17</v>
      </c>
      <c r="G72" s="24">
        <f t="shared" ref="G72:G74" si="54">F72/$F$7</f>
        <v>1.402033387724363E-3</v>
      </c>
      <c r="H72" s="72">
        <f>ROUND('PU Wise OWE'!$AQ$28/10000,2)+ROUND('PU Wise OWE'!$BB$28/10000,2)</f>
        <v>2.9</v>
      </c>
      <c r="I72" s="72">
        <f>ROUND('PU Wise OWE'!$AQ$30/10000,2)+ROUND('PU Wise OWE'!$BB$30/10000,2)</f>
        <v>7.31</v>
      </c>
      <c r="J72" s="96">
        <f t="shared" ref="J72:J74" si="55">I72/$I$7</f>
        <v>3.0471664686633738E-3</v>
      </c>
      <c r="K72" s="22">
        <f>H72-I72</f>
        <v>-4.41</v>
      </c>
      <c r="L72" s="24">
        <f>K72/I72</f>
        <v>-0.60328317373461016</v>
      </c>
      <c r="M72" s="22">
        <f>I72-C72</f>
        <v>2.4899999999999993</v>
      </c>
      <c r="N72" s="54">
        <f>M72/C72</f>
        <v>0.51659751037344381</v>
      </c>
      <c r="O72" s="54">
        <f t="shared" ref="O72:O73" si="56">I72/F72</f>
        <v>0.65443151298119961</v>
      </c>
      <c r="P72" s="160" t="s">
        <v>289</v>
      </c>
      <c r="Q72" s="167">
        <f>(I72/10)*12</f>
        <v>8.7720000000000002</v>
      </c>
      <c r="R72" s="70">
        <f>Q72-F72</f>
        <v>-2.3979999999999997</v>
      </c>
    </row>
    <row r="73" spans="1:18" ht="52.9" customHeight="1" x14ac:dyDescent="0.25">
      <c r="A73" s="23" t="s">
        <v>196</v>
      </c>
      <c r="B73" s="22">
        <v>114.52</v>
      </c>
      <c r="C73" s="72">
        <f>ROUND('PU Wise OWE'!$AQ$40/10000,2)+ROUND('PU Wise OWE'!$BB$40/10000,2)</f>
        <v>11.66</v>
      </c>
      <c r="D73" s="87">
        <f t="shared" si="53"/>
        <v>5.7452574525745257E-3</v>
      </c>
      <c r="E73" s="23"/>
      <c r="F73" s="72">
        <f>ROUND('PU Wise OWE'!$AQ$38/10000,2)+ROUND('PU Wise OWE'!$BB$38/10000,2)</f>
        <v>79.58</v>
      </c>
      <c r="G73" s="24">
        <f t="shared" si="54"/>
        <v>9.9887034015313167E-3</v>
      </c>
      <c r="H73" s="72">
        <f>ROUND('PU Wise OWE'!$AQ$39/10000,2)+ROUND('PU Wise OWE'!$BB$39/10000,2)</f>
        <v>20.69</v>
      </c>
      <c r="I73" s="72">
        <f>ROUND('PU Wise OWE'!$AQ$41/10000,2)+ROUND('PU Wise OWE'!$BB$41/10000,2)</f>
        <v>34.97</v>
      </c>
      <c r="J73" s="96">
        <f t="shared" si="55"/>
        <v>1.4577210863085934E-2</v>
      </c>
      <c r="K73" s="22">
        <f t="shared" ref="K73:K74" si="57">H73-I73</f>
        <v>-14.279999999999998</v>
      </c>
      <c r="L73" s="24">
        <f t="shared" ref="L73:L74" si="58">K73/I73</f>
        <v>-0.40835001429796963</v>
      </c>
      <c r="M73" s="22">
        <f>I73-C73</f>
        <v>23.31</v>
      </c>
      <c r="N73" s="54">
        <f>M73/C73</f>
        <v>1.9991423670668953</v>
      </c>
      <c r="O73" s="54">
        <f t="shared" si="56"/>
        <v>0.43943201809499871</v>
      </c>
      <c r="P73" s="160" t="s">
        <v>275</v>
      </c>
      <c r="Q73" s="167">
        <f>(I73/10)*12</f>
        <v>41.963999999999999</v>
      </c>
      <c r="R73" s="70">
        <f>Q73-F73</f>
        <v>-37.616</v>
      </c>
    </row>
    <row r="74" spans="1:18" s="36" customFormat="1" x14ac:dyDescent="0.25">
      <c r="A74" s="25" t="s">
        <v>130</v>
      </c>
      <c r="B74" s="26">
        <v>126.83</v>
      </c>
      <c r="C74" s="76">
        <f>SUM(C72:C73)</f>
        <v>16.48</v>
      </c>
      <c r="D74" s="88">
        <f t="shared" si="53"/>
        <v>8.1202266568120227E-3</v>
      </c>
      <c r="E74" s="25"/>
      <c r="F74" s="76">
        <f>SUM(F72:F73)</f>
        <v>90.75</v>
      </c>
      <c r="G74" s="56">
        <f t="shared" si="54"/>
        <v>1.139073678925568E-2</v>
      </c>
      <c r="H74" s="76">
        <f t="shared" ref="H74:I74" si="59">SUM(H72:H73)</f>
        <v>23.59</v>
      </c>
      <c r="I74" s="76">
        <f t="shared" si="59"/>
        <v>42.28</v>
      </c>
      <c r="J74" s="56">
        <f t="shared" si="55"/>
        <v>1.7624377331749309E-2</v>
      </c>
      <c r="K74" s="26">
        <f t="shared" si="57"/>
        <v>-18.690000000000001</v>
      </c>
      <c r="L74" s="56">
        <f t="shared" si="58"/>
        <v>-0.44205298013245037</v>
      </c>
      <c r="M74" s="26">
        <f>I74-C74</f>
        <v>25.8</v>
      </c>
      <c r="N74" s="57">
        <f>M74/C74</f>
        <v>1.5655339805825244</v>
      </c>
      <c r="P74" s="164"/>
      <c r="Q74" s="76">
        <f>SUM(Q72:Q73)</f>
        <v>50.735999999999997</v>
      </c>
      <c r="R74" s="76">
        <f>SUM(R72:R73)</f>
        <v>-40.013999999999996</v>
      </c>
    </row>
    <row r="75" spans="1:18" x14ac:dyDescent="0.25">
      <c r="D75" s="31"/>
      <c r="E75" s="31"/>
      <c r="F75" s="34"/>
      <c r="G75" s="34"/>
      <c r="H75" s="34"/>
      <c r="I75" s="31"/>
      <c r="J75" s="31"/>
      <c r="K75" s="31"/>
      <c r="L75" s="31"/>
      <c r="M75" s="34"/>
      <c r="N75" s="94"/>
      <c r="Q75" s="168"/>
    </row>
    <row r="76" spans="1:18" x14ac:dyDescent="0.25">
      <c r="A76" s="77" t="s">
        <v>197</v>
      </c>
      <c r="B76" s="77"/>
      <c r="D76" s="31"/>
      <c r="E76" s="31"/>
      <c r="F76" s="34"/>
      <c r="G76" s="34"/>
      <c r="H76" s="34"/>
      <c r="I76" s="31"/>
      <c r="J76" s="31"/>
      <c r="K76" s="31"/>
      <c r="L76" s="31"/>
      <c r="M76" s="34"/>
      <c r="N76" s="94"/>
      <c r="Q76" s="168"/>
    </row>
    <row r="77" spans="1:18" ht="15.75" x14ac:dyDescent="0.25">
      <c r="A77" s="23" t="s">
        <v>199</v>
      </c>
      <c r="B77" s="22">
        <v>2</v>
      </c>
      <c r="C77" s="72">
        <f>ROUND('PU Wise OWE'!$AW$128/10000,2)</f>
        <v>0.45</v>
      </c>
      <c r="D77" s="87">
        <f t="shared" ref="D77:D83" si="60">C77/$C$7</f>
        <v>2.2172949002217295E-4</v>
      </c>
      <c r="E77" s="23"/>
      <c r="F77" s="22">
        <f>ROUND('PU Wise OWE'!$AW$126/10000,2)</f>
        <v>2.65</v>
      </c>
      <c r="G77" s="24">
        <f t="shared" ref="G77:G83" si="61">F77/$F$7</f>
        <v>3.3262206602234214E-4</v>
      </c>
      <c r="H77" s="23">
        <f>ROUND('PU Wise OWE'!$AW$127/10000,2)</f>
        <v>0.69</v>
      </c>
      <c r="I77" s="23">
        <f>ROUND('PU Wise OWE'!$AW$129/10000,2)</f>
        <v>0.3</v>
      </c>
      <c r="J77" s="96">
        <f t="shared" ref="J77:J85" si="62">I77/$I$7</f>
        <v>1.2505471143625337E-4</v>
      </c>
      <c r="K77" s="22">
        <f>H77-I77</f>
        <v>0.38999999999999996</v>
      </c>
      <c r="L77" s="24">
        <f>K77/I77</f>
        <v>1.2999999999999998</v>
      </c>
      <c r="M77" s="22">
        <f t="shared" ref="M77:M83" si="63">I77-C77</f>
        <v>-0.15000000000000002</v>
      </c>
      <c r="N77" s="54">
        <f t="shared" ref="N77:N83" si="64">M77/C77</f>
        <v>-0.33333333333333337</v>
      </c>
      <c r="O77" s="54">
        <f t="shared" ref="O77:O82" si="65">I77/F77</f>
        <v>0.11320754716981132</v>
      </c>
      <c r="P77" s="159"/>
      <c r="Q77" s="167">
        <f t="shared" ref="Q77:Q82" si="66">(I77/10)*12</f>
        <v>0.36</v>
      </c>
      <c r="R77" s="70">
        <f t="shared" ref="R77:R82" si="67">Q77-F77</f>
        <v>-2.29</v>
      </c>
    </row>
    <row r="78" spans="1:18" ht="15.75" x14ac:dyDescent="0.25">
      <c r="A78" s="23" t="s">
        <v>198</v>
      </c>
      <c r="B78" s="22">
        <v>1.66</v>
      </c>
      <c r="C78" s="72">
        <f>ROUND('PU Wise OWE'!$AX$128/10000,2)</f>
        <v>0.39</v>
      </c>
      <c r="D78" s="87">
        <f t="shared" si="60"/>
        <v>1.9216555801921656E-4</v>
      </c>
      <c r="E78" s="23"/>
      <c r="F78" s="22">
        <f>ROUND('PU Wise OWE'!$AW$126/10000,2)</f>
        <v>2.65</v>
      </c>
      <c r="G78" s="24">
        <f t="shared" si="61"/>
        <v>3.3262206602234214E-4</v>
      </c>
      <c r="H78" s="23">
        <f>ROUND('PU Wise OWE'!$AX$127/10000,2)</f>
        <v>0.47</v>
      </c>
      <c r="I78" s="23">
        <f>ROUND('PU Wise OWE'!$AX$129/10000,2)</f>
        <v>0.41</v>
      </c>
      <c r="J78" s="96">
        <f t="shared" si="62"/>
        <v>1.7090810562954626E-4</v>
      </c>
      <c r="K78" s="22">
        <f t="shared" ref="K78:K83" si="68">H78-I78</f>
        <v>0.06</v>
      </c>
      <c r="L78" s="24">
        <f t="shared" ref="L78:L83" si="69">K78/I78</f>
        <v>0.14634146341463414</v>
      </c>
      <c r="M78" s="22">
        <f t="shared" si="63"/>
        <v>1.9999999999999962E-2</v>
      </c>
      <c r="N78" s="54">
        <f t="shared" si="64"/>
        <v>5.1282051282051183E-2</v>
      </c>
      <c r="O78" s="54">
        <f t="shared" si="65"/>
        <v>0.15471698113207547</v>
      </c>
      <c r="P78" s="159"/>
      <c r="Q78" s="167">
        <f t="shared" si="66"/>
        <v>0.49199999999999994</v>
      </c>
      <c r="R78" s="70">
        <f t="shared" si="67"/>
        <v>-2.1579999999999999</v>
      </c>
    </row>
    <row r="79" spans="1:18" ht="34.15" customHeight="1" x14ac:dyDescent="0.25">
      <c r="A79" s="23" t="s">
        <v>200</v>
      </c>
      <c r="B79" s="22">
        <v>16.940000000000001</v>
      </c>
      <c r="C79" s="72">
        <f>ROUND('PU Wise OWE'!$BC$128/10000,2)</f>
        <v>4.55</v>
      </c>
      <c r="D79" s="87">
        <f t="shared" si="60"/>
        <v>2.2419315102241931E-3</v>
      </c>
      <c r="E79" s="23"/>
      <c r="F79" s="22">
        <f>ROUND('PU Wise OWE'!$BC$126/10000,2)</f>
        <v>14.88</v>
      </c>
      <c r="G79" s="24">
        <f t="shared" si="61"/>
        <v>1.8677042801556422E-3</v>
      </c>
      <c r="H79" s="23">
        <f>ROUND('PU Wise OWE'!$BC$127/10000,2)</f>
        <v>3.87</v>
      </c>
      <c r="I79" s="23">
        <f>ROUND('PU Wise OWE'!$BC$129/10000,2)</f>
        <v>3.94</v>
      </c>
      <c r="J79" s="96">
        <f t="shared" si="62"/>
        <v>1.6423852101961275E-3</v>
      </c>
      <c r="K79" s="22">
        <f t="shared" si="68"/>
        <v>-6.999999999999984E-2</v>
      </c>
      <c r="L79" s="24">
        <f t="shared" si="69"/>
        <v>-1.7766497461928894E-2</v>
      </c>
      <c r="M79" s="22">
        <f t="shared" si="63"/>
        <v>-0.60999999999999988</v>
      </c>
      <c r="N79" s="54">
        <f t="shared" si="64"/>
        <v>-0.13406593406593403</v>
      </c>
      <c r="O79" s="54">
        <f t="shared" si="65"/>
        <v>0.26478494623655913</v>
      </c>
      <c r="P79" s="160" t="s">
        <v>276</v>
      </c>
      <c r="Q79" s="167">
        <f t="shared" si="66"/>
        <v>4.7279999999999998</v>
      </c>
      <c r="R79" s="70">
        <f t="shared" si="67"/>
        <v>-10.152000000000001</v>
      </c>
    </row>
    <row r="80" spans="1:18" ht="52.9" customHeight="1" x14ac:dyDescent="0.25">
      <c r="A80" s="23" t="s">
        <v>201</v>
      </c>
      <c r="B80" s="22">
        <v>16.95</v>
      </c>
      <c r="C80" s="72">
        <f>ROUND('PU Wise OWE'!$BD$128/10000,2)</f>
        <v>4.4000000000000004</v>
      </c>
      <c r="D80" s="87">
        <f t="shared" si="60"/>
        <v>2.1680216802168022E-3</v>
      </c>
      <c r="E80" s="23"/>
      <c r="F80" s="22">
        <f>ROUND('PU Wise OWE'!$BD$126/10000,2)</f>
        <v>14.88</v>
      </c>
      <c r="G80" s="24">
        <f t="shared" si="61"/>
        <v>1.8677042801556422E-3</v>
      </c>
      <c r="H80" s="23">
        <f>ROUND('PU Wise OWE'!$BD$127/10000,2)</f>
        <v>3.87</v>
      </c>
      <c r="I80" s="23">
        <f>ROUND('PU Wise OWE'!$BD$129/10000,2)</f>
        <v>3.94</v>
      </c>
      <c r="J80" s="96">
        <f t="shared" si="62"/>
        <v>1.6423852101961275E-3</v>
      </c>
      <c r="K80" s="22">
        <f t="shared" si="68"/>
        <v>-6.999999999999984E-2</v>
      </c>
      <c r="L80" s="24">
        <f t="shared" si="69"/>
        <v>-1.7766497461928894E-2</v>
      </c>
      <c r="M80" s="22">
        <f t="shared" si="63"/>
        <v>-0.46000000000000041</v>
      </c>
      <c r="N80" s="54">
        <f t="shared" si="64"/>
        <v>-0.10454545454545464</v>
      </c>
      <c r="O80" s="54">
        <f t="shared" si="65"/>
        <v>0.26478494623655913</v>
      </c>
      <c r="P80" s="160" t="s">
        <v>276</v>
      </c>
      <c r="Q80" s="167">
        <f t="shared" si="66"/>
        <v>4.7279999999999998</v>
      </c>
      <c r="R80" s="70">
        <f t="shared" si="67"/>
        <v>-10.152000000000001</v>
      </c>
    </row>
    <row r="81" spans="1:18" ht="43.9" customHeight="1" x14ac:dyDescent="0.25">
      <c r="A81" s="23" t="s">
        <v>202</v>
      </c>
      <c r="B81" s="22">
        <v>17.329999999999998</v>
      </c>
      <c r="C81" s="72">
        <f>ROUND('PU Wise OWE'!$BF$128/10000,2)</f>
        <v>4.87</v>
      </c>
      <c r="D81" s="87">
        <f t="shared" si="60"/>
        <v>2.3996058142399606E-3</v>
      </c>
      <c r="E81" s="23"/>
      <c r="F81" s="22">
        <f>ROUND('PU Wise OWE'!$BF$126/10000,2)</f>
        <v>12.96</v>
      </c>
      <c r="G81" s="24">
        <f t="shared" si="61"/>
        <v>1.626710179490398E-3</v>
      </c>
      <c r="H81" s="23">
        <f>ROUND('PU Wise OWE'!$BF$127/10000,2)</f>
        <v>3.37</v>
      </c>
      <c r="I81" s="23">
        <f>ROUND('PU Wise OWE'!$BF$129/10000,2)</f>
        <v>4.13</v>
      </c>
      <c r="J81" s="96">
        <f t="shared" si="62"/>
        <v>1.7215865274390881E-3</v>
      </c>
      <c r="K81" s="22">
        <f t="shared" si="68"/>
        <v>-0.75999999999999979</v>
      </c>
      <c r="L81" s="24">
        <f t="shared" si="69"/>
        <v>-0.18401937046004838</v>
      </c>
      <c r="M81" s="22">
        <f t="shared" si="63"/>
        <v>-0.74000000000000021</v>
      </c>
      <c r="N81" s="54">
        <f t="shared" si="64"/>
        <v>-0.15195071868583165</v>
      </c>
      <c r="O81" s="54">
        <f t="shared" si="65"/>
        <v>0.31867283950617281</v>
      </c>
      <c r="P81" s="160" t="s">
        <v>276</v>
      </c>
      <c r="Q81" s="167">
        <f t="shared" si="66"/>
        <v>4.9559999999999995</v>
      </c>
      <c r="R81" s="70">
        <f t="shared" si="67"/>
        <v>-8.0040000000000013</v>
      </c>
    </row>
    <row r="82" spans="1:18" ht="15.75" x14ac:dyDescent="0.25">
      <c r="A82" s="23" t="s">
        <v>203</v>
      </c>
      <c r="B82" s="22">
        <v>166.71</v>
      </c>
      <c r="C82" s="72">
        <f>ROUND('PU Wise OWE'!$BG$128/10000,2)-ROUND('PU Wise OWE'!$BG$117/10000,2)</f>
        <v>15.770000000000209</v>
      </c>
      <c r="D82" s="87">
        <f t="shared" si="60"/>
        <v>7.7703867947771415E-3</v>
      </c>
      <c r="E82" s="23"/>
      <c r="F82" s="22">
        <f>ROUND('PU Wise OWE'!$BG$126/10000,2)-ROUND('PU Wise OWE'!$BG$115/10000,2)</f>
        <v>127.09000000000015</v>
      </c>
      <c r="G82" s="24">
        <f t="shared" si="61"/>
        <v>1.5952052215388497E-2</v>
      </c>
      <c r="H82" s="23">
        <f>ROUND('PU Wise OWE'!$BG$127/10000,2)-ROUND('PU Wise OWE'!$BG$116/10000,2)</f>
        <v>33.849999999999994</v>
      </c>
      <c r="I82" s="23">
        <f>ROUND('PU Wise OWE'!$BG$129/10000,2)-ROUND('PU Wise OWE'!$BG$118/10000,2)</f>
        <v>19.319999999999936</v>
      </c>
      <c r="J82" s="96">
        <f t="shared" si="62"/>
        <v>8.0535234164946911E-3</v>
      </c>
      <c r="K82" s="22">
        <f t="shared" si="68"/>
        <v>14.530000000000058</v>
      </c>
      <c r="L82" s="24">
        <f t="shared" si="69"/>
        <v>0.75207039337474668</v>
      </c>
      <c r="M82" s="22">
        <f t="shared" si="63"/>
        <v>3.5499999999997272</v>
      </c>
      <c r="N82" s="54">
        <f t="shared" si="64"/>
        <v>0.22511097019655549</v>
      </c>
      <c r="O82" s="54">
        <f t="shared" si="65"/>
        <v>0.15201825478007644</v>
      </c>
      <c r="P82" s="160"/>
      <c r="Q82" s="167">
        <f t="shared" si="66"/>
        <v>23.183999999999926</v>
      </c>
      <c r="R82" s="171">
        <f t="shared" si="67"/>
        <v>-103.90600000000022</v>
      </c>
    </row>
    <row r="83" spans="1:18" s="36" customFormat="1" x14ac:dyDescent="0.25">
      <c r="A83" s="25" t="s">
        <v>130</v>
      </c>
      <c r="B83" s="26">
        <f>SUM(B77:B82)</f>
        <v>221.59</v>
      </c>
      <c r="C83" s="76">
        <f>SUM(C77:C82)</f>
        <v>30.430000000000209</v>
      </c>
      <c r="D83" s="88">
        <f t="shared" si="60"/>
        <v>1.4993840847499487E-2</v>
      </c>
      <c r="E83" s="25"/>
      <c r="F83" s="76">
        <f>SUM(F77:F82)</f>
        <v>175.11000000000016</v>
      </c>
      <c r="G83" s="56">
        <f t="shared" si="61"/>
        <v>2.1979415087234864E-2</v>
      </c>
      <c r="H83" s="76">
        <f>SUM(H77:H82)</f>
        <v>46.11999999999999</v>
      </c>
      <c r="I83" s="76">
        <f>SUM(I77:I82)</f>
        <v>32.039999999999935</v>
      </c>
      <c r="J83" s="56">
        <f t="shared" si="62"/>
        <v>1.3355843181391833E-2</v>
      </c>
      <c r="K83" s="26">
        <f t="shared" si="68"/>
        <v>14.080000000000055</v>
      </c>
      <c r="L83" s="56">
        <f t="shared" si="69"/>
        <v>0.43945068664170051</v>
      </c>
      <c r="M83" s="26">
        <f t="shared" si="63"/>
        <v>1.6099999999997259</v>
      </c>
      <c r="N83" s="57">
        <f t="shared" si="64"/>
        <v>5.2908314163644915E-2</v>
      </c>
      <c r="O83" s="25"/>
      <c r="P83" s="158"/>
      <c r="Q83" s="76">
        <f>SUM(Q77:Q82)</f>
        <v>38.447999999999922</v>
      </c>
      <c r="R83" s="76">
        <f>SUM(R77:R82)</f>
        <v>-136.66200000000021</v>
      </c>
    </row>
    <row r="84" spans="1:18" x14ac:dyDescent="0.25">
      <c r="Q84" s="168"/>
    </row>
    <row r="85" spans="1:18" s="36" customFormat="1" ht="30" x14ac:dyDescent="0.25">
      <c r="A85" s="95" t="s">
        <v>204</v>
      </c>
      <c r="B85" s="114">
        <v>5247.44</v>
      </c>
      <c r="C85" s="76">
        <f>C37+C49+C54+C56+C64+C69+C74+C83</f>
        <v>921.54000000000019</v>
      </c>
      <c r="D85" s="88">
        <f t="shared" ref="D85" si="70">C85/$C$7</f>
        <v>0.45407243163340733</v>
      </c>
      <c r="E85" s="25"/>
      <c r="F85" s="76">
        <f>F37+F49+F54+F56+F64+F69+F74+F83</f>
        <v>3346.2100000000005</v>
      </c>
      <c r="G85" s="56">
        <f t="shared" ref="G85" si="71">F85/$F$7</f>
        <v>0.4200087862432535</v>
      </c>
      <c r="H85" s="76">
        <f>H37+H49+H54+H56+H64+H69+H74+H83</f>
        <v>1033.48</v>
      </c>
      <c r="I85" s="76">
        <f>I37+I49+I54+I56+I64+I69+I74+I83</f>
        <v>1211.2299999999998</v>
      </c>
      <c r="J85" s="56">
        <f t="shared" si="62"/>
        <v>0.50490006044311053</v>
      </c>
      <c r="K85" s="26">
        <f t="shared" ref="K85" si="72">H85-I85</f>
        <v>-177.74999999999977</v>
      </c>
      <c r="L85" s="56">
        <f t="shared" ref="L85" si="73">K85/I85</f>
        <v>-0.14675164915003741</v>
      </c>
      <c r="M85" s="26">
        <f>I85-C85</f>
        <v>289.6899999999996</v>
      </c>
      <c r="N85" s="57">
        <f>M85/C85</f>
        <v>0.3143542331314968</v>
      </c>
      <c r="O85" s="54">
        <f t="shared" ref="O85" si="74">I85/F85</f>
        <v>0.36197070715824758</v>
      </c>
      <c r="P85" s="158"/>
      <c r="Q85" s="76">
        <f>Q37+Q49+Q54+Q56+Q64+Q69+Q74+Q83</f>
        <v>1777.7439999999999</v>
      </c>
      <c r="R85" s="171">
        <f>Q85-F85</f>
        <v>-1568.4660000000006</v>
      </c>
    </row>
    <row r="86" spans="1:18" x14ac:dyDescent="0.25">
      <c r="Q86" s="168"/>
    </row>
    <row r="87" spans="1:18" s="150" customFormat="1" x14ac:dyDescent="0.25">
      <c r="A87" s="79"/>
      <c r="B87" s="251" t="s">
        <v>300</v>
      </c>
      <c r="C87" s="248" t="s">
        <v>309</v>
      </c>
      <c r="D87" s="251" t="s">
        <v>173</v>
      </c>
      <c r="E87" s="251"/>
      <c r="F87" s="276" t="s">
        <v>311</v>
      </c>
      <c r="G87" s="251" t="s">
        <v>313</v>
      </c>
      <c r="H87" s="155"/>
      <c r="I87" s="248" t="s">
        <v>310</v>
      </c>
      <c r="J87" s="251" t="s">
        <v>205</v>
      </c>
      <c r="K87" s="155"/>
      <c r="L87" s="155"/>
      <c r="M87" s="250" t="s">
        <v>147</v>
      </c>
      <c r="N87" s="250"/>
      <c r="O87" s="252" t="s">
        <v>312</v>
      </c>
      <c r="Q87" s="168"/>
    </row>
    <row r="88" spans="1:18" s="150" customFormat="1" x14ac:dyDescent="0.25">
      <c r="A88" s="135" t="s">
        <v>254</v>
      </c>
      <c r="B88" s="249"/>
      <c r="C88" s="249"/>
      <c r="D88" s="249"/>
      <c r="E88" s="249"/>
      <c r="F88" s="277"/>
      <c r="G88" s="249"/>
      <c r="H88" s="156"/>
      <c r="I88" s="290"/>
      <c r="J88" s="249"/>
      <c r="K88" s="156"/>
      <c r="L88" s="156"/>
      <c r="M88" s="81" t="s">
        <v>145</v>
      </c>
      <c r="N88" s="82" t="s">
        <v>146</v>
      </c>
      <c r="O88" s="252"/>
      <c r="Q88" s="168"/>
    </row>
    <row r="89" spans="1:18" s="150" customFormat="1" ht="15.75" x14ac:dyDescent="0.25">
      <c r="A89" s="23" t="s">
        <v>255</v>
      </c>
      <c r="B89" s="23">
        <v>0</v>
      </c>
      <c r="C89" s="151">
        <v>0</v>
      </c>
      <c r="D89" s="87">
        <f t="shared" ref="D89:D102" si="75">C89/$C$7</f>
        <v>0</v>
      </c>
      <c r="E89" s="23"/>
      <c r="F89" s="22">
        <v>0.69</v>
      </c>
      <c r="G89" s="24">
        <f t="shared" ref="G89:G102" si="76">F89/$F$7</f>
        <v>8.66072549265721E-5</v>
      </c>
      <c r="H89" s="24"/>
      <c r="I89" s="23">
        <v>0</v>
      </c>
      <c r="J89" s="96">
        <f t="shared" ref="J89:J102" si="77">I89/$I$7</f>
        <v>0</v>
      </c>
      <c r="K89" s="96"/>
      <c r="L89" s="96"/>
      <c r="M89" s="22">
        <f>I89-C89</f>
        <v>0</v>
      </c>
      <c r="N89" s="54">
        <v>0</v>
      </c>
      <c r="O89" s="54">
        <f t="shared" ref="O89:O102" si="78">I89/F89</f>
        <v>0</v>
      </c>
      <c r="Q89" s="167"/>
    </row>
    <row r="90" spans="1:18" s="150" customFormat="1" ht="15.75" x14ac:dyDescent="0.25">
      <c r="A90" s="23" t="s">
        <v>256</v>
      </c>
      <c r="B90" s="23">
        <v>33.630000000000003</v>
      </c>
      <c r="C90" s="152">
        <v>1.86</v>
      </c>
      <c r="D90" s="87">
        <f t="shared" si="75"/>
        <v>9.1648189209164819E-4</v>
      </c>
      <c r="E90" s="23"/>
      <c r="F90" s="22">
        <v>33.28</v>
      </c>
      <c r="G90" s="24">
        <f t="shared" si="76"/>
        <v>4.1772310781975647E-3</v>
      </c>
      <c r="H90" s="24"/>
      <c r="I90" s="22">
        <v>2.77</v>
      </c>
      <c r="J90" s="96">
        <f t="shared" si="77"/>
        <v>1.1546718355947394E-3</v>
      </c>
      <c r="K90" s="96"/>
      <c r="L90" s="96"/>
      <c r="M90" s="22">
        <f t="shared" ref="M90:M102" si="79">I90-C90</f>
        <v>0.90999999999999992</v>
      </c>
      <c r="N90" s="54">
        <f t="shared" ref="N90:N102" si="80">M90/C90</f>
        <v>0.48924731182795694</v>
      </c>
      <c r="O90" s="54">
        <f t="shared" si="78"/>
        <v>8.3233173076923073E-2</v>
      </c>
      <c r="Q90" s="167"/>
    </row>
    <row r="91" spans="1:18" s="150" customFormat="1" ht="15.75" x14ac:dyDescent="0.25">
      <c r="A91" s="23" t="s">
        <v>266</v>
      </c>
      <c r="B91" s="23">
        <v>7.44</v>
      </c>
      <c r="C91" s="152">
        <v>0.04</v>
      </c>
      <c r="D91" s="87">
        <f t="shared" si="75"/>
        <v>1.9709288001970929E-5</v>
      </c>
      <c r="E91" s="23"/>
      <c r="F91" s="22">
        <v>0.53</v>
      </c>
      <c r="G91" s="24">
        <f t="shared" si="76"/>
        <v>6.6524413204468433E-5</v>
      </c>
      <c r="H91" s="24"/>
      <c r="I91" s="22">
        <v>0</v>
      </c>
      <c r="J91" s="96">
        <f t="shared" si="77"/>
        <v>0</v>
      </c>
      <c r="K91" s="96"/>
      <c r="L91" s="96"/>
      <c r="M91" s="22">
        <f t="shared" si="79"/>
        <v>-0.04</v>
      </c>
      <c r="N91" s="54">
        <f t="shared" si="80"/>
        <v>-1</v>
      </c>
      <c r="O91" s="54">
        <f t="shared" si="78"/>
        <v>0</v>
      </c>
      <c r="Q91" s="167"/>
    </row>
    <row r="92" spans="1:18" s="150" customFormat="1" ht="15.75" x14ac:dyDescent="0.25">
      <c r="A92" s="153" t="s">
        <v>257</v>
      </c>
      <c r="B92" s="25">
        <f>SUM(B89:B91)</f>
        <v>41.07</v>
      </c>
      <c r="C92" s="25">
        <f>SUM(C89:C91)</f>
        <v>1.9000000000000001</v>
      </c>
      <c r="D92" s="88">
        <f t="shared" si="75"/>
        <v>9.3619118009361923E-4</v>
      </c>
      <c r="E92" s="25">
        <f t="shared" ref="E92:F92" si="81">SUM(E89:E90)</f>
        <v>0</v>
      </c>
      <c r="F92" s="26">
        <f t="shared" si="81"/>
        <v>33.97</v>
      </c>
      <c r="G92" s="56">
        <f t="shared" si="76"/>
        <v>4.2638383331241366E-3</v>
      </c>
      <c r="H92" s="56"/>
      <c r="I92" s="26">
        <f>SUM(I89:I91)</f>
        <v>2.77</v>
      </c>
      <c r="J92" s="56">
        <f t="shared" si="77"/>
        <v>1.1546718355947394E-3</v>
      </c>
      <c r="K92" s="56"/>
      <c r="L92" s="56"/>
      <c r="M92" s="26">
        <f t="shared" si="79"/>
        <v>0.86999999999999988</v>
      </c>
      <c r="N92" s="57">
        <f t="shared" si="80"/>
        <v>0.45789473684210519</v>
      </c>
      <c r="O92" s="57">
        <f t="shared" si="78"/>
        <v>8.1542537533117465E-2</v>
      </c>
      <c r="Q92" s="167"/>
    </row>
    <row r="93" spans="1:18" s="150" customFormat="1" ht="15.75" x14ac:dyDescent="0.25">
      <c r="A93" s="23" t="s">
        <v>258</v>
      </c>
      <c r="B93" s="25">
        <v>0</v>
      </c>
      <c r="C93" s="151">
        <v>0</v>
      </c>
      <c r="D93" s="87">
        <f t="shared" si="75"/>
        <v>0</v>
      </c>
      <c r="E93" s="23"/>
      <c r="F93" s="22">
        <v>0</v>
      </c>
      <c r="G93" s="24">
        <f t="shared" si="76"/>
        <v>0</v>
      </c>
      <c r="H93" s="24"/>
      <c r="I93" s="22">
        <v>0</v>
      </c>
      <c r="J93" s="96">
        <f t="shared" si="77"/>
        <v>0</v>
      </c>
      <c r="K93" s="96"/>
      <c r="L93" s="96"/>
      <c r="M93" s="22">
        <f t="shared" si="79"/>
        <v>0</v>
      </c>
      <c r="N93" s="54">
        <v>0</v>
      </c>
      <c r="O93" s="54">
        <v>0</v>
      </c>
      <c r="Q93" s="167"/>
    </row>
    <row r="94" spans="1:18" s="150" customFormat="1" ht="15.75" x14ac:dyDescent="0.25">
      <c r="A94" s="23" t="s">
        <v>259</v>
      </c>
      <c r="B94" s="25">
        <v>13.17</v>
      </c>
      <c r="C94" s="152">
        <v>0.17</v>
      </c>
      <c r="D94" s="87">
        <f t="shared" si="75"/>
        <v>8.3764474008376447E-5</v>
      </c>
      <c r="E94" s="23"/>
      <c r="F94" s="22">
        <v>14.55</v>
      </c>
      <c r="G94" s="24">
        <f t="shared" si="76"/>
        <v>1.8262834191038033E-3</v>
      </c>
      <c r="H94" s="24"/>
      <c r="I94" s="22">
        <v>3.38</v>
      </c>
      <c r="J94" s="96">
        <f t="shared" si="77"/>
        <v>1.4089497488484547E-3</v>
      </c>
      <c r="K94" s="96"/>
      <c r="L94" s="96"/>
      <c r="M94" s="22">
        <f t="shared" si="79"/>
        <v>3.21</v>
      </c>
      <c r="N94" s="54">
        <f t="shared" si="80"/>
        <v>18.882352941176467</v>
      </c>
      <c r="O94" s="54">
        <f t="shared" si="78"/>
        <v>0.23230240549828177</v>
      </c>
      <c r="Q94" s="167"/>
    </row>
    <row r="95" spans="1:18" s="150" customFormat="1" ht="15.75" x14ac:dyDescent="0.25">
      <c r="A95" s="23" t="s">
        <v>267</v>
      </c>
      <c r="B95" s="25">
        <v>-0.3</v>
      </c>
      <c r="C95" s="152">
        <v>0</v>
      </c>
      <c r="D95" s="87">
        <f t="shared" si="75"/>
        <v>0</v>
      </c>
      <c r="E95" s="23"/>
      <c r="F95" s="22">
        <v>0.05</v>
      </c>
      <c r="G95" s="24">
        <f t="shared" si="76"/>
        <v>6.2758880381573994E-6</v>
      </c>
      <c r="H95" s="24"/>
      <c r="I95" s="22">
        <v>0</v>
      </c>
      <c r="J95" s="96">
        <f t="shared" si="77"/>
        <v>0</v>
      </c>
      <c r="K95" s="96"/>
      <c r="L95" s="96"/>
      <c r="M95" s="22">
        <f t="shared" si="79"/>
        <v>0</v>
      </c>
      <c r="N95" s="54">
        <v>0</v>
      </c>
      <c r="O95" s="54">
        <f t="shared" si="78"/>
        <v>0</v>
      </c>
      <c r="Q95" s="167"/>
    </row>
    <row r="96" spans="1:18" s="150" customFormat="1" ht="15.75" x14ac:dyDescent="0.25">
      <c r="A96" s="153" t="s">
        <v>260</v>
      </c>
      <c r="B96" s="25">
        <f>SUM(B93:B95)</f>
        <v>12.87</v>
      </c>
      <c r="C96" s="25">
        <f>SUM(C93:C95)</f>
        <v>0.17</v>
      </c>
      <c r="D96" s="88">
        <f t="shared" si="75"/>
        <v>8.3764474008376447E-5</v>
      </c>
      <c r="E96" s="25">
        <f t="shared" ref="E96" si="82">SUM(E93:E94)</f>
        <v>0</v>
      </c>
      <c r="F96" s="26">
        <f>SUM(F93:F95)</f>
        <v>14.600000000000001</v>
      </c>
      <c r="G96" s="56">
        <f t="shared" si="76"/>
        <v>1.8325593071419608E-3</v>
      </c>
      <c r="H96" s="56"/>
      <c r="I96" s="26">
        <f>SUM(I93:I95)</f>
        <v>3.38</v>
      </c>
      <c r="J96" s="56">
        <f t="shared" si="77"/>
        <v>1.4089497488484547E-3</v>
      </c>
      <c r="K96" s="56"/>
      <c r="L96" s="56"/>
      <c r="M96" s="26">
        <f t="shared" si="79"/>
        <v>3.21</v>
      </c>
      <c r="N96" s="57">
        <f t="shared" si="80"/>
        <v>18.882352941176467</v>
      </c>
      <c r="O96" s="57">
        <f t="shared" si="78"/>
        <v>0.23150684931506846</v>
      </c>
      <c r="Q96" s="167"/>
    </row>
    <row r="97" spans="1:17" s="150" customFormat="1" ht="15.75" x14ac:dyDescent="0.25">
      <c r="A97" s="23" t="s">
        <v>261</v>
      </c>
      <c r="B97" s="26">
        <v>24.12</v>
      </c>
      <c r="C97" s="152">
        <v>1.61</v>
      </c>
      <c r="D97" s="87">
        <f t="shared" si="75"/>
        <v>7.9329884207932988E-4</v>
      </c>
      <c r="E97" s="23"/>
      <c r="F97" s="22">
        <v>17.600000000000001</v>
      </c>
      <c r="G97" s="24">
        <f t="shared" si="76"/>
        <v>2.2091125894314048E-3</v>
      </c>
      <c r="H97" s="24"/>
      <c r="I97" s="22">
        <v>0.15</v>
      </c>
      <c r="J97" s="96">
        <f t="shared" si="77"/>
        <v>6.2527355718126687E-5</v>
      </c>
      <c r="K97" s="96"/>
      <c r="L97" s="96"/>
      <c r="M97" s="22">
        <f t="shared" si="79"/>
        <v>-1.4600000000000002</v>
      </c>
      <c r="N97" s="54">
        <f t="shared" si="80"/>
        <v>-0.90683229813664601</v>
      </c>
      <c r="O97" s="54">
        <f t="shared" si="78"/>
        <v>8.5227272727272721E-3</v>
      </c>
      <c r="Q97" s="167"/>
    </row>
    <row r="98" spans="1:17" s="150" customFormat="1" ht="15.75" x14ac:dyDescent="0.25">
      <c r="A98" s="23" t="s">
        <v>262</v>
      </c>
      <c r="B98" s="25">
        <v>145.66</v>
      </c>
      <c r="C98" s="152">
        <v>4.3499999999999996</v>
      </c>
      <c r="D98" s="87">
        <f t="shared" si="75"/>
        <v>2.1433850702143385E-3</v>
      </c>
      <c r="E98" s="23"/>
      <c r="F98" s="22">
        <v>11.56</v>
      </c>
      <c r="G98" s="24">
        <f t="shared" si="76"/>
        <v>1.4509853144219907E-3</v>
      </c>
      <c r="H98" s="24"/>
      <c r="I98" s="22">
        <v>6.27</v>
      </c>
      <c r="J98" s="96">
        <f t="shared" si="77"/>
        <v>2.6136434690176955E-3</v>
      </c>
      <c r="K98" s="96"/>
      <c r="L98" s="96"/>
      <c r="M98" s="22">
        <f t="shared" si="79"/>
        <v>1.92</v>
      </c>
      <c r="N98" s="54">
        <f t="shared" si="80"/>
        <v>0.44137931034482758</v>
      </c>
      <c r="O98" s="54">
        <f t="shared" si="78"/>
        <v>0.54238754325259508</v>
      </c>
      <c r="Q98" s="167"/>
    </row>
    <row r="99" spans="1:17" s="150" customFormat="1" ht="15.75" x14ac:dyDescent="0.25">
      <c r="A99" s="153" t="s">
        <v>263</v>
      </c>
      <c r="B99" s="25">
        <f t="shared" ref="B99:I102" si="83">SUM(B97:B98)</f>
        <v>169.78</v>
      </c>
      <c r="C99" s="26">
        <f t="shared" si="83"/>
        <v>5.96</v>
      </c>
      <c r="D99" s="88">
        <f t="shared" si="75"/>
        <v>2.9366839122936684E-3</v>
      </c>
      <c r="E99" s="25">
        <f t="shared" si="83"/>
        <v>0</v>
      </c>
      <c r="F99" s="26">
        <f t="shared" si="83"/>
        <v>29.160000000000004</v>
      </c>
      <c r="G99" s="56">
        <f t="shared" si="76"/>
        <v>3.6600979038533955E-3</v>
      </c>
      <c r="H99" s="56"/>
      <c r="I99" s="26">
        <f t="shared" si="83"/>
        <v>6.42</v>
      </c>
      <c r="J99" s="56">
        <f t="shared" si="77"/>
        <v>2.676170824735822E-3</v>
      </c>
      <c r="K99" s="56"/>
      <c r="L99" s="56"/>
      <c r="M99" s="26">
        <f t="shared" si="79"/>
        <v>0.45999999999999996</v>
      </c>
      <c r="N99" s="57">
        <f t="shared" si="80"/>
        <v>7.7181208053691275E-2</v>
      </c>
      <c r="O99" s="57">
        <f t="shared" si="78"/>
        <v>0.22016460905349791</v>
      </c>
      <c r="Q99" s="167"/>
    </row>
    <row r="100" spans="1:17" s="150" customFormat="1" ht="15.75" x14ac:dyDescent="0.25">
      <c r="A100" s="23" t="s">
        <v>264</v>
      </c>
      <c r="B100" s="26">
        <v>12.31</v>
      </c>
      <c r="C100" s="152">
        <v>4.28</v>
      </c>
      <c r="D100" s="87">
        <f t="shared" si="75"/>
        <v>2.1088938162108894E-3</v>
      </c>
      <c r="E100" s="23"/>
      <c r="F100" s="22">
        <v>13.17</v>
      </c>
      <c r="G100" s="24">
        <f t="shared" si="76"/>
        <v>1.6530689092506589E-3</v>
      </c>
      <c r="H100" s="24"/>
      <c r="I100" s="22">
        <v>1.93</v>
      </c>
      <c r="J100" s="96">
        <f t="shared" si="77"/>
        <v>8.0451864357323002E-4</v>
      </c>
      <c r="K100" s="96"/>
      <c r="L100" s="96"/>
      <c r="M100" s="22">
        <f t="shared" si="79"/>
        <v>-2.3500000000000005</v>
      </c>
      <c r="N100" s="54">
        <f t="shared" si="80"/>
        <v>-0.54906542056074781</v>
      </c>
      <c r="O100" s="54">
        <f t="shared" si="78"/>
        <v>0.14654517843583903</v>
      </c>
      <c r="Q100" s="167"/>
    </row>
    <row r="101" spans="1:17" s="150" customFormat="1" ht="15.75" x14ac:dyDescent="0.25">
      <c r="A101" s="23" t="s">
        <v>265</v>
      </c>
      <c r="B101" s="25">
        <v>101.34</v>
      </c>
      <c r="C101" s="152">
        <v>1.64</v>
      </c>
      <c r="D101" s="87">
        <f t="shared" si="75"/>
        <v>8.0808080808080808E-4</v>
      </c>
      <c r="E101" s="23"/>
      <c r="F101" s="22">
        <v>65.03</v>
      </c>
      <c r="G101" s="24">
        <f t="shared" si="76"/>
        <v>8.1624199824275132E-3</v>
      </c>
      <c r="H101" s="24"/>
      <c r="I101" s="22">
        <v>5.95</v>
      </c>
      <c r="J101" s="96">
        <f t="shared" si="77"/>
        <v>2.4802517768190251E-3</v>
      </c>
      <c r="K101" s="96"/>
      <c r="L101" s="96"/>
      <c r="M101" s="22">
        <f t="shared" si="79"/>
        <v>4.3100000000000005</v>
      </c>
      <c r="N101" s="54">
        <f t="shared" si="80"/>
        <v>2.6280487804878052</v>
      </c>
      <c r="O101" s="54">
        <f t="shared" si="78"/>
        <v>9.1496232508073191E-2</v>
      </c>
      <c r="Q101" s="167"/>
    </row>
    <row r="102" spans="1:17" s="150" customFormat="1" ht="15.75" x14ac:dyDescent="0.25">
      <c r="A102" s="153" t="s">
        <v>295</v>
      </c>
      <c r="B102" s="25">
        <f t="shared" si="83"/>
        <v>113.65</v>
      </c>
      <c r="C102" s="26">
        <f t="shared" si="83"/>
        <v>5.92</v>
      </c>
      <c r="D102" s="88">
        <f t="shared" si="75"/>
        <v>2.9169746242916975E-3</v>
      </c>
      <c r="E102" s="25">
        <f t="shared" si="83"/>
        <v>0</v>
      </c>
      <c r="F102" s="26">
        <f t="shared" si="83"/>
        <v>78.2</v>
      </c>
      <c r="G102" s="56">
        <f t="shared" si="76"/>
        <v>9.815488891678173E-3</v>
      </c>
      <c r="H102" s="56"/>
      <c r="I102" s="26">
        <f t="shared" si="83"/>
        <v>7.88</v>
      </c>
      <c r="J102" s="56">
        <f t="shared" si="77"/>
        <v>3.2847704203922551E-3</v>
      </c>
      <c r="K102" s="56"/>
      <c r="L102" s="56"/>
      <c r="M102" s="26">
        <f t="shared" si="79"/>
        <v>1.96</v>
      </c>
      <c r="N102" s="57">
        <f t="shared" si="80"/>
        <v>0.33108108108108109</v>
      </c>
      <c r="O102" s="57">
        <f t="shared" si="78"/>
        <v>0.10076726342710997</v>
      </c>
      <c r="Q102" s="167"/>
    </row>
    <row r="103" spans="1:17" x14ac:dyDescent="0.25">
      <c r="Q103" s="168"/>
    </row>
    <row r="104" spans="1:17" x14ac:dyDescent="0.25">
      <c r="A104" s="79"/>
      <c r="B104" s="251" t="s">
        <v>300</v>
      </c>
      <c r="C104" s="248" t="str">
        <f>'PU Wise OWE'!$B$7</f>
        <v>Actuals upto June' 20</v>
      </c>
      <c r="D104" s="251" t="s">
        <v>173</v>
      </c>
      <c r="E104" s="251"/>
      <c r="F104" s="276" t="str">
        <f>'PU Wise OWE'!$B$5</f>
        <v xml:space="preserve">OBG(SL) 2021-22 </v>
      </c>
      <c r="G104" s="251" t="s">
        <v>313</v>
      </c>
      <c r="H104" s="155"/>
      <c r="I104" s="248" t="str">
        <f>I40</f>
        <v>Actuals upto June' 21</v>
      </c>
      <c r="J104" s="251" t="s">
        <v>205</v>
      </c>
      <c r="K104" s="155"/>
      <c r="L104" s="155"/>
      <c r="M104" s="250" t="s">
        <v>147</v>
      </c>
      <c r="N104" s="250"/>
      <c r="O104" s="252" t="s">
        <v>312</v>
      </c>
      <c r="Q104" s="168"/>
    </row>
    <row r="105" spans="1:17" x14ac:dyDescent="0.25">
      <c r="A105" s="135" t="s">
        <v>191</v>
      </c>
      <c r="B105" s="249"/>
      <c r="C105" s="249"/>
      <c r="D105" s="249"/>
      <c r="E105" s="249"/>
      <c r="F105" s="277"/>
      <c r="G105" s="249"/>
      <c r="H105" s="156"/>
      <c r="I105" s="249"/>
      <c r="J105" s="249"/>
      <c r="K105" s="156"/>
      <c r="L105" s="156"/>
      <c r="M105" s="81" t="s">
        <v>145</v>
      </c>
      <c r="N105" s="82" t="s">
        <v>146</v>
      </c>
      <c r="O105" s="252"/>
      <c r="Q105" s="168"/>
    </row>
    <row r="106" spans="1:17" ht="15.75" x14ac:dyDescent="0.25">
      <c r="A106" s="23" t="s">
        <v>218</v>
      </c>
      <c r="B106" s="23">
        <v>305.92</v>
      </c>
      <c r="C106" s="111">
        <v>19.18</v>
      </c>
      <c r="D106" s="87">
        <f t="shared" ref="D106:D109" si="84">C106/$C$7</f>
        <v>9.4506035969450595E-3</v>
      </c>
      <c r="E106" s="23"/>
      <c r="F106" s="20">
        <v>115.89</v>
      </c>
      <c r="G106" s="24">
        <f t="shared" ref="G106:G109" si="85">F106/$F$7</f>
        <v>1.4546253294841219E-2</v>
      </c>
      <c r="H106" s="24"/>
      <c r="I106" s="107">
        <v>28.26</v>
      </c>
      <c r="J106" s="96">
        <f t="shared" ref="J106:J109" si="86">I106/$I$7</f>
        <v>1.1780153817295068E-2</v>
      </c>
      <c r="K106" s="96"/>
      <c r="L106" s="96"/>
      <c r="M106" s="22">
        <f>I106-C106</f>
        <v>9.0800000000000018</v>
      </c>
      <c r="N106" s="54">
        <f>M106/C106</f>
        <v>0.47340980187695525</v>
      </c>
      <c r="O106" s="54">
        <f t="shared" ref="O106:O109" si="87">I106/F106</f>
        <v>0.24385192855293814</v>
      </c>
      <c r="Q106" s="167"/>
    </row>
    <row r="107" spans="1:17" ht="15.75" x14ac:dyDescent="0.25">
      <c r="A107" s="23" t="s">
        <v>217</v>
      </c>
      <c r="B107" s="23">
        <v>266.58999999999997</v>
      </c>
      <c r="C107" s="83">
        <v>27.95</v>
      </c>
      <c r="D107" s="87">
        <f t="shared" si="84"/>
        <v>1.3771864991377187E-2</v>
      </c>
      <c r="E107" s="23"/>
      <c r="F107" s="107">
        <v>750</v>
      </c>
      <c r="G107" s="24">
        <f t="shared" si="85"/>
        <v>9.4138320572360989E-2</v>
      </c>
      <c r="H107" s="24"/>
      <c r="I107" s="107">
        <v>40.58</v>
      </c>
      <c r="J107" s="96">
        <f t="shared" si="86"/>
        <v>1.6915733966943871E-2</v>
      </c>
      <c r="K107" s="96"/>
      <c r="L107" s="96"/>
      <c r="M107" s="22">
        <f t="shared" ref="M107:M109" si="88">I107-C107</f>
        <v>12.629999999999999</v>
      </c>
      <c r="N107" s="54">
        <f t="shared" ref="N107:N109" si="89">M107/C107</f>
        <v>0.45187835420393557</v>
      </c>
      <c r="O107" s="54">
        <f t="shared" si="87"/>
        <v>5.4106666666666664E-2</v>
      </c>
      <c r="Q107" s="167"/>
    </row>
    <row r="108" spans="1:17" ht="15.75" x14ac:dyDescent="0.25">
      <c r="A108" s="89" t="s">
        <v>216</v>
      </c>
      <c r="B108" s="23">
        <v>544.78</v>
      </c>
      <c r="C108" s="83">
        <v>165.44</v>
      </c>
      <c r="D108" s="87">
        <f t="shared" si="84"/>
        <v>8.1517615176151761E-2</v>
      </c>
      <c r="E108" s="23"/>
      <c r="F108" s="107">
        <v>676.5</v>
      </c>
      <c r="G108" s="24">
        <f t="shared" si="85"/>
        <v>8.491276515626961E-2</v>
      </c>
      <c r="H108" s="24"/>
      <c r="I108" s="20">
        <v>301.26</v>
      </c>
      <c r="J108" s="96">
        <f t="shared" si="86"/>
        <v>0.12557994122428562</v>
      </c>
      <c r="K108" s="96"/>
      <c r="L108" s="96"/>
      <c r="M108" s="22">
        <f t="shared" si="88"/>
        <v>135.82</v>
      </c>
      <c r="N108" s="54">
        <f t="shared" si="89"/>
        <v>0.82096228239845259</v>
      </c>
      <c r="O108" s="54">
        <f t="shared" si="87"/>
        <v>0.44532150776053214</v>
      </c>
      <c r="Q108" s="167"/>
    </row>
    <row r="109" spans="1:17" ht="15.75" x14ac:dyDescent="0.25">
      <c r="A109" s="25" t="s">
        <v>130</v>
      </c>
      <c r="B109" s="25">
        <f>SUM(B106:B108)</f>
        <v>1117.29</v>
      </c>
      <c r="C109" s="142">
        <f>+C106+C107+C108</f>
        <v>212.57</v>
      </c>
      <c r="D109" s="88">
        <f t="shared" si="84"/>
        <v>0.10474008376447401</v>
      </c>
      <c r="E109" s="25"/>
      <c r="F109" s="142">
        <f>+F106+F107+F108</f>
        <v>1542.3899999999999</v>
      </c>
      <c r="G109" s="56">
        <f t="shared" si="85"/>
        <v>0.19359733902347182</v>
      </c>
      <c r="H109" s="56"/>
      <c r="I109" s="106">
        <f>SUM(I106:I108)</f>
        <v>370.1</v>
      </c>
      <c r="J109" s="56">
        <f t="shared" si="86"/>
        <v>0.15427582900852457</v>
      </c>
      <c r="K109" s="56"/>
      <c r="L109" s="56"/>
      <c r="M109" s="26">
        <f t="shared" si="88"/>
        <v>157.53000000000003</v>
      </c>
      <c r="N109" s="57">
        <f t="shared" si="89"/>
        <v>0.74107352871995125</v>
      </c>
      <c r="O109" s="57">
        <f t="shared" si="87"/>
        <v>0.23995228184830039</v>
      </c>
      <c r="Q109" s="167"/>
    </row>
    <row r="110" spans="1:17" x14ac:dyDescent="0.25">
      <c r="C110" s="140"/>
      <c r="Q110" s="168"/>
    </row>
    <row r="111" spans="1:17" x14ac:dyDescent="0.25">
      <c r="A111" s="135" t="s">
        <v>219</v>
      </c>
      <c r="B111" s="23"/>
      <c r="C111" s="83"/>
      <c r="D111" s="23"/>
      <c r="E111" s="23"/>
      <c r="F111" s="23"/>
      <c r="G111" s="23"/>
      <c r="H111" s="23"/>
      <c r="I111" s="23"/>
      <c r="J111" s="23"/>
      <c r="K111" s="23"/>
      <c r="L111" s="23"/>
      <c r="M111" s="23"/>
      <c r="N111" s="23"/>
      <c r="O111" s="23"/>
      <c r="Q111" s="168"/>
    </row>
    <row r="112" spans="1:17" ht="15.75" x14ac:dyDescent="0.25">
      <c r="A112" s="23" t="s">
        <v>220</v>
      </c>
      <c r="B112" s="22">
        <v>28.69</v>
      </c>
      <c r="C112" s="111">
        <v>5.63</v>
      </c>
      <c r="D112" s="87">
        <f t="shared" ref="D112:D115" si="90">C112/$C$7</f>
        <v>2.7740822862774082E-3</v>
      </c>
      <c r="E112" s="23"/>
      <c r="F112" s="22">
        <v>27.91</v>
      </c>
      <c r="G112" s="24">
        <f t="shared" ref="G112:G115" si="91">F112/$F$7</f>
        <v>3.5032007028994601E-3</v>
      </c>
      <c r="H112" s="24"/>
      <c r="I112" s="23">
        <v>0.22</v>
      </c>
      <c r="J112" s="96">
        <f t="shared" ref="J112:J115" si="92">I112/$I$7</f>
        <v>9.1706788386585811E-5</v>
      </c>
      <c r="K112" s="96"/>
      <c r="L112" s="96"/>
      <c r="M112" s="22">
        <f>I112-C112</f>
        <v>-5.41</v>
      </c>
      <c r="N112" s="54">
        <f>M112/C112</f>
        <v>-0.96092362344582594</v>
      </c>
      <c r="O112" s="54">
        <f t="shared" ref="O112:O115" si="93">I112/F112</f>
        <v>7.8824793980652088E-3</v>
      </c>
      <c r="Q112" s="167"/>
    </row>
    <row r="113" spans="1:17" ht="15.75" x14ac:dyDescent="0.25">
      <c r="A113" s="23" t="s">
        <v>221</v>
      </c>
      <c r="B113" s="22">
        <v>38.6</v>
      </c>
      <c r="C113" s="83">
        <v>2.54</v>
      </c>
      <c r="D113" s="87">
        <f t="shared" si="90"/>
        <v>1.251539788125154E-3</v>
      </c>
      <c r="E113" s="23"/>
      <c r="F113" s="23">
        <v>33.72</v>
      </c>
      <c r="G113" s="24">
        <f t="shared" si="91"/>
        <v>4.2324588929333502E-3</v>
      </c>
      <c r="H113" s="24"/>
      <c r="I113" s="22">
        <v>0.11</v>
      </c>
      <c r="J113" s="96">
        <f t="shared" si="92"/>
        <v>4.5853394193292906E-5</v>
      </c>
      <c r="K113" s="96"/>
      <c r="L113" s="96"/>
      <c r="M113" s="22">
        <f t="shared" ref="M113:M115" si="94">I113-C113</f>
        <v>-2.4300000000000002</v>
      </c>
      <c r="N113" s="54">
        <f t="shared" ref="N113:N115" si="95">M113/C113</f>
        <v>-0.95669291338582685</v>
      </c>
      <c r="O113" s="54">
        <f t="shared" si="93"/>
        <v>3.2621589561091344E-3</v>
      </c>
      <c r="Q113" s="167"/>
    </row>
    <row r="114" spans="1:17" ht="15.75" x14ac:dyDescent="0.25">
      <c r="A114" s="89" t="s">
        <v>222</v>
      </c>
      <c r="B114" s="23">
        <v>33.32</v>
      </c>
      <c r="C114" s="83">
        <v>2.81</v>
      </c>
      <c r="D114" s="87">
        <f t="shared" si="90"/>
        <v>1.3845774821384577E-3</v>
      </c>
      <c r="E114" s="23"/>
      <c r="F114" s="23">
        <v>33.19</v>
      </c>
      <c r="G114" s="24">
        <f t="shared" si="91"/>
        <v>4.1659344797288812E-3</v>
      </c>
      <c r="H114" s="24"/>
      <c r="I114" s="22">
        <v>3.03</v>
      </c>
      <c r="J114" s="96">
        <f t="shared" si="92"/>
        <v>1.2630525855061589E-3</v>
      </c>
      <c r="K114" s="96"/>
      <c r="L114" s="96"/>
      <c r="M114" s="22">
        <f t="shared" si="94"/>
        <v>0.21999999999999975</v>
      </c>
      <c r="N114" s="54">
        <f t="shared" si="95"/>
        <v>7.8291814946619132E-2</v>
      </c>
      <c r="O114" s="54">
        <f t="shared" si="93"/>
        <v>9.1292557999397408E-2</v>
      </c>
      <c r="Q114" s="167"/>
    </row>
    <row r="115" spans="1:17" ht="15.75" x14ac:dyDescent="0.25">
      <c r="A115" s="25" t="s">
        <v>130</v>
      </c>
      <c r="B115" s="26">
        <f>SUM(B112:B114)</f>
        <v>100.61000000000001</v>
      </c>
      <c r="C115" s="149">
        <f>SUM(C112:C114)</f>
        <v>10.98</v>
      </c>
      <c r="D115" s="88">
        <f t="shared" si="90"/>
        <v>5.41019955654102E-3</v>
      </c>
      <c r="E115" s="25"/>
      <c r="F115" s="25">
        <f>SUM(F112:F114)</f>
        <v>94.82</v>
      </c>
      <c r="G115" s="56">
        <f t="shared" si="91"/>
        <v>1.190159407556169E-2</v>
      </c>
      <c r="H115" s="56"/>
      <c r="I115" s="25">
        <f>SUM(I112:I114)</f>
        <v>3.36</v>
      </c>
      <c r="J115" s="56">
        <f t="shared" si="92"/>
        <v>1.4006127680860378E-3</v>
      </c>
      <c r="K115" s="56"/>
      <c r="L115" s="56"/>
      <c r="M115" s="26">
        <f t="shared" si="94"/>
        <v>-7.620000000000001</v>
      </c>
      <c r="N115" s="57">
        <f t="shared" si="95"/>
        <v>-0.69398907103825147</v>
      </c>
      <c r="O115" s="57">
        <f t="shared" si="93"/>
        <v>3.543556211769669E-2</v>
      </c>
      <c r="Q115" s="167"/>
    </row>
    <row r="118" spans="1:17" x14ac:dyDescent="0.25">
      <c r="B118" s="34"/>
      <c r="C118" s="141"/>
      <c r="D118" s="31"/>
      <c r="E118" s="31"/>
      <c r="F118" s="31"/>
    </row>
    <row r="119" spans="1:17" x14ac:dyDescent="0.25">
      <c r="B119" s="31"/>
      <c r="C119" s="141"/>
      <c r="D119" s="31"/>
      <c r="E119" s="31"/>
      <c r="F119" s="31"/>
    </row>
    <row r="120" spans="1:17" x14ac:dyDescent="0.25">
      <c r="B120" s="31"/>
      <c r="C120" s="141"/>
      <c r="D120" s="31"/>
      <c r="E120" s="31"/>
      <c r="F120" s="31"/>
    </row>
    <row r="121" spans="1:17" x14ac:dyDescent="0.25">
      <c r="B121" s="31"/>
      <c r="C121" s="141"/>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40" workbookViewId="0">
      <selection activeCell="N58" sqref="N58"/>
    </sheetView>
  </sheetViews>
  <sheetFormatPr defaultRowHeight="15" x14ac:dyDescent="0.25"/>
  <cols>
    <col min="1" max="1" width="14.7109375" style="223" customWidth="1"/>
    <col min="2" max="13" width="10.85546875" style="223" customWidth="1"/>
    <col min="14" max="14" width="9.28515625" style="223" customWidth="1"/>
    <col min="15" max="256" width="9.140625" style="223"/>
    <col min="257" max="257" width="14.7109375" style="223" customWidth="1"/>
    <col min="258" max="269" width="10.85546875" style="223" customWidth="1"/>
    <col min="270" max="270" width="9.28515625" style="223" customWidth="1"/>
    <col min="271" max="512" width="9.140625" style="223"/>
    <col min="513" max="513" width="14.7109375" style="223" customWidth="1"/>
    <col min="514" max="525" width="10.85546875" style="223" customWidth="1"/>
    <col min="526" max="526" width="9.28515625" style="223" customWidth="1"/>
    <col min="527" max="768" width="9.140625" style="223"/>
    <col min="769" max="769" width="14.7109375" style="223" customWidth="1"/>
    <col min="770" max="781" width="10.85546875" style="223" customWidth="1"/>
    <col min="782" max="782" width="9.28515625" style="223" customWidth="1"/>
    <col min="783" max="1024" width="9.140625" style="223"/>
    <col min="1025" max="1025" width="14.7109375" style="223" customWidth="1"/>
    <col min="1026" max="1037" width="10.85546875" style="223" customWidth="1"/>
    <col min="1038" max="1038" width="9.28515625" style="223" customWidth="1"/>
    <col min="1039" max="1280" width="9.140625" style="223"/>
    <col min="1281" max="1281" width="14.7109375" style="223" customWidth="1"/>
    <col min="1282" max="1293" width="10.85546875" style="223" customWidth="1"/>
    <col min="1294" max="1294" width="9.28515625" style="223" customWidth="1"/>
    <col min="1295" max="1536" width="9.140625" style="223"/>
    <col min="1537" max="1537" width="14.7109375" style="223" customWidth="1"/>
    <col min="1538" max="1549" width="10.85546875" style="223" customWidth="1"/>
    <col min="1550" max="1550" width="9.28515625" style="223" customWidth="1"/>
    <col min="1551" max="1792" width="9.140625" style="223"/>
    <col min="1793" max="1793" width="14.7109375" style="223" customWidth="1"/>
    <col min="1794" max="1805" width="10.85546875" style="223" customWidth="1"/>
    <col min="1806" max="1806" width="9.28515625" style="223" customWidth="1"/>
    <col min="1807" max="2048" width="9.140625" style="223"/>
    <col min="2049" max="2049" width="14.7109375" style="223" customWidth="1"/>
    <col min="2050" max="2061" width="10.85546875" style="223" customWidth="1"/>
    <col min="2062" max="2062" width="9.28515625" style="223" customWidth="1"/>
    <col min="2063" max="2304" width="9.140625" style="223"/>
    <col min="2305" max="2305" width="14.7109375" style="223" customWidth="1"/>
    <col min="2306" max="2317" width="10.85546875" style="223" customWidth="1"/>
    <col min="2318" max="2318" width="9.28515625" style="223" customWidth="1"/>
    <col min="2319" max="2560" width="9.140625" style="223"/>
    <col min="2561" max="2561" width="14.7109375" style="223" customWidth="1"/>
    <col min="2562" max="2573" width="10.85546875" style="223" customWidth="1"/>
    <col min="2574" max="2574" width="9.28515625" style="223" customWidth="1"/>
    <col min="2575" max="2816" width="9.140625" style="223"/>
    <col min="2817" max="2817" width="14.7109375" style="223" customWidth="1"/>
    <col min="2818" max="2829" width="10.85546875" style="223" customWidth="1"/>
    <col min="2830" max="2830" width="9.28515625" style="223" customWidth="1"/>
    <col min="2831" max="3072" width="9.140625" style="223"/>
    <col min="3073" max="3073" width="14.7109375" style="223" customWidth="1"/>
    <col min="3074" max="3085" width="10.85546875" style="223" customWidth="1"/>
    <col min="3086" max="3086" width="9.28515625" style="223" customWidth="1"/>
    <col min="3087" max="3328" width="9.140625" style="223"/>
    <col min="3329" max="3329" width="14.7109375" style="223" customWidth="1"/>
    <col min="3330" max="3341" width="10.85546875" style="223" customWidth="1"/>
    <col min="3342" max="3342" width="9.28515625" style="223" customWidth="1"/>
    <col min="3343" max="3584" width="9.140625" style="223"/>
    <col min="3585" max="3585" width="14.7109375" style="223" customWidth="1"/>
    <col min="3586" max="3597" width="10.85546875" style="223" customWidth="1"/>
    <col min="3598" max="3598" width="9.28515625" style="223" customWidth="1"/>
    <col min="3599" max="3840" width="9.140625" style="223"/>
    <col min="3841" max="3841" width="14.7109375" style="223" customWidth="1"/>
    <col min="3842" max="3853" width="10.85546875" style="223" customWidth="1"/>
    <col min="3854" max="3854" width="9.28515625" style="223" customWidth="1"/>
    <col min="3855" max="4096" width="9.140625" style="223"/>
    <col min="4097" max="4097" width="14.7109375" style="223" customWidth="1"/>
    <col min="4098" max="4109" width="10.85546875" style="223" customWidth="1"/>
    <col min="4110" max="4110" width="9.28515625" style="223" customWidth="1"/>
    <col min="4111" max="4352" width="9.140625" style="223"/>
    <col min="4353" max="4353" width="14.7109375" style="223" customWidth="1"/>
    <col min="4354" max="4365" width="10.85546875" style="223" customWidth="1"/>
    <col min="4366" max="4366" width="9.28515625" style="223" customWidth="1"/>
    <col min="4367" max="4608" width="9.140625" style="223"/>
    <col min="4609" max="4609" width="14.7109375" style="223" customWidth="1"/>
    <col min="4610" max="4621" width="10.85546875" style="223" customWidth="1"/>
    <col min="4622" max="4622" width="9.28515625" style="223" customWidth="1"/>
    <col min="4623" max="4864" width="9.140625" style="223"/>
    <col min="4865" max="4865" width="14.7109375" style="223" customWidth="1"/>
    <col min="4866" max="4877" width="10.85546875" style="223" customWidth="1"/>
    <col min="4878" max="4878" width="9.28515625" style="223" customWidth="1"/>
    <col min="4879" max="5120" width="9.140625" style="223"/>
    <col min="5121" max="5121" width="14.7109375" style="223" customWidth="1"/>
    <col min="5122" max="5133" width="10.85546875" style="223" customWidth="1"/>
    <col min="5134" max="5134" width="9.28515625" style="223" customWidth="1"/>
    <col min="5135" max="5376" width="9.140625" style="223"/>
    <col min="5377" max="5377" width="14.7109375" style="223" customWidth="1"/>
    <col min="5378" max="5389" width="10.85546875" style="223" customWidth="1"/>
    <col min="5390" max="5390" width="9.28515625" style="223" customWidth="1"/>
    <col min="5391" max="5632" width="9.140625" style="223"/>
    <col min="5633" max="5633" width="14.7109375" style="223" customWidth="1"/>
    <col min="5634" max="5645" width="10.85546875" style="223" customWidth="1"/>
    <col min="5646" max="5646" width="9.28515625" style="223" customWidth="1"/>
    <col min="5647" max="5888" width="9.140625" style="223"/>
    <col min="5889" max="5889" width="14.7109375" style="223" customWidth="1"/>
    <col min="5890" max="5901" width="10.85546875" style="223" customWidth="1"/>
    <col min="5902" max="5902" width="9.28515625" style="223" customWidth="1"/>
    <col min="5903" max="6144" width="9.140625" style="223"/>
    <col min="6145" max="6145" width="14.7109375" style="223" customWidth="1"/>
    <col min="6146" max="6157" width="10.85546875" style="223" customWidth="1"/>
    <col min="6158" max="6158" width="9.28515625" style="223" customWidth="1"/>
    <col min="6159" max="6400" width="9.140625" style="223"/>
    <col min="6401" max="6401" width="14.7109375" style="223" customWidth="1"/>
    <col min="6402" max="6413" width="10.85546875" style="223" customWidth="1"/>
    <col min="6414" max="6414" width="9.28515625" style="223" customWidth="1"/>
    <col min="6415" max="6656" width="9.140625" style="223"/>
    <col min="6657" max="6657" width="14.7109375" style="223" customWidth="1"/>
    <col min="6658" max="6669" width="10.85546875" style="223" customWidth="1"/>
    <col min="6670" max="6670" width="9.28515625" style="223" customWidth="1"/>
    <col min="6671" max="6912" width="9.140625" style="223"/>
    <col min="6913" max="6913" width="14.7109375" style="223" customWidth="1"/>
    <col min="6914" max="6925" width="10.85546875" style="223" customWidth="1"/>
    <col min="6926" max="6926" width="9.28515625" style="223" customWidth="1"/>
    <col min="6927" max="7168" width="9.140625" style="223"/>
    <col min="7169" max="7169" width="14.7109375" style="223" customWidth="1"/>
    <col min="7170" max="7181" width="10.85546875" style="223" customWidth="1"/>
    <col min="7182" max="7182" width="9.28515625" style="223" customWidth="1"/>
    <col min="7183" max="7424" width="9.140625" style="223"/>
    <col min="7425" max="7425" width="14.7109375" style="223" customWidth="1"/>
    <col min="7426" max="7437" width="10.85546875" style="223" customWidth="1"/>
    <col min="7438" max="7438" width="9.28515625" style="223" customWidth="1"/>
    <col min="7439" max="7680" width="9.140625" style="223"/>
    <col min="7681" max="7681" width="14.7109375" style="223" customWidth="1"/>
    <col min="7682" max="7693" width="10.85546875" style="223" customWidth="1"/>
    <col min="7694" max="7694" width="9.28515625" style="223" customWidth="1"/>
    <col min="7695" max="7936" width="9.140625" style="223"/>
    <col min="7937" max="7937" width="14.7109375" style="223" customWidth="1"/>
    <col min="7938" max="7949" width="10.85546875" style="223" customWidth="1"/>
    <col min="7950" max="7950" width="9.28515625" style="223" customWidth="1"/>
    <col min="7951" max="8192" width="9.140625" style="223"/>
    <col min="8193" max="8193" width="14.7109375" style="223" customWidth="1"/>
    <col min="8194" max="8205" width="10.85546875" style="223" customWidth="1"/>
    <col min="8206" max="8206" width="9.28515625" style="223" customWidth="1"/>
    <col min="8207" max="8448" width="9.140625" style="223"/>
    <col min="8449" max="8449" width="14.7109375" style="223" customWidth="1"/>
    <col min="8450" max="8461" width="10.85546875" style="223" customWidth="1"/>
    <col min="8462" max="8462" width="9.28515625" style="223" customWidth="1"/>
    <col min="8463" max="8704" width="9.140625" style="223"/>
    <col min="8705" max="8705" width="14.7109375" style="223" customWidth="1"/>
    <col min="8706" max="8717" width="10.85546875" style="223" customWidth="1"/>
    <col min="8718" max="8718" width="9.28515625" style="223" customWidth="1"/>
    <col min="8719" max="8960" width="9.140625" style="223"/>
    <col min="8961" max="8961" width="14.7109375" style="223" customWidth="1"/>
    <col min="8962" max="8973" width="10.85546875" style="223" customWidth="1"/>
    <col min="8974" max="8974" width="9.28515625" style="223" customWidth="1"/>
    <col min="8975" max="9216" width="9.140625" style="223"/>
    <col min="9217" max="9217" width="14.7109375" style="223" customWidth="1"/>
    <col min="9218" max="9229" width="10.85546875" style="223" customWidth="1"/>
    <col min="9230" max="9230" width="9.28515625" style="223" customWidth="1"/>
    <col min="9231" max="9472" width="9.140625" style="223"/>
    <col min="9473" max="9473" width="14.7109375" style="223" customWidth="1"/>
    <col min="9474" max="9485" width="10.85546875" style="223" customWidth="1"/>
    <col min="9486" max="9486" width="9.28515625" style="223" customWidth="1"/>
    <col min="9487" max="9728" width="9.140625" style="223"/>
    <col min="9729" max="9729" width="14.7109375" style="223" customWidth="1"/>
    <col min="9730" max="9741" width="10.85546875" style="223" customWidth="1"/>
    <col min="9742" max="9742" width="9.28515625" style="223" customWidth="1"/>
    <col min="9743" max="9984" width="9.140625" style="223"/>
    <col min="9985" max="9985" width="14.7109375" style="223" customWidth="1"/>
    <col min="9986" max="9997" width="10.85546875" style="223" customWidth="1"/>
    <col min="9998" max="9998" width="9.28515625" style="223" customWidth="1"/>
    <col min="9999" max="10240" width="9.140625" style="223"/>
    <col min="10241" max="10241" width="14.7109375" style="223" customWidth="1"/>
    <col min="10242" max="10253" width="10.85546875" style="223" customWidth="1"/>
    <col min="10254" max="10254" width="9.28515625" style="223" customWidth="1"/>
    <col min="10255" max="10496" width="9.140625" style="223"/>
    <col min="10497" max="10497" width="14.7109375" style="223" customWidth="1"/>
    <col min="10498" max="10509" width="10.85546875" style="223" customWidth="1"/>
    <col min="10510" max="10510" width="9.28515625" style="223" customWidth="1"/>
    <col min="10511" max="10752" width="9.140625" style="223"/>
    <col min="10753" max="10753" width="14.7109375" style="223" customWidth="1"/>
    <col min="10754" max="10765" width="10.85546875" style="223" customWidth="1"/>
    <col min="10766" max="10766" width="9.28515625" style="223" customWidth="1"/>
    <col min="10767" max="11008" width="9.140625" style="223"/>
    <col min="11009" max="11009" width="14.7109375" style="223" customWidth="1"/>
    <col min="11010" max="11021" width="10.85546875" style="223" customWidth="1"/>
    <col min="11022" max="11022" width="9.28515625" style="223" customWidth="1"/>
    <col min="11023" max="11264" width="9.140625" style="223"/>
    <col min="11265" max="11265" width="14.7109375" style="223" customWidth="1"/>
    <col min="11266" max="11277" width="10.85546875" style="223" customWidth="1"/>
    <col min="11278" max="11278" width="9.28515625" style="223" customWidth="1"/>
    <col min="11279" max="11520" width="9.140625" style="223"/>
    <col min="11521" max="11521" width="14.7109375" style="223" customWidth="1"/>
    <col min="11522" max="11533" width="10.85546875" style="223" customWidth="1"/>
    <col min="11534" max="11534" width="9.28515625" style="223" customWidth="1"/>
    <col min="11535" max="11776" width="9.140625" style="223"/>
    <col min="11777" max="11777" width="14.7109375" style="223" customWidth="1"/>
    <col min="11778" max="11789" width="10.85546875" style="223" customWidth="1"/>
    <col min="11790" max="11790" width="9.28515625" style="223" customWidth="1"/>
    <col min="11791" max="12032" width="9.140625" style="223"/>
    <col min="12033" max="12033" width="14.7109375" style="223" customWidth="1"/>
    <col min="12034" max="12045" width="10.85546875" style="223" customWidth="1"/>
    <col min="12046" max="12046" width="9.28515625" style="223" customWidth="1"/>
    <col min="12047" max="12288" width="9.140625" style="223"/>
    <col min="12289" max="12289" width="14.7109375" style="223" customWidth="1"/>
    <col min="12290" max="12301" width="10.85546875" style="223" customWidth="1"/>
    <col min="12302" max="12302" width="9.28515625" style="223" customWidth="1"/>
    <col min="12303" max="12544" width="9.140625" style="223"/>
    <col min="12545" max="12545" width="14.7109375" style="223" customWidth="1"/>
    <col min="12546" max="12557" width="10.85546875" style="223" customWidth="1"/>
    <col min="12558" max="12558" width="9.28515625" style="223" customWidth="1"/>
    <col min="12559" max="12800" width="9.140625" style="223"/>
    <col min="12801" max="12801" width="14.7109375" style="223" customWidth="1"/>
    <col min="12802" max="12813" width="10.85546875" style="223" customWidth="1"/>
    <col min="12814" max="12814" width="9.28515625" style="223" customWidth="1"/>
    <col min="12815" max="13056" width="9.140625" style="223"/>
    <col min="13057" max="13057" width="14.7109375" style="223" customWidth="1"/>
    <col min="13058" max="13069" width="10.85546875" style="223" customWidth="1"/>
    <col min="13070" max="13070" width="9.28515625" style="223" customWidth="1"/>
    <col min="13071" max="13312" width="9.140625" style="223"/>
    <col min="13313" max="13313" width="14.7109375" style="223" customWidth="1"/>
    <col min="13314" max="13325" width="10.85546875" style="223" customWidth="1"/>
    <col min="13326" max="13326" width="9.28515625" style="223" customWidth="1"/>
    <col min="13327" max="13568" width="9.140625" style="223"/>
    <col min="13569" max="13569" width="14.7109375" style="223" customWidth="1"/>
    <col min="13570" max="13581" width="10.85546875" style="223" customWidth="1"/>
    <col min="13582" max="13582" width="9.28515625" style="223" customWidth="1"/>
    <col min="13583" max="13824" width="9.140625" style="223"/>
    <col min="13825" max="13825" width="14.7109375" style="223" customWidth="1"/>
    <col min="13826" max="13837" width="10.85546875" style="223" customWidth="1"/>
    <col min="13838" max="13838" width="9.28515625" style="223" customWidth="1"/>
    <col min="13839" max="14080" width="9.140625" style="223"/>
    <col min="14081" max="14081" width="14.7109375" style="223" customWidth="1"/>
    <col min="14082" max="14093" width="10.85546875" style="223" customWidth="1"/>
    <col min="14094" max="14094" width="9.28515625" style="223" customWidth="1"/>
    <col min="14095" max="14336" width="9.140625" style="223"/>
    <col min="14337" max="14337" width="14.7109375" style="223" customWidth="1"/>
    <col min="14338" max="14349" width="10.85546875" style="223" customWidth="1"/>
    <col min="14350" max="14350" width="9.28515625" style="223" customWidth="1"/>
    <col min="14351" max="14592" width="9.140625" style="223"/>
    <col min="14593" max="14593" width="14.7109375" style="223" customWidth="1"/>
    <col min="14594" max="14605" width="10.85546875" style="223" customWidth="1"/>
    <col min="14606" max="14606" width="9.28515625" style="223" customWidth="1"/>
    <col min="14607" max="14848" width="9.140625" style="223"/>
    <col min="14849" max="14849" width="14.7109375" style="223" customWidth="1"/>
    <col min="14850" max="14861" width="10.85546875" style="223" customWidth="1"/>
    <col min="14862" max="14862" width="9.28515625" style="223" customWidth="1"/>
    <col min="14863" max="15104" width="9.140625" style="223"/>
    <col min="15105" max="15105" width="14.7109375" style="223" customWidth="1"/>
    <col min="15106" max="15117" width="10.85546875" style="223" customWidth="1"/>
    <col min="15118" max="15118" width="9.28515625" style="223" customWidth="1"/>
    <col min="15119" max="15360" width="9.140625" style="223"/>
    <col min="15361" max="15361" width="14.7109375" style="223" customWidth="1"/>
    <col min="15362" max="15373" width="10.85546875" style="223" customWidth="1"/>
    <col min="15374" max="15374" width="9.28515625" style="223" customWidth="1"/>
    <col min="15375" max="15616" width="9.140625" style="223"/>
    <col min="15617" max="15617" width="14.7109375" style="223" customWidth="1"/>
    <col min="15618" max="15629" width="10.85546875" style="223" customWidth="1"/>
    <col min="15630" max="15630" width="9.28515625" style="223" customWidth="1"/>
    <col min="15631" max="15872" width="9.140625" style="223"/>
    <col min="15873" max="15873" width="14.7109375" style="223" customWidth="1"/>
    <col min="15874" max="15885" width="10.85546875" style="223" customWidth="1"/>
    <col min="15886" max="15886" width="9.28515625" style="223" customWidth="1"/>
    <col min="15887" max="16128" width="9.140625" style="223"/>
    <col min="16129" max="16129" width="14.7109375" style="223" customWidth="1"/>
    <col min="16130" max="16141" width="10.85546875" style="223" customWidth="1"/>
    <col min="16142" max="16142" width="9.28515625" style="223" customWidth="1"/>
    <col min="16143" max="16384" width="9.140625" style="223"/>
  </cols>
  <sheetData>
    <row r="1" spans="1:14" x14ac:dyDescent="0.25">
      <c r="A1" s="230" t="s">
        <v>319</v>
      </c>
      <c r="B1" s="231"/>
      <c r="C1" s="231"/>
      <c r="D1" s="231"/>
      <c r="E1" s="231"/>
      <c r="F1" s="231"/>
      <c r="G1" s="231"/>
      <c r="H1" s="231"/>
      <c r="I1" s="231"/>
      <c r="J1" s="231"/>
      <c r="K1" s="231"/>
      <c r="L1" s="231"/>
      <c r="M1" s="231"/>
      <c r="N1" s="231"/>
    </row>
    <row r="2" spans="1:14" x14ac:dyDescent="0.25">
      <c r="A2" s="230" t="s">
        <v>320</v>
      </c>
      <c r="B2" s="231"/>
      <c r="C2" s="231"/>
      <c r="D2" s="231"/>
      <c r="E2" s="231"/>
      <c r="F2" s="231"/>
      <c r="G2" s="231"/>
      <c r="H2" s="231"/>
      <c r="I2" s="231"/>
      <c r="J2" s="231"/>
      <c r="K2" s="231"/>
      <c r="L2" s="231"/>
      <c r="M2" s="231"/>
      <c r="N2" s="231"/>
    </row>
    <row r="3" spans="1:14" x14ac:dyDescent="0.25">
      <c r="A3" s="224" t="s">
        <v>0</v>
      </c>
      <c r="B3" s="224" t="s">
        <v>1</v>
      </c>
      <c r="C3" s="224" t="s">
        <v>2</v>
      </c>
      <c r="D3" s="224" t="s">
        <v>3</v>
      </c>
      <c r="E3" s="224" t="s">
        <v>4</v>
      </c>
      <c r="F3" s="224" t="s">
        <v>5</v>
      </c>
      <c r="G3" s="224" t="s">
        <v>6</v>
      </c>
      <c r="H3" s="224" t="s">
        <v>7</v>
      </c>
      <c r="I3" s="224" t="s">
        <v>8</v>
      </c>
      <c r="J3" s="224" t="s">
        <v>9</v>
      </c>
      <c r="K3" s="224" t="s">
        <v>10</v>
      </c>
      <c r="L3" s="224" t="s">
        <v>11</v>
      </c>
      <c r="M3" s="224" t="s">
        <v>12</v>
      </c>
      <c r="N3" s="224" t="s">
        <v>13</v>
      </c>
    </row>
    <row r="4" spans="1:14" x14ac:dyDescent="0.25">
      <c r="A4" s="224" t="s">
        <v>14</v>
      </c>
      <c r="B4" s="29">
        <v>713843</v>
      </c>
      <c r="C4" s="29">
        <v>1172280</v>
      </c>
      <c r="D4" s="29">
        <v>243337</v>
      </c>
      <c r="E4" s="29">
        <v>388724</v>
      </c>
      <c r="F4" s="29">
        <v>607744</v>
      </c>
      <c r="G4" s="29">
        <v>1107962</v>
      </c>
      <c r="H4" s="29">
        <v>1440201</v>
      </c>
      <c r="I4" s="29">
        <v>3676</v>
      </c>
      <c r="J4" s="29">
        <v>216844</v>
      </c>
      <c r="K4" s="29">
        <v>386696</v>
      </c>
      <c r="L4" s="28" t="s">
        <v>15</v>
      </c>
      <c r="M4" s="28" t="s">
        <v>15</v>
      </c>
      <c r="N4" s="29">
        <v>6281306</v>
      </c>
    </row>
    <row r="5" spans="1:14" x14ac:dyDescent="0.25">
      <c r="A5" s="224" t="s">
        <v>16</v>
      </c>
      <c r="B5" s="29">
        <v>117725</v>
      </c>
      <c r="C5" s="29">
        <v>186229</v>
      </c>
      <c r="D5" s="29">
        <v>39898</v>
      </c>
      <c r="E5" s="29">
        <v>65431</v>
      </c>
      <c r="F5" s="29">
        <v>101097</v>
      </c>
      <c r="G5" s="29">
        <v>227878</v>
      </c>
      <c r="H5" s="29">
        <v>257578</v>
      </c>
      <c r="I5" s="29">
        <v>625</v>
      </c>
      <c r="J5" s="29">
        <v>37089</v>
      </c>
      <c r="K5" s="29">
        <v>64991</v>
      </c>
      <c r="L5" s="28" t="s">
        <v>15</v>
      </c>
      <c r="M5" s="28" t="s">
        <v>15</v>
      </c>
      <c r="N5" s="29">
        <v>1098541</v>
      </c>
    </row>
    <row r="6" spans="1:14" x14ac:dyDescent="0.25">
      <c r="A6" s="224" t="s">
        <v>17</v>
      </c>
      <c r="B6" s="29">
        <v>848</v>
      </c>
      <c r="C6" s="29">
        <v>1413</v>
      </c>
      <c r="D6" s="29">
        <v>208</v>
      </c>
      <c r="E6" s="29">
        <v>-471</v>
      </c>
      <c r="F6" s="29">
        <v>263</v>
      </c>
      <c r="G6" s="29">
        <v>129</v>
      </c>
      <c r="H6" s="29">
        <v>1487</v>
      </c>
      <c r="I6" s="28" t="s">
        <v>15</v>
      </c>
      <c r="J6" s="28" t="s">
        <v>15</v>
      </c>
      <c r="K6" s="29">
        <v>27</v>
      </c>
      <c r="L6" s="28" t="s">
        <v>15</v>
      </c>
      <c r="M6" s="28" t="s">
        <v>15</v>
      </c>
      <c r="N6" s="29">
        <v>3904</v>
      </c>
    </row>
    <row r="7" spans="1:14" x14ac:dyDescent="0.25">
      <c r="A7" s="224" t="s">
        <v>18</v>
      </c>
      <c r="B7" s="29">
        <v>74286</v>
      </c>
      <c r="C7" s="29">
        <v>84867</v>
      </c>
      <c r="D7" s="29">
        <v>25991</v>
      </c>
      <c r="E7" s="29">
        <v>44905</v>
      </c>
      <c r="F7" s="29">
        <v>48219</v>
      </c>
      <c r="G7" s="29">
        <v>168038</v>
      </c>
      <c r="H7" s="29">
        <v>155583</v>
      </c>
      <c r="I7" s="29">
        <v>418</v>
      </c>
      <c r="J7" s="29">
        <v>17279</v>
      </c>
      <c r="K7" s="29">
        <v>30039</v>
      </c>
      <c r="L7" s="28" t="s">
        <v>15</v>
      </c>
      <c r="M7" s="28" t="s">
        <v>15</v>
      </c>
      <c r="N7" s="29">
        <v>649626</v>
      </c>
    </row>
    <row r="8" spans="1:14" x14ac:dyDescent="0.25">
      <c r="A8" s="224" t="s">
        <v>19</v>
      </c>
      <c r="B8" s="29">
        <v>28634</v>
      </c>
      <c r="C8" s="29">
        <v>64431</v>
      </c>
      <c r="D8" s="29">
        <v>16183</v>
      </c>
      <c r="E8" s="29">
        <v>22407</v>
      </c>
      <c r="F8" s="29">
        <v>33395</v>
      </c>
      <c r="G8" s="29">
        <v>58123</v>
      </c>
      <c r="H8" s="29">
        <v>78536</v>
      </c>
      <c r="I8" s="29">
        <v>159</v>
      </c>
      <c r="J8" s="29">
        <v>15243</v>
      </c>
      <c r="K8" s="29">
        <v>19449</v>
      </c>
      <c r="L8" s="28" t="s">
        <v>15</v>
      </c>
      <c r="M8" s="28" t="s">
        <v>15</v>
      </c>
      <c r="N8" s="29">
        <v>336560</v>
      </c>
    </row>
    <row r="9" spans="1:14" x14ac:dyDescent="0.25">
      <c r="A9" s="224" t="s">
        <v>20</v>
      </c>
      <c r="B9" s="28" t="s">
        <v>15</v>
      </c>
      <c r="C9" s="28" t="s">
        <v>15</v>
      </c>
      <c r="D9" s="28" t="s">
        <v>15</v>
      </c>
      <c r="E9" s="28" t="s">
        <v>15</v>
      </c>
      <c r="F9" s="28" t="s">
        <v>15</v>
      </c>
      <c r="G9" s="28" t="s">
        <v>15</v>
      </c>
      <c r="H9" s="28" t="s">
        <v>15</v>
      </c>
      <c r="I9" s="28" t="s">
        <v>15</v>
      </c>
      <c r="J9" s="28" t="s">
        <v>15</v>
      </c>
      <c r="K9" s="28" t="s">
        <v>15</v>
      </c>
      <c r="L9" s="29">
        <v>701921</v>
      </c>
      <c r="M9" s="28" t="s">
        <v>15</v>
      </c>
      <c r="N9" s="29">
        <v>701921</v>
      </c>
    </row>
    <row r="10" spans="1:14" x14ac:dyDescent="0.25">
      <c r="A10" s="224"/>
      <c r="B10" s="28"/>
      <c r="C10" s="28"/>
      <c r="D10" s="28"/>
      <c r="E10" s="28"/>
      <c r="F10" s="28"/>
      <c r="G10" s="28"/>
      <c r="H10" s="28"/>
      <c r="I10" s="28"/>
      <c r="J10" s="28"/>
      <c r="K10" s="28"/>
      <c r="L10" s="28"/>
      <c r="M10" s="28"/>
      <c r="N10" s="28"/>
    </row>
    <row r="11" spans="1:14" x14ac:dyDescent="0.25">
      <c r="A11" s="224" t="s">
        <v>21</v>
      </c>
      <c r="B11" s="29">
        <v>754</v>
      </c>
      <c r="C11" s="28" t="s">
        <v>15</v>
      </c>
      <c r="D11" s="29">
        <v>0</v>
      </c>
      <c r="E11" s="28" t="s">
        <v>15</v>
      </c>
      <c r="F11" s="29">
        <v>1599</v>
      </c>
      <c r="G11" s="29">
        <v>320554</v>
      </c>
      <c r="H11" s="29">
        <v>149131</v>
      </c>
      <c r="I11" s="29">
        <v>335</v>
      </c>
      <c r="J11" s="28" t="s">
        <v>15</v>
      </c>
      <c r="K11" s="28" t="s">
        <v>15</v>
      </c>
      <c r="L11" s="28" t="s">
        <v>15</v>
      </c>
      <c r="M11" s="28" t="s">
        <v>15</v>
      </c>
      <c r="N11" s="29">
        <v>472373</v>
      </c>
    </row>
    <row r="12" spans="1:14" x14ac:dyDescent="0.25">
      <c r="A12" s="224" t="s">
        <v>22</v>
      </c>
      <c r="B12" s="28" t="s">
        <v>15</v>
      </c>
      <c r="C12" s="29">
        <v>98</v>
      </c>
      <c r="D12" s="29">
        <v>145</v>
      </c>
      <c r="E12" s="29">
        <v>122</v>
      </c>
      <c r="F12" s="29">
        <v>13</v>
      </c>
      <c r="G12" s="29">
        <v>11684</v>
      </c>
      <c r="H12" s="29">
        <v>5089</v>
      </c>
      <c r="I12" s="28" t="s">
        <v>15</v>
      </c>
      <c r="J12" s="29">
        <v>81</v>
      </c>
      <c r="K12" s="28" t="s">
        <v>15</v>
      </c>
      <c r="L12" s="28" t="s">
        <v>15</v>
      </c>
      <c r="M12" s="28" t="s">
        <v>15</v>
      </c>
      <c r="N12" s="29">
        <v>17232</v>
      </c>
    </row>
    <row r="13" spans="1:14" x14ac:dyDescent="0.25">
      <c r="A13" s="224" t="s">
        <v>23</v>
      </c>
      <c r="B13" s="29">
        <v>2269</v>
      </c>
      <c r="C13" s="29">
        <v>25747</v>
      </c>
      <c r="D13" s="29">
        <v>2682</v>
      </c>
      <c r="E13" s="29">
        <v>11117</v>
      </c>
      <c r="F13" s="29">
        <v>9686</v>
      </c>
      <c r="G13" s="29">
        <v>45501</v>
      </c>
      <c r="H13" s="29">
        <v>61748</v>
      </c>
      <c r="I13" s="29">
        <v>129</v>
      </c>
      <c r="J13" s="29">
        <v>870</v>
      </c>
      <c r="K13" s="29">
        <v>413</v>
      </c>
      <c r="L13" s="28" t="s">
        <v>15</v>
      </c>
      <c r="M13" s="28" t="s">
        <v>15</v>
      </c>
      <c r="N13" s="29">
        <v>160162</v>
      </c>
    </row>
    <row r="14" spans="1:14" x14ac:dyDescent="0.25">
      <c r="A14" s="224" t="s">
        <v>24</v>
      </c>
      <c r="B14" s="29">
        <v>1402</v>
      </c>
      <c r="C14" s="29">
        <v>99590</v>
      </c>
      <c r="D14" s="29">
        <v>2408</v>
      </c>
      <c r="E14" s="29">
        <v>4366</v>
      </c>
      <c r="F14" s="29">
        <v>10208</v>
      </c>
      <c r="G14" s="29">
        <v>54470</v>
      </c>
      <c r="H14" s="29">
        <v>32541</v>
      </c>
      <c r="I14" s="29">
        <v>51</v>
      </c>
      <c r="J14" s="29">
        <v>20265</v>
      </c>
      <c r="K14" s="29">
        <v>31179</v>
      </c>
      <c r="L14" s="28" t="s">
        <v>15</v>
      </c>
      <c r="M14" s="28" t="s">
        <v>15</v>
      </c>
      <c r="N14" s="29">
        <v>256480</v>
      </c>
    </row>
    <row r="15" spans="1:14" x14ac:dyDescent="0.25">
      <c r="A15" s="224" t="s">
        <v>25</v>
      </c>
      <c r="B15" s="29">
        <v>422</v>
      </c>
      <c r="C15" s="29">
        <v>228</v>
      </c>
      <c r="D15" s="29">
        <v>94</v>
      </c>
      <c r="E15" s="29">
        <v>26</v>
      </c>
      <c r="F15" s="29">
        <v>18</v>
      </c>
      <c r="G15" s="29">
        <v>42</v>
      </c>
      <c r="H15" s="29">
        <v>35</v>
      </c>
      <c r="I15" s="28" t="s">
        <v>15</v>
      </c>
      <c r="J15" s="29">
        <v>3085</v>
      </c>
      <c r="K15" s="29">
        <v>60</v>
      </c>
      <c r="L15" s="28" t="s">
        <v>15</v>
      </c>
      <c r="M15" s="28" t="s">
        <v>15</v>
      </c>
      <c r="N15" s="29">
        <v>4010</v>
      </c>
    </row>
    <row r="16" spans="1:14" x14ac:dyDescent="0.25">
      <c r="A16" s="224" t="s">
        <v>26</v>
      </c>
      <c r="B16" s="29">
        <v>3633</v>
      </c>
      <c r="C16" s="29">
        <v>1979</v>
      </c>
      <c r="D16" s="29">
        <v>68</v>
      </c>
      <c r="E16" s="29">
        <v>674</v>
      </c>
      <c r="F16" s="29">
        <v>1536</v>
      </c>
      <c r="G16" s="29">
        <v>1526</v>
      </c>
      <c r="H16" s="29">
        <v>2624</v>
      </c>
      <c r="I16" s="28" t="s">
        <v>15</v>
      </c>
      <c r="J16" s="29">
        <v>335</v>
      </c>
      <c r="K16" s="29">
        <v>716</v>
      </c>
      <c r="L16" s="28" t="s">
        <v>15</v>
      </c>
      <c r="M16" s="28" t="s">
        <v>15</v>
      </c>
      <c r="N16" s="29">
        <v>13092</v>
      </c>
    </row>
    <row r="17" spans="1:14" x14ac:dyDescent="0.25">
      <c r="A17" s="224" t="s">
        <v>27</v>
      </c>
      <c r="B17" s="29">
        <v>15294</v>
      </c>
      <c r="C17" s="29">
        <v>80683</v>
      </c>
      <c r="D17" s="29">
        <v>4317</v>
      </c>
      <c r="E17" s="29">
        <v>7678</v>
      </c>
      <c r="F17" s="29">
        <v>57011</v>
      </c>
      <c r="G17" s="29">
        <v>2911</v>
      </c>
      <c r="H17" s="29">
        <v>48045</v>
      </c>
      <c r="I17" s="29">
        <v>36</v>
      </c>
      <c r="J17" s="29">
        <v>2724</v>
      </c>
      <c r="K17" s="29">
        <v>53837</v>
      </c>
      <c r="L17" s="28" t="s">
        <v>15</v>
      </c>
      <c r="M17" s="28" t="s">
        <v>15</v>
      </c>
      <c r="N17" s="29">
        <v>272535</v>
      </c>
    </row>
    <row r="18" spans="1:14" x14ac:dyDescent="0.25">
      <c r="A18" s="224"/>
      <c r="B18" s="28"/>
      <c r="C18" s="28"/>
      <c r="D18" s="28"/>
      <c r="E18" s="28"/>
      <c r="F18" s="28"/>
      <c r="G18" s="28"/>
      <c r="H18" s="28"/>
      <c r="I18" s="28"/>
      <c r="J18" s="28"/>
      <c r="K18" s="28"/>
      <c r="L18" s="28"/>
      <c r="M18" s="28"/>
      <c r="N18" s="28"/>
    </row>
    <row r="19" spans="1:14" x14ac:dyDescent="0.25">
      <c r="A19" s="224" t="s">
        <v>28</v>
      </c>
      <c r="B19" s="29">
        <v>4736</v>
      </c>
      <c r="C19" s="29">
        <v>509</v>
      </c>
      <c r="D19" s="29">
        <v>231</v>
      </c>
      <c r="E19" s="29">
        <v>119</v>
      </c>
      <c r="F19" s="29">
        <v>600</v>
      </c>
      <c r="G19" s="29">
        <v>703</v>
      </c>
      <c r="H19" s="29">
        <v>2893</v>
      </c>
      <c r="I19" s="28" t="s">
        <v>15</v>
      </c>
      <c r="J19" s="29">
        <v>184</v>
      </c>
      <c r="K19" s="29">
        <v>1581</v>
      </c>
      <c r="L19" s="28" t="s">
        <v>15</v>
      </c>
      <c r="M19" s="28" t="s">
        <v>15</v>
      </c>
      <c r="N19" s="29">
        <v>11556</v>
      </c>
    </row>
    <row r="20" spans="1:14" x14ac:dyDescent="0.25">
      <c r="A20" s="224" t="s">
        <v>29</v>
      </c>
      <c r="B20" s="29">
        <v>2588</v>
      </c>
      <c r="C20" s="29">
        <v>366</v>
      </c>
      <c r="D20" s="29">
        <v>59</v>
      </c>
      <c r="E20" s="29">
        <v>76</v>
      </c>
      <c r="F20" s="29">
        <v>20364</v>
      </c>
      <c r="G20" s="29">
        <v>888</v>
      </c>
      <c r="H20" s="29">
        <v>396</v>
      </c>
      <c r="I20" s="28" t="s">
        <v>15</v>
      </c>
      <c r="J20" s="29">
        <v>84</v>
      </c>
      <c r="K20" s="29">
        <v>164</v>
      </c>
      <c r="L20" s="28" t="s">
        <v>15</v>
      </c>
      <c r="M20" s="28" t="s">
        <v>15</v>
      </c>
      <c r="N20" s="29">
        <v>24984</v>
      </c>
    </row>
    <row r="21" spans="1:14" x14ac:dyDescent="0.25">
      <c r="A21" s="224" t="s">
        <v>30</v>
      </c>
      <c r="B21" s="29">
        <v>1868</v>
      </c>
      <c r="C21" s="29">
        <v>868</v>
      </c>
      <c r="D21" s="29">
        <v>152</v>
      </c>
      <c r="E21" s="29">
        <v>470</v>
      </c>
      <c r="F21" s="29">
        <v>611</v>
      </c>
      <c r="G21" s="29">
        <v>774</v>
      </c>
      <c r="H21" s="29">
        <v>663</v>
      </c>
      <c r="I21" s="28" t="s">
        <v>15</v>
      </c>
      <c r="J21" s="29">
        <v>230</v>
      </c>
      <c r="K21" s="29">
        <v>395</v>
      </c>
      <c r="L21" s="28" t="s">
        <v>15</v>
      </c>
      <c r="M21" s="28" t="s">
        <v>15</v>
      </c>
      <c r="N21" s="29">
        <v>6031</v>
      </c>
    </row>
    <row r="22" spans="1:14" x14ac:dyDescent="0.25">
      <c r="A22" s="224" t="s">
        <v>31</v>
      </c>
      <c r="B22" s="29">
        <v>40630</v>
      </c>
      <c r="C22" s="29">
        <v>13762</v>
      </c>
      <c r="D22" s="28" t="s">
        <v>15</v>
      </c>
      <c r="E22" s="29">
        <v>3886</v>
      </c>
      <c r="F22" s="29">
        <v>2106</v>
      </c>
      <c r="G22" s="29">
        <v>2671</v>
      </c>
      <c r="H22" s="29">
        <v>4988</v>
      </c>
      <c r="I22" s="28" t="s">
        <v>15</v>
      </c>
      <c r="J22" s="29">
        <v>360</v>
      </c>
      <c r="K22" s="29">
        <v>3229</v>
      </c>
      <c r="L22" s="28" t="s">
        <v>15</v>
      </c>
      <c r="M22" s="28" t="s">
        <v>15</v>
      </c>
      <c r="N22" s="29">
        <v>71631</v>
      </c>
    </row>
    <row r="23" spans="1:14" x14ac:dyDescent="0.25">
      <c r="A23" s="224" t="s">
        <v>32</v>
      </c>
      <c r="B23" s="28" t="s">
        <v>15</v>
      </c>
      <c r="C23" s="28" t="s">
        <v>15</v>
      </c>
      <c r="D23" s="28" t="s">
        <v>15</v>
      </c>
      <c r="E23" s="28" t="s">
        <v>15</v>
      </c>
      <c r="F23" s="29">
        <v>18</v>
      </c>
      <c r="G23" s="28" t="s">
        <v>15</v>
      </c>
      <c r="H23" s="28" t="s">
        <v>15</v>
      </c>
      <c r="I23" s="28" t="s">
        <v>15</v>
      </c>
      <c r="J23" s="28" t="s">
        <v>15</v>
      </c>
      <c r="K23" s="28" t="s">
        <v>15</v>
      </c>
      <c r="L23" s="28" t="s">
        <v>15</v>
      </c>
      <c r="M23" s="28" t="s">
        <v>15</v>
      </c>
      <c r="N23" s="29">
        <v>18</v>
      </c>
    </row>
    <row r="24" spans="1:14" x14ac:dyDescent="0.25">
      <c r="A24" s="224"/>
      <c r="B24" s="28"/>
      <c r="C24" s="28"/>
      <c r="D24" s="28"/>
      <c r="E24" s="28"/>
      <c r="F24" s="28"/>
      <c r="G24" s="28"/>
      <c r="H24" s="28"/>
      <c r="I24" s="28"/>
      <c r="J24" s="28"/>
      <c r="K24" s="28"/>
      <c r="L24" s="28"/>
      <c r="M24" s="28"/>
      <c r="N24" s="28"/>
    </row>
    <row r="25" spans="1:14" x14ac:dyDescent="0.25">
      <c r="A25" s="224" t="s">
        <v>33</v>
      </c>
      <c r="B25" s="29">
        <v>2857</v>
      </c>
      <c r="C25" s="29">
        <v>231</v>
      </c>
      <c r="D25" s="29">
        <v>26</v>
      </c>
      <c r="E25" s="28" t="s">
        <v>15</v>
      </c>
      <c r="F25" s="28" t="s">
        <v>15</v>
      </c>
      <c r="G25" s="29">
        <v>195</v>
      </c>
      <c r="H25" s="29">
        <v>4561</v>
      </c>
      <c r="I25" s="28" t="s">
        <v>15</v>
      </c>
      <c r="J25" s="29">
        <v>19</v>
      </c>
      <c r="K25" s="29">
        <v>0</v>
      </c>
      <c r="L25" s="28" t="s">
        <v>15</v>
      </c>
      <c r="M25" s="28" t="s">
        <v>15</v>
      </c>
      <c r="N25" s="29">
        <v>7889</v>
      </c>
    </row>
    <row r="26" spans="1:14" x14ac:dyDescent="0.25">
      <c r="A26" s="224" t="s">
        <v>35</v>
      </c>
      <c r="B26" s="28" t="s">
        <v>15</v>
      </c>
      <c r="C26" s="29">
        <v>0</v>
      </c>
      <c r="D26" s="28" t="s">
        <v>15</v>
      </c>
      <c r="E26" s="28" t="s">
        <v>15</v>
      </c>
      <c r="F26" s="28" t="s">
        <v>15</v>
      </c>
      <c r="G26" s="28" t="s">
        <v>15</v>
      </c>
      <c r="H26" s="29">
        <v>0</v>
      </c>
      <c r="I26" s="28" t="s">
        <v>15</v>
      </c>
      <c r="J26" s="29">
        <v>214447</v>
      </c>
      <c r="K26" s="28" t="s">
        <v>15</v>
      </c>
      <c r="L26" s="28" t="s">
        <v>15</v>
      </c>
      <c r="M26" s="28" t="s">
        <v>15</v>
      </c>
      <c r="N26" s="29">
        <v>214447</v>
      </c>
    </row>
    <row r="27" spans="1:14" x14ac:dyDescent="0.25">
      <c r="A27" s="224" t="s">
        <v>36</v>
      </c>
      <c r="B27" s="28" t="s">
        <v>15</v>
      </c>
      <c r="C27" s="28" t="s">
        <v>15</v>
      </c>
      <c r="D27" s="28" t="s">
        <v>15</v>
      </c>
      <c r="E27" s="28" t="s">
        <v>15</v>
      </c>
      <c r="F27" s="28" t="s">
        <v>15</v>
      </c>
      <c r="G27" s="28" t="s">
        <v>15</v>
      </c>
      <c r="H27" s="28" t="s">
        <v>15</v>
      </c>
      <c r="I27" s="28" t="s">
        <v>15</v>
      </c>
      <c r="J27" s="29">
        <v>217415</v>
      </c>
      <c r="K27" s="28" t="s">
        <v>15</v>
      </c>
      <c r="L27" s="28" t="s">
        <v>15</v>
      </c>
      <c r="M27" s="28" t="s">
        <v>15</v>
      </c>
      <c r="N27" s="29">
        <v>217415</v>
      </c>
    </row>
    <row r="28" spans="1:14" x14ac:dyDescent="0.25">
      <c r="A28" s="224" t="s">
        <v>37</v>
      </c>
      <c r="B28" s="29">
        <v>2508</v>
      </c>
      <c r="C28" s="29">
        <v>-67148</v>
      </c>
      <c r="D28" s="29">
        <v>134533</v>
      </c>
      <c r="E28" s="29">
        <v>47019</v>
      </c>
      <c r="F28" s="29">
        <v>-60933</v>
      </c>
      <c r="G28" s="29">
        <v>35588</v>
      </c>
      <c r="H28" s="29">
        <v>2382</v>
      </c>
      <c r="I28" s="29">
        <v>36241</v>
      </c>
      <c r="J28" s="29">
        <v>5589</v>
      </c>
      <c r="K28" s="29">
        <v>7754</v>
      </c>
      <c r="L28" s="28" t="s">
        <v>15</v>
      </c>
      <c r="M28" s="28" t="s">
        <v>15</v>
      </c>
      <c r="N28" s="29">
        <v>143532</v>
      </c>
    </row>
    <row r="29" spans="1:14" x14ac:dyDescent="0.25">
      <c r="A29" s="224" t="s">
        <v>38</v>
      </c>
      <c r="B29" s="29">
        <v>4362</v>
      </c>
      <c r="C29" s="29">
        <v>73301</v>
      </c>
      <c r="D29" s="29">
        <v>20115</v>
      </c>
      <c r="E29" s="29">
        <v>4199</v>
      </c>
      <c r="F29" s="29">
        <v>87980</v>
      </c>
      <c r="G29" s="29">
        <v>7056</v>
      </c>
      <c r="H29" s="29">
        <v>11718</v>
      </c>
      <c r="I29" s="28" t="s">
        <v>15</v>
      </c>
      <c r="J29" s="29">
        <v>75052</v>
      </c>
      <c r="K29" s="29">
        <v>19793</v>
      </c>
      <c r="L29" s="28" t="s">
        <v>15</v>
      </c>
      <c r="M29" s="29">
        <v>0</v>
      </c>
      <c r="N29" s="29">
        <v>303576</v>
      </c>
    </row>
    <row r="30" spans="1:14" x14ac:dyDescent="0.25">
      <c r="A30" s="224" t="s">
        <v>39</v>
      </c>
      <c r="B30" s="29">
        <v>523</v>
      </c>
      <c r="C30" s="28" t="s">
        <v>15</v>
      </c>
      <c r="D30" s="28" t="s">
        <v>15</v>
      </c>
      <c r="E30" s="28" t="s">
        <v>15</v>
      </c>
      <c r="F30" s="28" t="s">
        <v>15</v>
      </c>
      <c r="G30" s="28" t="s">
        <v>15</v>
      </c>
      <c r="H30" s="28" t="s">
        <v>15</v>
      </c>
      <c r="I30" s="28" t="s">
        <v>15</v>
      </c>
      <c r="J30" s="28" t="s">
        <v>15</v>
      </c>
      <c r="K30" s="28" t="s">
        <v>15</v>
      </c>
      <c r="L30" s="28" t="s">
        <v>15</v>
      </c>
      <c r="M30" s="28" t="s">
        <v>15</v>
      </c>
      <c r="N30" s="29">
        <v>523</v>
      </c>
    </row>
    <row r="31" spans="1:14" x14ac:dyDescent="0.25">
      <c r="A31" s="224" t="s">
        <v>40</v>
      </c>
      <c r="B31" s="29">
        <v>118</v>
      </c>
      <c r="C31" s="28" t="s">
        <v>15</v>
      </c>
      <c r="D31" s="28" t="s">
        <v>15</v>
      </c>
      <c r="E31" s="29">
        <v>43</v>
      </c>
      <c r="F31" s="28" t="s">
        <v>15</v>
      </c>
      <c r="G31" s="29">
        <v>101674</v>
      </c>
      <c r="H31" s="28" t="s">
        <v>15</v>
      </c>
      <c r="I31" s="29">
        <v>1578451</v>
      </c>
      <c r="J31" s="29">
        <v>43113</v>
      </c>
      <c r="K31" s="29">
        <v>30</v>
      </c>
      <c r="L31" s="28" t="s">
        <v>15</v>
      </c>
      <c r="M31" s="28" t="s">
        <v>15</v>
      </c>
      <c r="N31" s="29">
        <v>1723428</v>
      </c>
    </row>
    <row r="32" spans="1:14" x14ac:dyDescent="0.25">
      <c r="A32" s="224" t="s">
        <v>41</v>
      </c>
      <c r="B32" s="29">
        <v>1</v>
      </c>
      <c r="C32" s="29">
        <v>31896</v>
      </c>
      <c r="D32" s="29">
        <v>60</v>
      </c>
      <c r="E32" s="28" t="s">
        <v>15</v>
      </c>
      <c r="F32" s="29">
        <v>581</v>
      </c>
      <c r="G32" s="29">
        <v>51528</v>
      </c>
      <c r="H32" s="29">
        <v>16</v>
      </c>
      <c r="I32" s="28" t="s">
        <v>15</v>
      </c>
      <c r="J32" s="29">
        <v>0</v>
      </c>
      <c r="K32" s="28" t="s">
        <v>15</v>
      </c>
      <c r="L32" s="28" t="s">
        <v>15</v>
      </c>
      <c r="M32" s="28" t="s">
        <v>15</v>
      </c>
      <c r="N32" s="29">
        <v>84082</v>
      </c>
    </row>
    <row r="33" spans="1:14" x14ac:dyDescent="0.25">
      <c r="A33" s="224" t="s">
        <v>43</v>
      </c>
      <c r="B33" s="29">
        <v>21917</v>
      </c>
      <c r="C33" s="29">
        <v>234873</v>
      </c>
      <c r="D33" s="29">
        <v>25796</v>
      </c>
      <c r="E33" s="29">
        <v>56388</v>
      </c>
      <c r="F33" s="29">
        <v>181753</v>
      </c>
      <c r="G33" s="29">
        <v>155673</v>
      </c>
      <c r="H33" s="29">
        <v>132529</v>
      </c>
      <c r="I33" s="28" t="s">
        <v>15</v>
      </c>
      <c r="J33" s="29">
        <v>126197</v>
      </c>
      <c r="K33" s="29">
        <v>22619</v>
      </c>
      <c r="L33" s="28" t="s">
        <v>15</v>
      </c>
      <c r="M33" s="28" t="s">
        <v>15</v>
      </c>
      <c r="N33" s="29">
        <v>957744</v>
      </c>
    </row>
    <row r="34" spans="1:14" x14ac:dyDescent="0.25">
      <c r="A34" s="224" t="s">
        <v>44</v>
      </c>
      <c r="B34" s="28" t="s">
        <v>15</v>
      </c>
      <c r="C34" s="29">
        <v>65654</v>
      </c>
      <c r="D34" s="29">
        <v>33386</v>
      </c>
      <c r="E34" s="29">
        <v>-22879</v>
      </c>
      <c r="F34" s="29">
        <v>-13944</v>
      </c>
      <c r="G34" s="29">
        <v>238</v>
      </c>
      <c r="H34" s="29">
        <v>4726006</v>
      </c>
      <c r="I34" s="28" t="s">
        <v>15</v>
      </c>
      <c r="J34" s="28" t="s">
        <v>15</v>
      </c>
      <c r="K34" s="29">
        <v>19551</v>
      </c>
      <c r="L34" s="28" t="s">
        <v>15</v>
      </c>
      <c r="M34" s="28" t="s">
        <v>15</v>
      </c>
      <c r="N34" s="29">
        <v>4808011</v>
      </c>
    </row>
    <row r="35" spans="1:14" x14ac:dyDescent="0.25">
      <c r="A35" s="224" t="s">
        <v>45</v>
      </c>
      <c r="B35" s="28" t="s">
        <v>15</v>
      </c>
      <c r="C35" s="28" t="s">
        <v>15</v>
      </c>
      <c r="D35" s="28" t="s">
        <v>15</v>
      </c>
      <c r="E35" s="29">
        <v>54173</v>
      </c>
      <c r="F35" s="29">
        <v>76428</v>
      </c>
      <c r="G35" s="28" t="s">
        <v>15</v>
      </c>
      <c r="H35" s="28" t="s">
        <v>15</v>
      </c>
      <c r="I35" s="28" t="s">
        <v>15</v>
      </c>
      <c r="J35" s="28" t="s">
        <v>15</v>
      </c>
      <c r="K35" s="28" t="s">
        <v>15</v>
      </c>
      <c r="L35" s="28" t="s">
        <v>15</v>
      </c>
      <c r="M35" s="28" t="s">
        <v>15</v>
      </c>
      <c r="N35" s="29">
        <v>130601</v>
      </c>
    </row>
    <row r="36" spans="1:14" x14ac:dyDescent="0.25">
      <c r="A36" s="224" t="s">
        <v>46</v>
      </c>
      <c r="B36" s="28" t="s">
        <v>15</v>
      </c>
      <c r="C36" s="28" t="s">
        <v>15</v>
      </c>
      <c r="D36" s="28" t="s">
        <v>15</v>
      </c>
      <c r="E36" s="29">
        <v>14675</v>
      </c>
      <c r="F36" s="29">
        <v>17736</v>
      </c>
      <c r="G36" s="28" t="s">
        <v>15</v>
      </c>
      <c r="H36" s="28" t="s">
        <v>15</v>
      </c>
      <c r="I36" s="28" t="s">
        <v>15</v>
      </c>
      <c r="J36" s="28" t="s">
        <v>15</v>
      </c>
      <c r="K36" s="28" t="s">
        <v>15</v>
      </c>
      <c r="L36" s="28" t="s">
        <v>15</v>
      </c>
      <c r="M36" s="28" t="s">
        <v>15</v>
      </c>
      <c r="N36" s="29">
        <v>32411</v>
      </c>
    </row>
    <row r="37" spans="1:14" x14ac:dyDescent="0.25">
      <c r="A37" s="224" t="s">
        <v>47</v>
      </c>
      <c r="B37" s="28" t="s">
        <v>15</v>
      </c>
      <c r="C37" s="28" t="s">
        <v>15</v>
      </c>
      <c r="D37" s="28" t="s">
        <v>15</v>
      </c>
      <c r="E37" s="28" t="s">
        <v>15</v>
      </c>
      <c r="F37" s="28" t="s">
        <v>15</v>
      </c>
      <c r="G37" s="28" t="s">
        <v>15</v>
      </c>
      <c r="H37" s="28" t="s">
        <v>15</v>
      </c>
      <c r="I37" s="29">
        <v>282367</v>
      </c>
      <c r="J37" s="28" t="s">
        <v>15</v>
      </c>
      <c r="K37" s="28" t="s">
        <v>15</v>
      </c>
      <c r="L37" s="28" t="s">
        <v>15</v>
      </c>
      <c r="M37" s="28" t="s">
        <v>15</v>
      </c>
      <c r="N37" s="29">
        <v>282367</v>
      </c>
    </row>
    <row r="38" spans="1:14" x14ac:dyDescent="0.25">
      <c r="A38" s="224"/>
      <c r="B38" s="28"/>
      <c r="C38" s="28"/>
      <c r="D38" s="28"/>
      <c r="E38" s="28"/>
      <c r="F38" s="28"/>
      <c r="G38" s="28"/>
      <c r="H38" s="28"/>
      <c r="I38" s="28"/>
      <c r="J38" s="28"/>
      <c r="K38" s="28"/>
      <c r="L38" s="28"/>
      <c r="M38" s="28"/>
      <c r="N38" s="28"/>
    </row>
    <row r="39" spans="1:14" x14ac:dyDescent="0.25">
      <c r="A39" s="224" t="s">
        <v>48</v>
      </c>
      <c r="B39" s="29">
        <v>323</v>
      </c>
      <c r="C39" s="28" t="s">
        <v>15</v>
      </c>
      <c r="D39" s="28" t="s">
        <v>15</v>
      </c>
      <c r="E39" s="28" t="s">
        <v>15</v>
      </c>
      <c r="F39" s="28" t="s">
        <v>15</v>
      </c>
      <c r="G39" s="28" t="s">
        <v>15</v>
      </c>
      <c r="H39" s="28" t="s">
        <v>15</v>
      </c>
      <c r="I39" s="28" t="s">
        <v>15</v>
      </c>
      <c r="J39" s="28" t="s">
        <v>15</v>
      </c>
      <c r="K39" s="28" t="s">
        <v>15</v>
      </c>
      <c r="L39" s="28" t="s">
        <v>15</v>
      </c>
      <c r="M39" s="28" t="s">
        <v>15</v>
      </c>
      <c r="N39" s="29">
        <v>323</v>
      </c>
    </row>
    <row r="40" spans="1:14" x14ac:dyDescent="0.25">
      <c r="A40" s="224"/>
      <c r="B40" s="28"/>
      <c r="C40" s="28"/>
      <c r="D40" s="28"/>
      <c r="E40" s="28"/>
      <c r="F40" s="28"/>
      <c r="G40" s="28"/>
      <c r="H40" s="28"/>
      <c r="I40" s="28"/>
      <c r="J40" s="28"/>
      <c r="K40" s="28"/>
      <c r="L40" s="28"/>
      <c r="M40" s="28"/>
      <c r="N40" s="28"/>
    </row>
    <row r="41" spans="1:14" x14ac:dyDescent="0.25">
      <c r="A41" s="224" t="s">
        <v>49</v>
      </c>
      <c r="B41" s="28" t="s">
        <v>15</v>
      </c>
      <c r="C41" s="28" t="s">
        <v>15</v>
      </c>
      <c r="D41" s="28" t="s">
        <v>15</v>
      </c>
      <c r="E41" s="28" t="s">
        <v>15</v>
      </c>
      <c r="F41" s="28" t="s">
        <v>15</v>
      </c>
      <c r="G41" s="28" t="s">
        <v>15</v>
      </c>
      <c r="H41" s="28" t="s">
        <v>15</v>
      </c>
      <c r="I41" s="29">
        <v>113997</v>
      </c>
      <c r="J41" s="28" t="s">
        <v>15</v>
      </c>
      <c r="K41" s="28" t="s">
        <v>15</v>
      </c>
      <c r="L41" s="28" t="s">
        <v>15</v>
      </c>
      <c r="M41" s="28" t="s">
        <v>15</v>
      </c>
      <c r="N41" s="29">
        <v>113997</v>
      </c>
    </row>
    <row r="42" spans="1:14" x14ac:dyDescent="0.25">
      <c r="A42" s="224" t="s">
        <v>50</v>
      </c>
      <c r="B42" s="29">
        <v>3920</v>
      </c>
      <c r="C42" s="29">
        <v>7259</v>
      </c>
      <c r="D42" s="29">
        <v>3</v>
      </c>
      <c r="E42" s="29">
        <v>162</v>
      </c>
      <c r="F42" s="29">
        <v>2301</v>
      </c>
      <c r="G42" s="29">
        <v>136</v>
      </c>
      <c r="H42" s="29">
        <v>831</v>
      </c>
      <c r="I42" s="28" t="s">
        <v>15</v>
      </c>
      <c r="J42" s="29">
        <v>73</v>
      </c>
      <c r="K42" s="29">
        <v>1250</v>
      </c>
      <c r="L42" s="28" t="s">
        <v>15</v>
      </c>
      <c r="M42" s="28" t="s">
        <v>15</v>
      </c>
      <c r="N42" s="29">
        <v>15935</v>
      </c>
    </row>
    <row r="43" spans="1:14" x14ac:dyDescent="0.25">
      <c r="A43" s="224" t="s">
        <v>51</v>
      </c>
      <c r="B43" s="29">
        <v>1326</v>
      </c>
      <c r="C43" s="29">
        <v>213</v>
      </c>
      <c r="D43" s="29">
        <v>1</v>
      </c>
      <c r="E43" s="29">
        <v>22</v>
      </c>
      <c r="F43" s="29">
        <v>116</v>
      </c>
      <c r="G43" s="29">
        <v>31</v>
      </c>
      <c r="H43" s="29">
        <v>168</v>
      </c>
      <c r="I43" s="28" t="s">
        <v>15</v>
      </c>
      <c r="J43" s="29">
        <v>5</v>
      </c>
      <c r="K43" s="29">
        <v>310</v>
      </c>
      <c r="L43" s="28" t="s">
        <v>15</v>
      </c>
      <c r="M43" s="28" t="s">
        <v>15</v>
      </c>
      <c r="N43" s="29">
        <v>2192</v>
      </c>
    </row>
    <row r="44" spans="1:14" x14ac:dyDescent="0.25">
      <c r="A44" s="224" t="s">
        <v>52</v>
      </c>
      <c r="B44" s="29">
        <v>441</v>
      </c>
      <c r="C44" s="29">
        <v>333</v>
      </c>
      <c r="D44" s="29">
        <v>1</v>
      </c>
      <c r="E44" s="29">
        <v>44</v>
      </c>
      <c r="F44" s="29">
        <v>163</v>
      </c>
      <c r="G44" s="29">
        <v>30</v>
      </c>
      <c r="H44" s="29">
        <v>98</v>
      </c>
      <c r="I44" s="28" t="s">
        <v>15</v>
      </c>
      <c r="J44" s="29">
        <v>2</v>
      </c>
      <c r="K44" s="29">
        <v>173</v>
      </c>
      <c r="L44" s="28" t="s">
        <v>15</v>
      </c>
      <c r="M44" s="28" t="s">
        <v>15</v>
      </c>
      <c r="N44" s="29">
        <v>1285</v>
      </c>
    </row>
    <row r="45" spans="1:14" x14ac:dyDescent="0.25">
      <c r="A45" s="224" t="s">
        <v>53</v>
      </c>
      <c r="B45" s="29">
        <v>4129</v>
      </c>
      <c r="C45" s="29">
        <v>36</v>
      </c>
      <c r="D45" s="28" t="s">
        <v>15</v>
      </c>
      <c r="E45" s="28" t="s">
        <v>15</v>
      </c>
      <c r="F45" s="28" t="s">
        <v>15</v>
      </c>
      <c r="G45" s="28" t="s">
        <v>15</v>
      </c>
      <c r="H45" s="28" t="s">
        <v>15</v>
      </c>
      <c r="I45" s="28" t="s">
        <v>15</v>
      </c>
      <c r="J45" s="29">
        <v>291</v>
      </c>
      <c r="K45" s="29">
        <v>6</v>
      </c>
      <c r="L45" s="28" t="s">
        <v>15</v>
      </c>
      <c r="M45" s="28" t="s">
        <v>15</v>
      </c>
      <c r="N45" s="29">
        <v>4461</v>
      </c>
    </row>
    <row r="46" spans="1:14" x14ac:dyDescent="0.25">
      <c r="A46" s="224" t="s">
        <v>54</v>
      </c>
      <c r="B46" s="29">
        <v>2704</v>
      </c>
      <c r="C46" s="29">
        <v>461</v>
      </c>
      <c r="D46" s="28" t="s">
        <v>15</v>
      </c>
      <c r="E46" s="28" t="s">
        <v>15</v>
      </c>
      <c r="F46" s="28" t="s">
        <v>15</v>
      </c>
      <c r="G46" s="28" t="s">
        <v>15</v>
      </c>
      <c r="H46" s="29">
        <v>261</v>
      </c>
      <c r="I46" s="28" t="s">
        <v>15</v>
      </c>
      <c r="J46" s="29">
        <v>26</v>
      </c>
      <c r="K46" s="29">
        <v>434</v>
      </c>
      <c r="L46" s="28" t="s">
        <v>15</v>
      </c>
      <c r="M46" s="28" t="s">
        <v>15</v>
      </c>
      <c r="N46" s="29">
        <v>3885</v>
      </c>
    </row>
    <row r="47" spans="1:14" x14ac:dyDescent="0.25">
      <c r="A47" s="224" t="s">
        <v>55</v>
      </c>
      <c r="B47" s="29">
        <v>998</v>
      </c>
      <c r="C47" s="28" t="s">
        <v>15</v>
      </c>
      <c r="D47" s="28" t="s">
        <v>15</v>
      </c>
      <c r="E47" s="29">
        <v>55</v>
      </c>
      <c r="F47" s="28" t="s">
        <v>15</v>
      </c>
      <c r="G47" s="28" t="s">
        <v>15</v>
      </c>
      <c r="H47" s="28" t="s">
        <v>15</v>
      </c>
      <c r="I47" s="28" t="s">
        <v>15</v>
      </c>
      <c r="J47" s="29">
        <v>85</v>
      </c>
      <c r="K47" s="29">
        <v>20</v>
      </c>
      <c r="L47" s="28" t="s">
        <v>15</v>
      </c>
      <c r="M47" s="28" t="s">
        <v>15</v>
      </c>
      <c r="N47" s="29">
        <v>1158</v>
      </c>
    </row>
    <row r="48" spans="1:14" x14ac:dyDescent="0.25">
      <c r="A48" s="224" t="s">
        <v>56</v>
      </c>
      <c r="B48" s="28" t="s">
        <v>15</v>
      </c>
      <c r="C48" s="28" t="s">
        <v>15</v>
      </c>
      <c r="D48" s="28" t="s">
        <v>15</v>
      </c>
      <c r="E48" s="28" t="s">
        <v>15</v>
      </c>
      <c r="F48" s="28" t="s">
        <v>15</v>
      </c>
      <c r="G48" s="29">
        <v>0</v>
      </c>
      <c r="H48" s="28" t="s">
        <v>15</v>
      </c>
      <c r="I48" s="28" t="s">
        <v>15</v>
      </c>
      <c r="J48" s="28" t="s">
        <v>15</v>
      </c>
      <c r="K48" s="28" t="s">
        <v>15</v>
      </c>
      <c r="L48" s="28" t="s">
        <v>15</v>
      </c>
      <c r="M48" s="28" t="s">
        <v>15</v>
      </c>
      <c r="N48" s="29">
        <v>0</v>
      </c>
    </row>
    <row r="49" spans="1:14" x14ac:dyDescent="0.25">
      <c r="A49" s="224" t="s">
        <v>57</v>
      </c>
      <c r="B49" s="28" t="s">
        <v>15</v>
      </c>
      <c r="C49" s="28" t="s">
        <v>15</v>
      </c>
      <c r="D49" s="28" t="s">
        <v>15</v>
      </c>
      <c r="E49" s="28" t="s">
        <v>15</v>
      </c>
      <c r="F49" s="28" t="s">
        <v>15</v>
      </c>
      <c r="G49" s="28" t="s">
        <v>15</v>
      </c>
      <c r="H49" s="28" t="s">
        <v>15</v>
      </c>
      <c r="I49" s="29">
        <v>69777</v>
      </c>
      <c r="J49" s="28" t="s">
        <v>15</v>
      </c>
      <c r="K49" s="28" t="s">
        <v>15</v>
      </c>
      <c r="L49" s="28" t="s">
        <v>15</v>
      </c>
      <c r="M49" s="28" t="s">
        <v>15</v>
      </c>
      <c r="N49" s="29">
        <v>69777</v>
      </c>
    </row>
    <row r="50" spans="1:14" x14ac:dyDescent="0.25">
      <c r="A50" s="224" t="s">
        <v>58</v>
      </c>
      <c r="B50" s="28" t="s">
        <v>15</v>
      </c>
      <c r="C50" s="28" t="s">
        <v>15</v>
      </c>
      <c r="D50" s="28" t="s">
        <v>15</v>
      </c>
      <c r="E50" s="28" t="s">
        <v>15</v>
      </c>
      <c r="F50" s="28" t="s">
        <v>15</v>
      </c>
      <c r="G50" s="28" t="s">
        <v>15</v>
      </c>
      <c r="H50" s="28" t="s">
        <v>15</v>
      </c>
      <c r="I50" s="29">
        <v>206995</v>
      </c>
      <c r="J50" s="28" t="s">
        <v>15</v>
      </c>
      <c r="K50" s="28" t="s">
        <v>15</v>
      </c>
      <c r="L50" s="28" t="s">
        <v>15</v>
      </c>
      <c r="M50" s="28" t="s">
        <v>15</v>
      </c>
      <c r="N50" s="29">
        <v>206995</v>
      </c>
    </row>
    <row r="51" spans="1:14" x14ac:dyDescent="0.25">
      <c r="A51" s="224" t="s">
        <v>59</v>
      </c>
      <c r="B51" s="28" t="s">
        <v>15</v>
      </c>
      <c r="C51" s="28" t="s">
        <v>15</v>
      </c>
      <c r="D51" s="29">
        <v>22856</v>
      </c>
      <c r="E51" s="29">
        <v>181902</v>
      </c>
      <c r="F51" s="28" t="s">
        <v>15</v>
      </c>
      <c r="G51" s="28" t="s">
        <v>15</v>
      </c>
      <c r="H51" s="28" t="s">
        <v>15</v>
      </c>
      <c r="I51" s="28" t="s">
        <v>15</v>
      </c>
      <c r="J51" s="28" t="s">
        <v>15</v>
      </c>
      <c r="K51" s="28" t="s">
        <v>15</v>
      </c>
      <c r="L51" s="28" t="s">
        <v>15</v>
      </c>
      <c r="M51" s="28" t="s">
        <v>15</v>
      </c>
      <c r="N51" s="29">
        <v>204757</v>
      </c>
    </row>
    <row r="52" spans="1:14" x14ac:dyDescent="0.25">
      <c r="A52" s="224" t="s">
        <v>60</v>
      </c>
      <c r="B52" s="29">
        <v>10</v>
      </c>
      <c r="C52" s="28" t="s">
        <v>15</v>
      </c>
      <c r="D52" s="29">
        <v>48191</v>
      </c>
      <c r="E52" s="29">
        <v>101883</v>
      </c>
      <c r="F52" s="28" t="s">
        <v>15</v>
      </c>
      <c r="G52" s="28" t="s">
        <v>15</v>
      </c>
      <c r="H52" s="28" t="s">
        <v>15</v>
      </c>
      <c r="I52" s="28" t="s">
        <v>15</v>
      </c>
      <c r="J52" s="28" t="s">
        <v>15</v>
      </c>
      <c r="K52" s="28" t="s">
        <v>15</v>
      </c>
      <c r="L52" s="28" t="s">
        <v>15</v>
      </c>
      <c r="M52" s="28" t="s">
        <v>15</v>
      </c>
      <c r="N52" s="29">
        <v>150084</v>
      </c>
    </row>
    <row r="53" spans="1:14" x14ac:dyDescent="0.25">
      <c r="A53" s="224" t="s">
        <v>61</v>
      </c>
      <c r="B53" s="29">
        <v>2820</v>
      </c>
      <c r="C53" s="29">
        <v>8249</v>
      </c>
      <c r="D53" s="29">
        <v>829</v>
      </c>
      <c r="E53" s="29">
        <v>1233</v>
      </c>
      <c r="F53" s="29">
        <v>7195</v>
      </c>
      <c r="G53" s="29">
        <v>6176</v>
      </c>
      <c r="H53" s="29">
        <v>6659</v>
      </c>
      <c r="I53" s="28" t="s">
        <v>15</v>
      </c>
      <c r="J53" s="29">
        <v>9838</v>
      </c>
      <c r="K53" s="29">
        <v>2456</v>
      </c>
      <c r="L53" s="28" t="s">
        <v>15</v>
      </c>
      <c r="M53" s="28" t="s">
        <v>15</v>
      </c>
      <c r="N53" s="29">
        <v>45455</v>
      </c>
    </row>
    <row r="54" spans="1:14" x14ac:dyDescent="0.25">
      <c r="A54" s="224" t="s">
        <v>62</v>
      </c>
      <c r="B54" s="29">
        <v>2820</v>
      </c>
      <c r="C54" s="29">
        <v>8249</v>
      </c>
      <c r="D54" s="29">
        <v>829</v>
      </c>
      <c r="E54" s="29">
        <v>1233</v>
      </c>
      <c r="F54" s="29">
        <v>7195</v>
      </c>
      <c r="G54" s="29">
        <v>6176</v>
      </c>
      <c r="H54" s="29">
        <v>5172</v>
      </c>
      <c r="I54" s="28" t="s">
        <v>15</v>
      </c>
      <c r="J54" s="29">
        <v>9847</v>
      </c>
      <c r="K54" s="29">
        <v>2456</v>
      </c>
      <c r="L54" s="28" t="s">
        <v>15</v>
      </c>
      <c r="M54" s="28" t="s">
        <v>15</v>
      </c>
      <c r="N54" s="29">
        <v>43977</v>
      </c>
    </row>
    <row r="55" spans="1:14" x14ac:dyDescent="0.25">
      <c r="A55" s="224"/>
      <c r="B55" s="28"/>
      <c r="C55" s="28"/>
      <c r="D55" s="28"/>
      <c r="E55" s="28"/>
      <c r="F55" s="28"/>
      <c r="G55" s="28"/>
      <c r="H55" s="28"/>
      <c r="I55" s="28"/>
      <c r="J55" s="28"/>
      <c r="K55" s="28"/>
      <c r="L55" s="28"/>
      <c r="M55" s="28"/>
      <c r="N55" s="28"/>
    </row>
    <row r="56" spans="1:14" x14ac:dyDescent="0.25">
      <c r="A56" s="224" t="s">
        <v>63</v>
      </c>
      <c r="B56" s="29">
        <v>971</v>
      </c>
      <c r="C56" s="29">
        <v>2393</v>
      </c>
      <c r="D56" s="29">
        <v>6134</v>
      </c>
      <c r="E56" s="29">
        <v>4475</v>
      </c>
      <c r="F56" s="29">
        <v>16679</v>
      </c>
      <c r="G56" s="29">
        <v>10644</v>
      </c>
      <c r="H56" s="29">
        <v>5206</v>
      </c>
      <c r="I56" s="28" t="s">
        <v>15</v>
      </c>
      <c r="J56" s="29">
        <v>1652</v>
      </c>
      <c r="K56" s="29">
        <v>533</v>
      </c>
      <c r="L56" s="28" t="s">
        <v>15</v>
      </c>
      <c r="M56" s="28" t="s">
        <v>15</v>
      </c>
      <c r="N56" s="29">
        <v>48686</v>
      </c>
    </row>
    <row r="57" spans="1:14" x14ac:dyDescent="0.25">
      <c r="A57" s="224" t="s">
        <v>64</v>
      </c>
      <c r="B57" s="29">
        <v>0</v>
      </c>
      <c r="C57" s="29">
        <v>0</v>
      </c>
      <c r="D57" s="29">
        <v>0</v>
      </c>
      <c r="E57" s="29">
        <v>0</v>
      </c>
      <c r="F57" s="29">
        <v>0</v>
      </c>
      <c r="G57" s="29">
        <v>0</v>
      </c>
      <c r="H57" s="29">
        <v>0</v>
      </c>
      <c r="I57" s="29">
        <v>-53068</v>
      </c>
      <c r="J57" s="29">
        <v>0</v>
      </c>
      <c r="K57" s="29">
        <v>0</v>
      </c>
      <c r="L57" s="29">
        <v>0</v>
      </c>
      <c r="M57" s="29">
        <v>0</v>
      </c>
      <c r="N57" s="29">
        <v>-53068</v>
      </c>
    </row>
    <row r="58" spans="1:14" x14ac:dyDescent="0.25">
      <c r="A58" s="224" t="s">
        <v>65</v>
      </c>
      <c r="B58" s="29">
        <v>8233</v>
      </c>
      <c r="C58" s="29">
        <v>4597</v>
      </c>
      <c r="D58" s="29">
        <v>69</v>
      </c>
      <c r="E58" s="29">
        <v>43</v>
      </c>
      <c r="F58" s="29">
        <v>87236</v>
      </c>
      <c r="G58" s="29">
        <v>214</v>
      </c>
      <c r="H58" s="29">
        <v>3690</v>
      </c>
      <c r="I58" s="29">
        <v>24807</v>
      </c>
      <c r="J58" s="29">
        <v>-58597</v>
      </c>
      <c r="K58" s="29">
        <v>87360</v>
      </c>
      <c r="L58" s="29">
        <v>18738604</v>
      </c>
      <c r="M58" s="29">
        <v>7322500</v>
      </c>
      <c r="N58" s="29">
        <v>26218756</v>
      </c>
    </row>
    <row r="59" spans="1:14" x14ac:dyDescent="0.25">
      <c r="A59" s="224" t="s">
        <v>66</v>
      </c>
      <c r="B59" s="29">
        <v>1069913</v>
      </c>
      <c r="C59" s="29">
        <v>2103649</v>
      </c>
      <c r="D59" s="29">
        <v>628602</v>
      </c>
      <c r="E59" s="29">
        <v>994198</v>
      </c>
      <c r="F59" s="29">
        <v>1304973</v>
      </c>
      <c r="G59" s="29">
        <v>2379212</v>
      </c>
      <c r="H59" s="29">
        <v>7140834</v>
      </c>
      <c r="I59" s="29">
        <v>2264996</v>
      </c>
      <c r="J59" s="29">
        <v>959725</v>
      </c>
      <c r="K59" s="29">
        <v>757520</v>
      </c>
      <c r="L59" s="29">
        <v>19440524</v>
      </c>
      <c r="M59" s="29">
        <v>7322500</v>
      </c>
      <c r="N59" s="29">
        <v>46366645</v>
      </c>
    </row>
    <row r="60" spans="1:14" x14ac:dyDescent="0.25">
      <c r="A60" s="224" t="s">
        <v>67</v>
      </c>
      <c r="B60" s="29">
        <v>106</v>
      </c>
      <c r="C60" s="29">
        <v>2998</v>
      </c>
      <c r="D60" s="29">
        <v>-7187</v>
      </c>
      <c r="E60" s="29">
        <v>961</v>
      </c>
      <c r="F60" s="29">
        <v>1603</v>
      </c>
      <c r="G60" s="29">
        <v>4492</v>
      </c>
      <c r="H60" s="29">
        <v>42</v>
      </c>
      <c r="I60" s="29">
        <v>9351</v>
      </c>
      <c r="J60" s="29">
        <v>0</v>
      </c>
      <c r="K60" s="29">
        <v>0</v>
      </c>
      <c r="L60" s="29">
        <v>18736821</v>
      </c>
      <c r="M60" s="29">
        <v>0</v>
      </c>
      <c r="N60" s="29">
        <v>18749188</v>
      </c>
    </row>
    <row r="61" spans="1:14" x14ac:dyDescent="0.25">
      <c r="A61" s="224" t="s">
        <v>68</v>
      </c>
      <c r="B61" s="29">
        <v>1069807</v>
      </c>
      <c r="C61" s="29">
        <v>2100651</v>
      </c>
      <c r="D61" s="29">
        <v>635789</v>
      </c>
      <c r="E61" s="29">
        <v>993237</v>
      </c>
      <c r="F61" s="29">
        <v>1303370</v>
      </c>
      <c r="G61" s="29">
        <v>2374720</v>
      </c>
      <c r="H61" s="29">
        <v>7140792</v>
      </c>
      <c r="I61" s="29">
        <v>2255644</v>
      </c>
      <c r="J61" s="29">
        <v>959725</v>
      </c>
      <c r="K61" s="29">
        <v>757520</v>
      </c>
      <c r="L61" s="29">
        <v>703703</v>
      </c>
      <c r="M61" s="29">
        <v>7322500</v>
      </c>
      <c r="N61" s="29">
        <v>27617458</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workbookViewId="0">
      <selection sqref="A1:XFD1048576"/>
    </sheetView>
  </sheetViews>
  <sheetFormatPr defaultRowHeight="15" x14ac:dyDescent="0.25"/>
  <cols>
    <col min="1" max="1" width="14.7109375" style="223" customWidth="1"/>
    <col min="2" max="13" width="10.85546875" style="223" customWidth="1"/>
    <col min="14" max="14" width="9.28515625" style="223" customWidth="1"/>
    <col min="15" max="256" width="9.140625" style="223"/>
    <col min="257" max="257" width="14.7109375" style="223" customWidth="1"/>
    <col min="258" max="269" width="10.85546875" style="223" customWidth="1"/>
    <col min="270" max="270" width="9.28515625" style="223" customWidth="1"/>
    <col min="271" max="512" width="9.140625" style="223"/>
    <col min="513" max="513" width="14.7109375" style="223" customWidth="1"/>
    <col min="514" max="525" width="10.85546875" style="223" customWidth="1"/>
    <col min="526" max="526" width="9.28515625" style="223" customWidth="1"/>
    <col min="527" max="768" width="9.140625" style="223"/>
    <col min="769" max="769" width="14.7109375" style="223" customWidth="1"/>
    <col min="770" max="781" width="10.85546875" style="223" customWidth="1"/>
    <col min="782" max="782" width="9.28515625" style="223" customWidth="1"/>
    <col min="783" max="1024" width="9.140625" style="223"/>
    <col min="1025" max="1025" width="14.7109375" style="223" customWidth="1"/>
    <col min="1026" max="1037" width="10.85546875" style="223" customWidth="1"/>
    <col min="1038" max="1038" width="9.28515625" style="223" customWidth="1"/>
    <col min="1039" max="1280" width="9.140625" style="223"/>
    <col min="1281" max="1281" width="14.7109375" style="223" customWidth="1"/>
    <col min="1282" max="1293" width="10.85546875" style="223" customWidth="1"/>
    <col min="1294" max="1294" width="9.28515625" style="223" customWidth="1"/>
    <col min="1295" max="1536" width="9.140625" style="223"/>
    <col min="1537" max="1537" width="14.7109375" style="223" customWidth="1"/>
    <col min="1538" max="1549" width="10.85546875" style="223" customWidth="1"/>
    <col min="1550" max="1550" width="9.28515625" style="223" customWidth="1"/>
    <col min="1551" max="1792" width="9.140625" style="223"/>
    <col min="1793" max="1793" width="14.7109375" style="223" customWidth="1"/>
    <col min="1794" max="1805" width="10.85546875" style="223" customWidth="1"/>
    <col min="1806" max="1806" width="9.28515625" style="223" customWidth="1"/>
    <col min="1807" max="2048" width="9.140625" style="223"/>
    <col min="2049" max="2049" width="14.7109375" style="223" customWidth="1"/>
    <col min="2050" max="2061" width="10.85546875" style="223" customWidth="1"/>
    <col min="2062" max="2062" width="9.28515625" style="223" customWidth="1"/>
    <col min="2063" max="2304" width="9.140625" style="223"/>
    <col min="2305" max="2305" width="14.7109375" style="223" customWidth="1"/>
    <col min="2306" max="2317" width="10.85546875" style="223" customWidth="1"/>
    <col min="2318" max="2318" width="9.28515625" style="223" customWidth="1"/>
    <col min="2319" max="2560" width="9.140625" style="223"/>
    <col min="2561" max="2561" width="14.7109375" style="223" customWidth="1"/>
    <col min="2562" max="2573" width="10.85546875" style="223" customWidth="1"/>
    <col min="2574" max="2574" width="9.28515625" style="223" customWidth="1"/>
    <col min="2575" max="2816" width="9.140625" style="223"/>
    <col min="2817" max="2817" width="14.7109375" style="223" customWidth="1"/>
    <col min="2818" max="2829" width="10.85546875" style="223" customWidth="1"/>
    <col min="2830" max="2830" width="9.28515625" style="223" customWidth="1"/>
    <col min="2831" max="3072" width="9.140625" style="223"/>
    <col min="3073" max="3073" width="14.7109375" style="223" customWidth="1"/>
    <col min="3074" max="3085" width="10.85546875" style="223" customWidth="1"/>
    <col min="3086" max="3086" width="9.28515625" style="223" customWidth="1"/>
    <col min="3087" max="3328" width="9.140625" style="223"/>
    <col min="3329" max="3329" width="14.7109375" style="223" customWidth="1"/>
    <col min="3330" max="3341" width="10.85546875" style="223" customWidth="1"/>
    <col min="3342" max="3342" width="9.28515625" style="223" customWidth="1"/>
    <col min="3343" max="3584" width="9.140625" style="223"/>
    <col min="3585" max="3585" width="14.7109375" style="223" customWidth="1"/>
    <col min="3586" max="3597" width="10.85546875" style="223" customWidth="1"/>
    <col min="3598" max="3598" width="9.28515625" style="223" customWidth="1"/>
    <col min="3599" max="3840" width="9.140625" style="223"/>
    <col min="3841" max="3841" width="14.7109375" style="223" customWidth="1"/>
    <col min="3842" max="3853" width="10.85546875" style="223" customWidth="1"/>
    <col min="3854" max="3854" width="9.28515625" style="223" customWidth="1"/>
    <col min="3855" max="4096" width="9.140625" style="223"/>
    <col min="4097" max="4097" width="14.7109375" style="223" customWidth="1"/>
    <col min="4098" max="4109" width="10.85546875" style="223" customWidth="1"/>
    <col min="4110" max="4110" width="9.28515625" style="223" customWidth="1"/>
    <col min="4111" max="4352" width="9.140625" style="223"/>
    <col min="4353" max="4353" width="14.7109375" style="223" customWidth="1"/>
    <col min="4354" max="4365" width="10.85546875" style="223" customWidth="1"/>
    <col min="4366" max="4366" width="9.28515625" style="223" customWidth="1"/>
    <col min="4367" max="4608" width="9.140625" style="223"/>
    <col min="4609" max="4609" width="14.7109375" style="223" customWidth="1"/>
    <col min="4610" max="4621" width="10.85546875" style="223" customWidth="1"/>
    <col min="4622" max="4622" width="9.28515625" style="223" customWidth="1"/>
    <col min="4623" max="4864" width="9.140625" style="223"/>
    <col min="4865" max="4865" width="14.7109375" style="223" customWidth="1"/>
    <col min="4866" max="4877" width="10.85546875" style="223" customWidth="1"/>
    <col min="4878" max="4878" width="9.28515625" style="223" customWidth="1"/>
    <col min="4879" max="5120" width="9.140625" style="223"/>
    <col min="5121" max="5121" width="14.7109375" style="223" customWidth="1"/>
    <col min="5122" max="5133" width="10.85546875" style="223" customWidth="1"/>
    <col min="5134" max="5134" width="9.28515625" style="223" customWidth="1"/>
    <col min="5135" max="5376" width="9.140625" style="223"/>
    <col min="5377" max="5377" width="14.7109375" style="223" customWidth="1"/>
    <col min="5378" max="5389" width="10.85546875" style="223" customWidth="1"/>
    <col min="5390" max="5390" width="9.28515625" style="223" customWidth="1"/>
    <col min="5391" max="5632" width="9.140625" style="223"/>
    <col min="5633" max="5633" width="14.7109375" style="223" customWidth="1"/>
    <col min="5634" max="5645" width="10.85546875" style="223" customWidth="1"/>
    <col min="5646" max="5646" width="9.28515625" style="223" customWidth="1"/>
    <col min="5647" max="5888" width="9.140625" style="223"/>
    <col min="5889" max="5889" width="14.7109375" style="223" customWidth="1"/>
    <col min="5890" max="5901" width="10.85546875" style="223" customWidth="1"/>
    <col min="5902" max="5902" width="9.28515625" style="223" customWidth="1"/>
    <col min="5903" max="6144" width="9.140625" style="223"/>
    <col min="6145" max="6145" width="14.7109375" style="223" customWidth="1"/>
    <col min="6146" max="6157" width="10.85546875" style="223" customWidth="1"/>
    <col min="6158" max="6158" width="9.28515625" style="223" customWidth="1"/>
    <col min="6159" max="6400" width="9.140625" style="223"/>
    <col min="6401" max="6401" width="14.7109375" style="223" customWidth="1"/>
    <col min="6402" max="6413" width="10.85546875" style="223" customWidth="1"/>
    <col min="6414" max="6414" width="9.28515625" style="223" customWidth="1"/>
    <col min="6415" max="6656" width="9.140625" style="223"/>
    <col min="6657" max="6657" width="14.7109375" style="223" customWidth="1"/>
    <col min="6658" max="6669" width="10.85546875" style="223" customWidth="1"/>
    <col min="6670" max="6670" width="9.28515625" style="223" customWidth="1"/>
    <col min="6671" max="6912" width="9.140625" style="223"/>
    <col min="6913" max="6913" width="14.7109375" style="223" customWidth="1"/>
    <col min="6914" max="6925" width="10.85546875" style="223" customWidth="1"/>
    <col min="6926" max="6926" width="9.28515625" style="223" customWidth="1"/>
    <col min="6927" max="7168" width="9.140625" style="223"/>
    <col min="7169" max="7169" width="14.7109375" style="223" customWidth="1"/>
    <col min="7170" max="7181" width="10.85546875" style="223" customWidth="1"/>
    <col min="7182" max="7182" width="9.28515625" style="223" customWidth="1"/>
    <col min="7183" max="7424" width="9.140625" style="223"/>
    <col min="7425" max="7425" width="14.7109375" style="223" customWidth="1"/>
    <col min="7426" max="7437" width="10.85546875" style="223" customWidth="1"/>
    <col min="7438" max="7438" width="9.28515625" style="223" customWidth="1"/>
    <col min="7439" max="7680" width="9.140625" style="223"/>
    <col min="7681" max="7681" width="14.7109375" style="223" customWidth="1"/>
    <col min="7682" max="7693" width="10.85546875" style="223" customWidth="1"/>
    <col min="7694" max="7694" width="9.28515625" style="223" customWidth="1"/>
    <col min="7695" max="7936" width="9.140625" style="223"/>
    <col min="7937" max="7937" width="14.7109375" style="223" customWidth="1"/>
    <col min="7938" max="7949" width="10.85546875" style="223" customWidth="1"/>
    <col min="7950" max="7950" width="9.28515625" style="223" customWidth="1"/>
    <col min="7951" max="8192" width="9.140625" style="223"/>
    <col min="8193" max="8193" width="14.7109375" style="223" customWidth="1"/>
    <col min="8194" max="8205" width="10.85546875" style="223" customWidth="1"/>
    <col min="8206" max="8206" width="9.28515625" style="223" customWidth="1"/>
    <col min="8207" max="8448" width="9.140625" style="223"/>
    <col min="8449" max="8449" width="14.7109375" style="223" customWidth="1"/>
    <col min="8450" max="8461" width="10.85546875" style="223" customWidth="1"/>
    <col min="8462" max="8462" width="9.28515625" style="223" customWidth="1"/>
    <col min="8463" max="8704" width="9.140625" style="223"/>
    <col min="8705" max="8705" width="14.7109375" style="223" customWidth="1"/>
    <col min="8706" max="8717" width="10.85546875" style="223" customWidth="1"/>
    <col min="8718" max="8718" width="9.28515625" style="223" customWidth="1"/>
    <col min="8719" max="8960" width="9.140625" style="223"/>
    <col min="8961" max="8961" width="14.7109375" style="223" customWidth="1"/>
    <col min="8962" max="8973" width="10.85546875" style="223" customWidth="1"/>
    <col min="8974" max="8974" width="9.28515625" style="223" customWidth="1"/>
    <col min="8975" max="9216" width="9.140625" style="223"/>
    <col min="9217" max="9217" width="14.7109375" style="223" customWidth="1"/>
    <col min="9218" max="9229" width="10.85546875" style="223" customWidth="1"/>
    <col min="9230" max="9230" width="9.28515625" style="223" customWidth="1"/>
    <col min="9231" max="9472" width="9.140625" style="223"/>
    <col min="9473" max="9473" width="14.7109375" style="223" customWidth="1"/>
    <col min="9474" max="9485" width="10.85546875" style="223" customWidth="1"/>
    <col min="9486" max="9486" width="9.28515625" style="223" customWidth="1"/>
    <col min="9487" max="9728" width="9.140625" style="223"/>
    <col min="9729" max="9729" width="14.7109375" style="223" customWidth="1"/>
    <col min="9730" max="9741" width="10.85546875" style="223" customWidth="1"/>
    <col min="9742" max="9742" width="9.28515625" style="223" customWidth="1"/>
    <col min="9743" max="9984" width="9.140625" style="223"/>
    <col min="9985" max="9985" width="14.7109375" style="223" customWidth="1"/>
    <col min="9986" max="9997" width="10.85546875" style="223" customWidth="1"/>
    <col min="9998" max="9998" width="9.28515625" style="223" customWidth="1"/>
    <col min="9999" max="10240" width="9.140625" style="223"/>
    <col min="10241" max="10241" width="14.7109375" style="223" customWidth="1"/>
    <col min="10242" max="10253" width="10.85546875" style="223" customWidth="1"/>
    <col min="10254" max="10254" width="9.28515625" style="223" customWidth="1"/>
    <col min="10255" max="10496" width="9.140625" style="223"/>
    <col min="10497" max="10497" width="14.7109375" style="223" customWidth="1"/>
    <col min="10498" max="10509" width="10.85546875" style="223" customWidth="1"/>
    <col min="10510" max="10510" width="9.28515625" style="223" customWidth="1"/>
    <col min="10511" max="10752" width="9.140625" style="223"/>
    <col min="10753" max="10753" width="14.7109375" style="223" customWidth="1"/>
    <col min="10754" max="10765" width="10.85546875" style="223" customWidth="1"/>
    <col min="10766" max="10766" width="9.28515625" style="223" customWidth="1"/>
    <col min="10767" max="11008" width="9.140625" style="223"/>
    <col min="11009" max="11009" width="14.7109375" style="223" customWidth="1"/>
    <col min="11010" max="11021" width="10.85546875" style="223" customWidth="1"/>
    <col min="11022" max="11022" width="9.28515625" style="223" customWidth="1"/>
    <col min="11023" max="11264" width="9.140625" style="223"/>
    <col min="11265" max="11265" width="14.7109375" style="223" customWidth="1"/>
    <col min="11266" max="11277" width="10.85546875" style="223" customWidth="1"/>
    <col min="11278" max="11278" width="9.28515625" style="223" customWidth="1"/>
    <col min="11279" max="11520" width="9.140625" style="223"/>
    <col min="11521" max="11521" width="14.7109375" style="223" customWidth="1"/>
    <col min="11522" max="11533" width="10.85546875" style="223" customWidth="1"/>
    <col min="11534" max="11534" width="9.28515625" style="223" customWidth="1"/>
    <col min="11535" max="11776" width="9.140625" style="223"/>
    <col min="11777" max="11777" width="14.7109375" style="223" customWidth="1"/>
    <col min="11778" max="11789" width="10.85546875" style="223" customWidth="1"/>
    <col min="11790" max="11790" width="9.28515625" style="223" customWidth="1"/>
    <col min="11791" max="12032" width="9.140625" style="223"/>
    <col min="12033" max="12033" width="14.7109375" style="223" customWidth="1"/>
    <col min="12034" max="12045" width="10.85546875" style="223" customWidth="1"/>
    <col min="12046" max="12046" width="9.28515625" style="223" customWidth="1"/>
    <col min="12047" max="12288" width="9.140625" style="223"/>
    <col min="12289" max="12289" width="14.7109375" style="223" customWidth="1"/>
    <col min="12290" max="12301" width="10.85546875" style="223" customWidth="1"/>
    <col min="12302" max="12302" width="9.28515625" style="223" customWidth="1"/>
    <col min="12303" max="12544" width="9.140625" style="223"/>
    <col min="12545" max="12545" width="14.7109375" style="223" customWidth="1"/>
    <col min="12546" max="12557" width="10.85546875" style="223" customWidth="1"/>
    <col min="12558" max="12558" width="9.28515625" style="223" customWidth="1"/>
    <col min="12559" max="12800" width="9.140625" style="223"/>
    <col min="12801" max="12801" width="14.7109375" style="223" customWidth="1"/>
    <col min="12802" max="12813" width="10.85546875" style="223" customWidth="1"/>
    <col min="12814" max="12814" width="9.28515625" style="223" customWidth="1"/>
    <col min="12815" max="13056" width="9.140625" style="223"/>
    <col min="13057" max="13057" width="14.7109375" style="223" customWidth="1"/>
    <col min="13058" max="13069" width="10.85546875" style="223" customWidth="1"/>
    <col min="13070" max="13070" width="9.28515625" style="223" customWidth="1"/>
    <col min="13071" max="13312" width="9.140625" style="223"/>
    <col min="13313" max="13313" width="14.7109375" style="223" customWidth="1"/>
    <col min="13314" max="13325" width="10.85546875" style="223" customWidth="1"/>
    <col min="13326" max="13326" width="9.28515625" style="223" customWidth="1"/>
    <col min="13327" max="13568" width="9.140625" style="223"/>
    <col min="13569" max="13569" width="14.7109375" style="223" customWidth="1"/>
    <col min="13570" max="13581" width="10.85546875" style="223" customWidth="1"/>
    <col min="13582" max="13582" width="9.28515625" style="223" customWidth="1"/>
    <col min="13583" max="13824" width="9.140625" style="223"/>
    <col min="13825" max="13825" width="14.7109375" style="223" customWidth="1"/>
    <col min="13826" max="13837" width="10.85546875" style="223" customWidth="1"/>
    <col min="13838" max="13838" width="9.28515625" style="223" customWidth="1"/>
    <col min="13839" max="14080" width="9.140625" style="223"/>
    <col min="14081" max="14081" width="14.7109375" style="223" customWidth="1"/>
    <col min="14082" max="14093" width="10.85546875" style="223" customWidth="1"/>
    <col min="14094" max="14094" width="9.28515625" style="223" customWidth="1"/>
    <col min="14095" max="14336" width="9.140625" style="223"/>
    <col min="14337" max="14337" width="14.7109375" style="223" customWidth="1"/>
    <col min="14338" max="14349" width="10.85546875" style="223" customWidth="1"/>
    <col min="14350" max="14350" width="9.28515625" style="223" customWidth="1"/>
    <col min="14351" max="14592" width="9.140625" style="223"/>
    <col min="14593" max="14593" width="14.7109375" style="223" customWidth="1"/>
    <col min="14594" max="14605" width="10.85546875" style="223" customWidth="1"/>
    <col min="14606" max="14606" width="9.28515625" style="223" customWidth="1"/>
    <col min="14607" max="14848" width="9.140625" style="223"/>
    <col min="14849" max="14849" width="14.7109375" style="223" customWidth="1"/>
    <col min="14850" max="14861" width="10.85546875" style="223" customWidth="1"/>
    <col min="14862" max="14862" width="9.28515625" style="223" customWidth="1"/>
    <col min="14863" max="15104" width="9.140625" style="223"/>
    <col min="15105" max="15105" width="14.7109375" style="223" customWidth="1"/>
    <col min="15106" max="15117" width="10.85546875" style="223" customWidth="1"/>
    <col min="15118" max="15118" width="9.28515625" style="223" customWidth="1"/>
    <col min="15119" max="15360" width="9.140625" style="223"/>
    <col min="15361" max="15361" width="14.7109375" style="223" customWidth="1"/>
    <col min="15362" max="15373" width="10.85546875" style="223" customWidth="1"/>
    <col min="15374" max="15374" width="9.28515625" style="223" customWidth="1"/>
    <col min="15375" max="15616" width="9.140625" style="223"/>
    <col min="15617" max="15617" width="14.7109375" style="223" customWidth="1"/>
    <col min="15618" max="15629" width="10.85546875" style="223" customWidth="1"/>
    <col min="15630" max="15630" width="9.28515625" style="223" customWidth="1"/>
    <col min="15631" max="15872" width="9.140625" style="223"/>
    <col min="15873" max="15873" width="14.7109375" style="223" customWidth="1"/>
    <col min="15874" max="15885" width="10.85546875" style="223" customWidth="1"/>
    <col min="15886" max="15886" width="9.28515625" style="223" customWidth="1"/>
    <col min="15887" max="16128" width="9.140625" style="223"/>
    <col min="16129" max="16129" width="14.7109375" style="223" customWidth="1"/>
    <col min="16130" max="16141" width="10.85546875" style="223" customWidth="1"/>
    <col min="16142" max="16142" width="9.28515625" style="223" customWidth="1"/>
    <col min="16143" max="16384" width="9.140625" style="223"/>
  </cols>
  <sheetData>
    <row r="1" spans="1:14" x14ac:dyDescent="0.25">
      <c r="A1" s="230" t="s">
        <v>321</v>
      </c>
      <c r="B1" s="231"/>
      <c r="C1" s="231"/>
      <c r="D1" s="231"/>
      <c r="E1" s="231"/>
      <c r="F1" s="231"/>
      <c r="G1" s="231"/>
      <c r="H1" s="231"/>
      <c r="I1" s="231"/>
      <c r="J1" s="231"/>
      <c r="K1" s="231"/>
      <c r="L1" s="231"/>
      <c r="M1" s="231"/>
      <c r="N1" s="231"/>
    </row>
    <row r="2" spans="1:14" x14ac:dyDescent="0.25">
      <c r="A2" s="230" t="s">
        <v>322</v>
      </c>
      <c r="B2" s="231"/>
      <c r="C2" s="231"/>
      <c r="D2" s="231"/>
      <c r="E2" s="231"/>
      <c r="F2" s="231"/>
      <c r="G2" s="231"/>
      <c r="H2" s="231"/>
      <c r="I2" s="231"/>
      <c r="J2" s="231"/>
      <c r="K2" s="231"/>
      <c r="L2" s="231"/>
      <c r="M2" s="231"/>
      <c r="N2" s="231"/>
    </row>
    <row r="3" spans="1:14" x14ac:dyDescent="0.25">
      <c r="A3" s="224" t="s">
        <v>0</v>
      </c>
      <c r="B3" s="224" t="s">
        <v>1</v>
      </c>
      <c r="C3" s="224" t="s">
        <v>2</v>
      </c>
      <c r="D3" s="224" t="s">
        <v>3</v>
      </c>
      <c r="E3" s="224" t="s">
        <v>4</v>
      </c>
      <c r="F3" s="224" t="s">
        <v>5</v>
      </c>
      <c r="G3" s="224" t="s">
        <v>6</v>
      </c>
      <c r="H3" s="224" t="s">
        <v>7</v>
      </c>
      <c r="I3" s="224" t="s">
        <v>8</v>
      </c>
      <c r="J3" s="224" t="s">
        <v>9</v>
      </c>
      <c r="K3" s="224" t="s">
        <v>10</v>
      </c>
      <c r="L3" s="224" t="s">
        <v>11</v>
      </c>
      <c r="M3" s="224" t="s">
        <v>12</v>
      </c>
      <c r="N3" s="224" t="s">
        <v>13</v>
      </c>
    </row>
    <row r="4" spans="1:14" x14ac:dyDescent="0.25">
      <c r="A4" s="224" t="s">
        <v>14</v>
      </c>
      <c r="B4" s="29">
        <v>717155</v>
      </c>
      <c r="C4" s="29">
        <v>1202738</v>
      </c>
      <c r="D4" s="29">
        <v>251788</v>
      </c>
      <c r="E4" s="29">
        <v>405262</v>
      </c>
      <c r="F4" s="29">
        <v>588497</v>
      </c>
      <c r="G4" s="29">
        <v>1233761</v>
      </c>
      <c r="H4" s="29">
        <v>1401642</v>
      </c>
      <c r="I4" s="29">
        <v>3570</v>
      </c>
      <c r="J4" s="29">
        <v>209321</v>
      </c>
      <c r="K4" s="29">
        <v>425368</v>
      </c>
      <c r="L4" s="29">
        <v>0</v>
      </c>
      <c r="M4" s="28" t="s">
        <v>15</v>
      </c>
      <c r="N4" s="29">
        <v>6439102</v>
      </c>
    </row>
    <row r="5" spans="1:14" x14ac:dyDescent="0.25">
      <c r="A5" s="224" t="s">
        <v>16</v>
      </c>
      <c r="B5" s="29">
        <v>121689</v>
      </c>
      <c r="C5" s="29">
        <v>191643</v>
      </c>
      <c r="D5" s="29">
        <v>42239</v>
      </c>
      <c r="E5" s="29">
        <v>68313</v>
      </c>
      <c r="F5" s="29">
        <v>99288</v>
      </c>
      <c r="G5" s="29">
        <v>255917</v>
      </c>
      <c r="H5" s="29">
        <v>252225</v>
      </c>
      <c r="I5" s="29">
        <v>607</v>
      </c>
      <c r="J5" s="29">
        <v>35427</v>
      </c>
      <c r="K5" s="29">
        <v>71533</v>
      </c>
      <c r="L5" s="28" t="s">
        <v>15</v>
      </c>
      <c r="M5" s="28" t="s">
        <v>15</v>
      </c>
      <c r="N5" s="29">
        <v>1138880</v>
      </c>
    </row>
    <row r="6" spans="1:14" x14ac:dyDescent="0.25">
      <c r="A6" s="224" t="s">
        <v>17</v>
      </c>
      <c r="B6" s="29">
        <v>422</v>
      </c>
      <c r="C6" s="29">
        <v>877</v>
      </c>
      <c r="D6" s="29">
        <v>52</v>
      </c>
      <c r="E6" s="29">
        <v>169</v>
      </c>
      <c r="F6" s="29">
        <v>177</v>
      </c>
      <c r="G6" s="29">
        <v>326</v>
      </c>
      <c r="H6" s="29">
        <v>124</v>
      </c>
      <c r="I6" s="28" t="s">
        <v>15</v>
      </c>
      <c r="J6" s="29">
        <v>11</v>
      </c>
      <c r="K6" s="29">
        <v>129</v>
      </c>
      <c r="L6" s="28" t="s">
        <v>15</v>
      </c>
      <c r="M6" s="28" t="s">
        <v>15</v>
      </c>
      <c r="N6" s="29">
        <v>2285</v>
      </c>
    </row>
    <row r="7" spans="1:14" x14ac:dyDescent="0.25">
      <c r="A7" s="224" t="s">
        <v>18</v>
      </c>
      <c r="B7" s="29">
        <v>73089</v>
      </c>
      <c r="C7" s="29">
        <v>87575</v>
      </c>
      <c r="D7" s="29">
        <v>29130</v>
      </c>
      <c r="E7" s="29">
        <v>45016</v>
      </c>
      <c r="F7" s="29">
        <v>47421</v>
      </c>
      <c r="G7" s="29">
        <v>188186</v>
      </c>
      <c r="H7" s="29">
        <v>158749</v>
      </c>
      <c r="I7" s="29">
        <v>387</v>
      </c>
      <c r="J7" s="29">
        <v>17606</v>
      </c>
      <c r="K7" s="29">
        <v>38267</v>
      </c>
      <c r="L7" s="28" t="s">
        <v>15</v>
      </c>
      <c r="M7" s="28" t="s">
        <v>15</v>
      </c>
      <c r="N7" s="29">
        <v>685427</v>
      </c>
    </row>
    <row r="8" spans="1:14" x14ac:dyDescent="0.25">
      <c r="A8" s="224" t="s">
        <v>19</v>
      </c>
      <c r="B8" s="29">
        <v>28947</v>
      </c>
      <c r="C8" s="29">
        <v>65215</v>
      </c>
      <c r="D8" s="29">
        <v>18533</v>
      </c>
      <c r="E8" s="29">
        <v>23257</v>
      </c>
      <c r="F8" s="29">
        <v>32746</v>
      </c>
      <c r="G8" s="29">
        <v>64357</v>
      </c>
      <c r="H8" s="29">
        <v>77321</v>
      </c>
      <c r="I8" s="29">
        <v>161</v>
      </c>
      <c r="J8" s="29">
        <v>12269</v>
      </c>
      <c r="K8" s="29">
        <v>23046</v>
      </c>
      <c r="L8" s="28" t="s">
        <v>15</v>
      </c>
      <c r="M8" s="28" t="s">
        <v>15</v>
      </c>
      <c r="N8" s="29">
        <v>345851</v>
      </c>
    </row>
    <row r="9" spans="1:14" x14ac:dyDescent="0.25">
      <c r="A9" s="224" t="s">
        <v>20</v>
      </c>
      <c r="B9" s="28" t="s">
        <v>15</v>
      </c>
      <c r="C9" s="28" t="s">
        <v>15</v>
      </c>
      <c r="D9" s="28" t="s">
        <v>15</v>
      </c>
      <c r="E9" s="28" t="s">
        <v>15</v>
      </c>
      <c r="F9" s="28" t="s">
        <v>15</v>
      </c>
      <c r="G9" s="28" t="s">
        <v>15</v>
      </c>
      <c r="H9" s="28" t="s">
        <v>15</v>
      </c>
      <c r="I9" s="28" t="s">
        <v>15</v>
      </c>
      <c r="J9" s="28" t="s">
        <v>15</v>
      </c>
      <c r="K9" s="28" t="s">
        <v>15</v>
      </c>
      <c r="L9" s="29">
        <v>846915</v>
      </c>
      <c r="M9" s="28" t="s">
        <v>15</v>
      </c>
      <c r="N9" s="29">
        <v>846915</v>
      </c>
    </row>
    <row r="10" spans="1:14" x14ac:dyDescent="0.25">
      <c r="A10" s="224"/>
      <c r="B10" s="28"/>
      <c r="C10" s="28"/>
      <c r="D10" s="28"/>
      <c r="E10" s="28"/>
      <c r="F10" s="28"/>
      <c r="G10" s="28"/>
      <c r="H10" s="28"/>
      <c r="I10" s="28"/>
      <c r="J10" s="28"/>
      <c r="K10" s="28"/>
      <c r="L10" s="28"/>
      <c r="M10" s="28"/>
      <c r="N10" s="28"/>
    </row>
    <row r="11" spans="1:14" x14ac:dyDescent="0.25">
      <c r="A11" s="224" t="s">
        <v>21</v>
      </c>
      <c r="B11" s="29">
        <v>774</v>
      </c>
      <c r="C11" s="28" t="s">
        <v>15</v>
      </c>
      <c r="D11" s="28" t="s">
        <v>15</v>
      </c>
      <c r="E11" s="28" t="s">
        <v>15</v>
      </c>
      <c r="F11" s="29">
        <v>603</v>
      </c>
      <c r="G11" s="29">
        <v>374122</v>
      </c>
      <c r="H11" s="29">
        <v>158534</v>
      </c>
      <c r="I11" s="29">
        <v>102</v>
      </c>
      <c r="J11" s="28" t="s">
        <v>15</v>
      </c>
      <c r="K11" s="29">
        <v>20</v>
      </c>
      <c r="L11" s="28" t="s">
        <v>15</v>
      </c>
      <c r="M11" s="28" t="s">
        <v>15</v>
      </c>
      <c r="N11" s="29">
        <v>534154</v>
      </c>
    </row>
    <row r="12" spans="1:14" x14ac:dyDescent="0.25">
      <c r="A12" s="224" t="s">
        <v>22</v>
      </c>
      <c r="B12" s="28" t="s">
        <v>15</v>
      </c>
      <c r="C12" s="28" t="s">
        <v>15</v>
      </c>
      <c r="D12" s="29">
        <v>367</v>
      </c>
      <c r="E12" s="29">
        <v>85</v>
      </c>
      <c r="F12" s="29">
        <v>159</v>
      </c>
      <c r="G12" s="29">
        <v>930</v>
      </c>
      <c r="H12" s="29">
        <v>1793</v>
      </c>
      <c r="I12" s="28" t="s">
        <v>15</v>
      </c>
      <c r="J12" s="29">
        <v>952</v>
      </c>
      <c r="K12" s="28" t="s">
        <v>15</v>
      </c>
      <c r="L12" s="28" t="s">
        <v>15</v>
      </c>
      <c r="M12" s="28" t="s">
        <v>15</v>
      </c>
      <c r="N12" s="29">
        <v>4285</v>
      </c>
    </row>
    <row r="13" spans="1:14" x14ac:dyDescent="0.25">
      <c r="A13" s="224" t="s">
        <v>23</v>
      </c>
      <c r="B13" s="29">
        <v>498</v>
      </c>
      <c r="C13" s="29">
        <v>18683</v>
      </c>
      <c r="D13" s="29">
        <v>1683</v>
      </c>
      <c r="E13" s="29">
        <v>6979</v>
      </c>
      <c r="F13" s="29">
        <v>6575</v>
      </c>
      <c r="G13" s="29">
        <v>21047</v>
      </c>
      <c r="H13" s="29">
        <v>38972</v>
      </c>
      <c r="I13" s="29">
        <v>81</v>
      </c>
      <c r="J13" s="29">
        <v>491</v>
      </c>
      <c r="K13" s="29">
        <v>123</v>
      </c>
      <c r="L13" s="28" t="s">
        <v>15</v>
      </c>
      <c r="M13" s="28" t="s">
        <v>15</v>
      </c>
      <c r="N13" s="29">
        <v>95133</v>
      </c>
    </row>
    <row r="14" spans="1:14" x14ac:dyDescent="0.25">
      <c r="A14" s="224" t="s">
        <v>24</v>
      </c>
      <c r="B14" s="29">
        <v>1183</v>
      </c>
      <c r="C14" s="29">
        <v>120403</v>
      </c>
      <c r="D14" s="29">
        <v>1188</v>
      </c>
      <c r="E14" s="29">
        <v>4436</v>
      </c>
      <c r="F14" s="29">
        <v>6269</v>
      </c>
      <c r="G14" s="29">
        <v>69332</v>
      </c>
      <c r="H14" s="29">
        <v>42177</v>
      </c>
      <c r="I14" s="29">
        <v>42</v>
      </c>
      <c r="J14" s="29">
        <v>16899</v>
      </c>
      <c r="K14" s="29">
        <v>32258</v>
      </c>
      <c r="L14" s="28" t="s">
        <v>15</v>
      </c>
      <c r="M14" s="28" t="s">
        <v>15</v>
      </c>
      <c r="N14" s="29">
        <v>294187</v>
      </c>
    </row>
    <row r="15" spans="1:14" x14ac:dyDescent="0.25">
      <c r="A15" s="224" t="s">
        <v>25</v>
      </c>
      <c r="B15" s="29">
        <v>962</v>
      </c>
      <c r="C15" s="29">
        <v>33</v>
      </c>
      <c r="D15" s="29">
        <v>17</v>
      </c>
      <c r="E15" s="29">
        <v>48</v>
      </c>
      <c r="F15" s="29">
        <v>28</v>
      </c>
      <c r="G15" s="29">
        <v>48</v>
      </c>
      <c r="H15" s="29">
        <v>113</v>
      </c>
      <c r="I15" s="28" t="s">
        <v>15</v>
      </c>
      <c r="J15" s="29">
        <v>2386</v>
      </c>
      <c r="K15" s="29">
        <v>101</v>
      </c>
      <c r="L15" s="28" t="s">
        <v>15</v>
      </c>
      <c r="M15" s="28" t="s">
        <v>15</v>
      </c>
      <c r="N15" s="29">
        <v>3736</v>
      </c>
    </row>
    <row r="16" spans="1:14" x14ac:dyDescent="0.25">
      <c r="A16" s="224" t="s">
        <v>26</v>
      </c>
      <c r="B16" s="29">
        <v>3773</v>
      </c>
      <c r="C16" s="29">
        <v>1256</v>
      </c>
      <c r="D16" s="29">
        <v>289</v>
      </c>
      <c r="E16" s="29">
        <v>776</v>
      </c>
      <c r="F16" s="29">
        <v>1024</v>
      </c>
      <c r="G16" s="29">
        <v>1510</v>
      </c>
      <c r="H16" s="29">
        <v>3333</v>
      </c>
      <c r="I16" s="28" t="s">
        <v>15</v>
      </c>
      <c r="J16" s="29">
        <v>142</v>
      </c>
      <c r="K16" s="29">
        <v>1685</v>
      </c>
      <c r="L16" s="28" t="s">
        <v>15</v>
      </c>
      <c r="M16" s="28" t="s">
        <v>15</v>
      </c>
      <c r="N16" s="29">
        <v>13787</v>
      </c>
    </row>
    <row r="17" spans="1:14" x14ac:dyDescent="0.25">
      <c r="A17" s="224" t="s">
        <v>27</v>
      </c>
      <c r="B17" s="29">
        <v>21022</v>
      </c>
      <c r="C17" s="29">
        <v>97231</v>
      </c>
      <c r="D17" s="29">
        <v>2635</v>
      </c>
      <c r="E17" s="29">
        <v>8862</v>
      </c>
      <c r="F17" s="29">
        <v>62765</v>
      </c>
      <c r="G17" s="29">
        <v>4796</v>
      </c>
      <c r="H17" s="29">
        <v>67872</v>
      </c>
      <c r="I17" s="29">
        <v>17</v>
      </c>
      <c r="J17" s="29">
        <v>3142</v>
      </c>
      <c r="K17" s="29">
        <v>69755</v>
      </c>
      <c r="L17" s="28" t="s">
        <v>15</v>
      </c>
      <c r="M17" s="28" t="s">
        <v>15</v>
      </c>
      <c r="N17" s="29">
        <v>338097</v>
      </c>
    </row>
    <row r="18" spans="1:14" x14ac:dyDescent="0.25">
      <c r="A18" s="224"/>
      <c r="B18" s="28"/>
      <c r="C18" s="28"/>
      <c r="D18" s="28"/>
      <c r="E18" s="28"/>
      <c r="F18" s="28"/>
      <c r="G18" s="28"/>
      <c r="H18" s="28"/>
      <c r="I18" s="28"/>
      <c r="J18" s="28"/>
      <c r="K18" s="28"/>
      <c r="L18" s="28"/>
      <c r="M18" s="28"/>
      <c r="N18" s="28"/>
    </row>
    <row r="19" spans="1:14" x14ac:dyDescent="0.25">
      <c r="A19" s="224" t="s">
        <v>28</v>
      </c>
      <c r="B19" s="29">
        <v>2518</v>
      </c>
      <c r="C19" s="29">
        <v>656</v>
      </c>
      <c r="D19" s="29">
        <v>220</v>
      </c>
      <c r="E19" s="29">
        <v>64</v>
      </c>
      <c r="F19" s="29">
        <v>655</v>
      </c>
      <c r="G19" s="29">
        <v>806</v>
      </c>
      <c r="H19" s="29">
        <v>2696</v>
      </c>
      <c r="I19" s="28" t="s">
        <v>15</v>
      </c>
      <c r="J19" s="29">
        <v>438</v>
      </c>
      <c r="K19" s="29">
        <v>1101</v>
      </c>
      <c r="L19" s="28" t="s">
        <v>15</v>
      </c>
      <c r="M19" s="28" t="s">
        <v>15</v>
      </c>
      <c r="N19" s="29">
        <v>9154</v>
      </c>
    </row>
    <row r="20" spans="1:14" x14ac:dyDescent="0.25">
      <c r="A20" s="224" t="s">
        <v>29</v>
      </c>
      <c r="B20" s="29">
        <v>1565</v>
      </c>
      <c r="C20" s="29">
        <v>224</v>
      </c>
      <c r="D20" s="29">
        <v>135</v>
      </c>
      <c r="E20" s="29">
        <v>16</v>
      </c>
      <c r="F20" s="29">
        <v>3903</v>
      </c>
      <c r="G20" s="29">
        <v>548</v>
      </c>
      <c r="H20" s="29">
        <v>658</v>
      </c>
      <c r="I20" s="29">
        <v>1</v>
      </c>
      <c r="J20" s="29">
        <v>65</v>
      </c>
      <c r="K20" s="29">
        <v>132</v>
      </c>
      <c r="L20" s="28" t="s">
        <v>15</v>
      </c>
      <c r="M20" s="28" t="s">
        <v>15</v>
      </c>
      <c r="N20" s="29">
        <v>7246</v>
      </c>
    </row>
    <row r="21" spans="1:14" x14ac:dyDescent="0.25">
      <c r="A21" s="224" t="s">
        <v>30</v>
      </c>
      <c r="B21" s="29">
        <v>2604</v>
      </c>
      <c r="C21" s="29">
        <v>1472</v>
      </c>
      <c r="D21" s="29">
        <v>297</v>
      </c>
      <c r="E21" s="29">
        <v>624</v>
      </c>
      <c r="F21" s="29">
        <v>1385</v>
      </c>
      <c r="G21" s="29">
        <v>2245</v>
      </c>
      <c r="H21" s="29">
        <v>1652</v>
      </c>
      <c r="I21" s="28" t="s">
        <v>15</v>
      </c>
      <c r="J21" s="29">
        <v>428</v>
      </c>
      <c r="K21" s="29">
        <v>608</v>
      </c>
      <c r="L21" s="28" t="s">
        <v>15</v>
      </c>
      <c r="M21" s="28" t="s">
        <v>15</v>
      </c>
      <c r="N21" s="29">
        <v>11316</v>
      </c>
    </row>
    <row r="22" spans="1:14" x14ac:dyDescent="0.25">
      <c r="A22" s="224" t="s">
        <v>31</v>
      </c>
      <c r="B22" s="29">
        <v>34072</v>
      </c>
      <c r="C22" s="29">
        <v>14929</v>
      </c>
      <c r="D22" s="28" t="s">
        <v>15</v>
      </c>
      <c r="E22" s="28" t="s">
        <v>15</v>
      </c>
      <c r="F22" s="29">
        <v>1444</v>
      </c>
      <c r="G22" s="29">
        <v>3118</v>
      </c>
      <c r="H22" s="29">
        <v>4828</v>
      </c>
      <c r="I22" s="28" t="s">
        <v>15</v>
      </c>
      <c r="J22" s="29">
        <v>1458</v>
      </c>
      <c r="K22" s="29">
        <v>193</v>
      </c>
      <c r="L22" s="28" t="s">
        <v>15</v>
      </c>
      <c r="M22" s="28" t="s">
        <v>15</v>
      </c>
      <c r="N22" s="29">
        <v>60042</v>
      </c>
    </row>
    <row r="23" spans="1:14" x14ac:dyDescent="0.25">
      <c r="A23" s="224"/>
      <c r="B23" s="28"/>
      <c r="C23" s="28"/>
      <c r="D23" s="28"/>
      <c r="E23" s="28"/>
      <c r="F23" s="28"/>
      <c r="G23" s="28"/>
      <c r="H23" s="28"/>
      <c r="I23" s="28"/>
      <c r="J23" s="28"/>
      <c r="K23" s="28"/>
      <c r="L23" s="28"/>
      <c r="M23" s="28"/>
      <c r="N23" s="28"/>
    </row>
    <row r="24" spans="1:14" x14ac:dyDescent="0.25">
      <c r="A24" s="224"/>
      <c r="B24" s="28"/>
      <c r="C24" s="28"/>
      <c r="D24" s="28"/>
      <c r="E24" s="28"/>
      <c r="F24" s="28"/>
      <c r="G24" s="28"/>
      <c r="H24" s="28"/>
      <c r="I24" s="28"/>
      <c r="J24" s="28"/>
      <c r="K24" s="28"/>
      <c r="L24" s="28"/>
      <c r="M24" s="28"/>
      <c r="N24" s="28"/>
    </row>
    <row r="25" spans="1:14" x14ac:dyDescent="0.25">
      <c r="A25" s="224" t="s">
        <v>33</v>
      </c>
      <c r="B25" s="29">
        <v>312</v>
      </c>
      <c r="C25" s="29">
        <v>34</v>
      </c>
      <c r="D25" s="29">
        <v>9</v>
      </c>
      <c r="E25" s="28" t="s">
        <v>15</v>
      </c>
      <c r="F25" s="29">
        <v>222</v>
      </c>
      <c r="G25" s="28" t="s">
        <v>15</v>
      </c>
      <c r="H25" s="29">
        <v>3500</v>
      </c>
      <c r="I25" s="28" t="s">
        <v>15</v>
      </c>
      <c r="J25" s="29">
        <v>117</v>
      </c>
      <c r="K25" s="29">
        <v>17</v>
      </c>
      <c r="L25" s="28" t="s">
        <v>15</v>
      </c>
      <c r="M25" s="28" t="s">
        <v>15</v>
      </c>
      <c r="N25" s="29">
        <v>4210</v>
      </c>
    </row>
    <row r="26" spans="1:14" x14ac:dyDescent="0.25">
      <c r="A26" s="224" t="s">
        <v>35</v>
      </c>
      <c r="B26" s="28" t="s">
        <v>15</v>
      </c>
      <c r="C26" s="29">
        <v>0</v>
      </c>
      <c r="D26" s="28" t="s">
        <v>15</v>
      </c>
      <c r="E26" s="28" t="s">
        <v>15</v>
      </c>
      <c r="F26" s="28" t="s">
        <v>15</v>
      </c>
      <c r="G26" s="28" t="s">
        <v>15</v>
      </c>
      <c r="H26" s="28" t="s">
        <v>15</v>
      </c>
      <c r="I26" s="28" t="s">
        <v>15</v>
      </c>
      <c r="J26" s="29">
        <v>387757</v>
      </c>
      <c r="K26" s="28" t="s">
        <v>15</v>
      </c>
      <c r="L26" s="28" t="s">
        <v>15</v>
      </c>
      <c r="M26" s="28" t="s">
        <v>15</v>
      </c>
      <c r="N26" s="29">
        <v>387757</v>
      </c>
    </row>
    <row r="27" spans="1:14" x14ac:dyDescent="0.25">
      <c r="A27" s="224" t="s">
        <v>36</v>
      </c>
      <c r="B27" s="28" t="s">
        <v>15</v>
      </c>
      <c r="C27" s="28" t="s">
        <v>15</v>
      </c>
      <c r="D27" s="28" t="s">
        <v>15</v>
      </c>
      <c r="E27" s="28" t="s">
        <v>15</v>
      </c>
      <c r="F27" s="28" t="s">
        <v>15</v>
      </c>
      <c r="G27" s="28" t="s">
        <v>15</v>
      </c>
      <c r="H27" s="28" t="s">
        <v>15</v>
      </c>
      <c r="I27" s="28" t="s">
        <v>15</v>
      </c>
      <c r="J27" s="29">
        <v>266402</v>
      </c>
      <c r="K27" s="28" t="s">
        <v>15</v>
      </c>
      <c r="L27" s="28" t="s">
        <v>15</v>
      </c>
      <c r="M27" s="28" t="s">
        <v>15</v>
      </c>
      <c r="N27" s="29">
        <v>266402</v>
      </c>
    </row>
    <row r="28" spans="1:14" x14ac:dyDescent="0.25">
      <c r="A28" s="224" t="s">
        <v>37</v>
      </c>
      <c r="B28" s="29">
        <v>3112</v>
      </c>
      <c r="C28" s="29">
        <v>613459</v>
      </c>
      <c r="D28" s="29">
        <v>134791</v>
      </c>
      <c r="E28" s="29">
        <v>78956</v>
      </c>
      <c r="F28" s="29">
        <v>91583</v>
      </c>
      <c r="G28" s="29">
        <v>11250</v>
      </c>
      <c r="H28" s="29">
        <v>7298</v>
      </c>
      <c r="I28" s="29">
        <v>102555</v>
      </c>
      <c r="J28" s="29">
        <v>654</v>
      </c>
      <c r="K28" s="29">
        <v>1590</v>
      </c>
      <c r="L28" s="28" t="s">
        <v>15</v>
      </c>
      <c r="M28" s="28" t="s">
        <v>15</v>
      </c>
      <c r="N28" s="29">
        <v>1045248</v>
      </c>
    </row>
    <row r="29" spans="1:14" x14ac:dyDescent="0.25">
      <c r="A29" s="224" t="s">
        <v>38</v>
      </c>
      <c r="B29" s="29">
        <v>2974</v>
      </c>
      <c r="C29" s="29">
        <v>33035</v>
      </c>
      <c r="D29" s="29">
        <v>8891</v>
      </c>
      <c r="E29" s="29">
        <v>2474</v>
      </c>
      <c r="F29" s="29">
        <v>46111</v>
      </c>
      <c r="G29" s="29">
        <v>4056</v>
      </c>
      <c r="H29" s="29">
        <v>4544</v>
      </c>
      <c r="I29" s="28" t="s">
        <v>15</v>
      </c>
      <c r="J29" s="29">
        <v>71546</v>
      </c>
      <c r="K29" s="29">
        <v>4935</v>
      </c>
      <c r="L29" s="28" t="s">
        <v>15</v>
      </c>
      <c r="M29" s="28" t="s">
        <v>15</v>
      </c>
      <c r="N29" s="29">
        <v>178568</v>
      </c>
    </row>
    <row r="30" spans="1:14" x14ac:dyDescent="0.25">
      <c r="A30" s="224"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24" t="s">
        <v>40</v>
      </c>
      <c r="B31" s="29">
        <v>44</v>
      </c>
      <c r="C31" s="28" t="s">
        <v>15</v>
      </c>
      <c r="D31" s="28" t="s">
        <v>15</v>
      </c>
      <c r="E31" s="29">
        <v>18</v>
      </c>
      <c r="F31" s="28" t="s">
        <v>15</v>
      </c>
      <c r="G31" s="29">
        <v>215850</v>
      </c>
      <c r="H31" s="28" t="s">
        <v>15</v>
      </c>
      <c r="I31" s="29">
        <v>2139167</v>
      </c>
      <c r="J31" s="29">
        <v>21663</v>
      </c>
      <c r="K31" s="29">
        <v>8</v>
      </c>
      <c r="L31" s="28" t="s">
        <v>15</v>
      </c>
      <c r="M31" s="28" t="s">
        <v>15</v>
      </c>
      <c r="N31" s="29">
        <v>2376750</v>
      </c>
    </row>
    <row r="32" spans="1:14" x14ac:dyDescent="0.25">
      <c r="A32" s="224" t="s">
        <v>41</v>
      </c>
      <c r="B32" s="28" t="s">
        <v>15</v>
      </c>
      <c r="C32" s="29">
        <v>44224</v>
      </c>
      <c r="D32" s="29">
        <v>40</v>
      </c>
      <c r="E32" s="28" t="s">
        <v>15</v>
      </c>
      <c r="F32" s="29">
        <v>505</v>
      </c>
      <c r="G32" s="29">
        <v>11892</v>
      </c>
      <c r="H32" s="28" t="s">
        <v>15</v>
      </c>
      <c r="I32" s="28" t="s">
        <v>15</v>
      </c>
      <c r="J32" s="29">
        <v>2</v>
      </c>
      <c r="K32" s="28" t="s">
        <v>15</v>
      </c>
      <c r="L32" s="28" t="s">
        <v>15</v>
      </c>
      <c r="M32" s="28" t="s">
        <v>15</v>
      </c>
      <c r="N32" s="29">
        <v>56662</v>
      </c>
    </row>
    <row r="33" spans="1:14" x14ac:dyDescent="0.25">
      <c r="A33" s="224" t="s">
        <v>43</v>
      </c>
      <c r="B33" s="29">
        <v>15803</v>
      </c>
      <c r="C33" s="29">
        <v>211799</v>
      </c>
      <c r="D33" s="29">
        <v>6988</v>
      </c>
      <c r="E33" s="29">
        <v>27893</v>
      </c>
      <c r="F33" s="29">
        <v>204516</v>
      </c>
      <c r="G33" s="29">
        <v>136579</v>
      </c>
      <c r="H33" s="29">
        <v>78038</v>
      </c>
      <c r="I33" s="28" t="s">
        <v>15</v>
      </c>
      <c r="J33" s="29">
        <v>88946</v>
      </c>
      <c r="K33" s="29">
        <v>26340</v>
      </c>
      <c r="L33" s="28" t="s">
        <v>15</v>
      </c>
      <c r="M33" s="28" t="s">
        <v>15</v>
      </c>
      <c r="N33" s="29">
        <v>796903</v>
      </c>
    </row>
    <row r="34" spans="1:14" x14ac:dyDescent="0.25">
      <c r="A34" s="224" t="s">
        <v>44</v>
      </c>
      <c r="B34" s="28" t="s">
        <v>15</v>
      </c>
      <c r="C34" s="29">
        <v>100915</v>
      </c>
      <c r="D34" s="29">
        <v>17614</v>
      </c>
      <c r="E34" s="29">
        <v>-8909</v>
      </c>
      <c r="F34" s="29">
        <v>11667</v>
      </c>
      <c r="G34" s="29">
        <v>600</v>
      </c>
      <c r="H34" s="29">
        <v>5130525</v>
      </c>
      <c r="I34" s="28" t="s">
        <v>15</v>
      </c>
      <c r="J34" s="28" t="s">
        <v>15</v>
      </c>
      <c r="K34" s="29">
        <v>52410</v>
      </c>
      <c r="L34" s="28" t="s">
        <v>15</v>
      </c>
      <c r="M34" s="28" t="s">
        <v>15</v>
      </c>
      <c r="N34" s="29">
        <v>5304823</v>
      </c>
    </row>
    <row r="35" spans="1:14" x14ac:dyDescent="0.25">
      <c r="A35" s="224" t="s">
        <v>45</v>
      </c>
      <c r="B35" s="28" t="s">
        <v>15</v>
      </c>
      <c r="C35" s="28" t="s">
        <v>15</v>
      </c>
      <c r="D35" s="28" t="s">
        <v>15</v>
      </c>
      <c r="E35" s="29">
        <v>78458</v>
      </c>
      <c r="F35" s="29">
        <v>4605</v>
      </c>
      <c r="G35" s="28" t="s">
        <v>15</v>
      </c>
      <c r="H35" s="28" t="s">
        <v>15</v>
      </c>
      <c r="I35" s="28" t="s">
        <v>15</v>
      </c>
      <c r="J35" s="28" t="s">
        <v>15</v>
      </c>
      <c r="K35" s="28" t="s">
        <v>15</v>
      </c>
      <c r="L35" s="28" t="s">
        <v>15</v>
      </c>
      <c r="M35" s="28" t="s">
        <v>15</v>
      </c>
      <c r="N35" s="29">
        <v>83063</v>
      </c>
    </row>
    <row r="36" spans="1:14" x14ac:dyDescent="0.25">
      <c r="A36" s="224" t="s">
        <v>46</v>
      </c>
      <c r="B36" s="28" t="s">
        <v>15</v>
      </c>
      <c r="C36" s="28" t="s">
        <v>15</v>
      </c>
      <c r="D36" s="28" t="s">
        <v>15</v>
      </c>
      <c r="E36" s="29">
        <v>60886</v>
      </c>
      <c r="F36" s="29">
        <v>14667</v>
      </c>
      <c r="G36" s="28" t="s">
        <v>15</v>
      </c>
      <c r="H36" s="28" t="s">
        <v>15</v>
      </c>
      <c r="I36" s="28" t="s">
        <v>15</v>
      </c>
      <c r="J36" s="28" t="s">
        <v>15</v>
      </c>
      <c r="K36" s="28" t="s">
        <v>15</v>
      </c>
      <c r="L36" s="28" t="s">
        <v>15</v>
      </c>
      <c r="M36" s="28" t="s">
        <v>15</v>
      </c>
      <c r="N36" s="29">
        <v>75553</v>
      </c>
    </row>
    <row r="37" spans="1:14" x14ac:dyDescent="0.25">
      <c r="A37" s="224" t="s">
        <v>47</v>
      </c>
      <c r="B37" s="28" t="s">
        <v>15</v>
      </c>
      <c r="C37" s="28" t="s">
        <v>15</v>
      </c>
      <c r="D37" s="28" t="s">
        <v>15</v>
      </c>
      <c r="E37" s="28" t="s">
        <v>15</v>
      </c>
      <c r="F37" s="28" t="s">
        <v>15</v>
      </c>
      <c r="G37" s="28" t="s">
        <v>15</v>
      </c>
      <c r="H37" s="28" t="s">
        <v>15</v>
      </c>
      <c r="I37" s="29">
        <v>623631</v>
      </c>
      <c r="J37" s="28" t="s">
        <v>15</v>
      </c>
      <c r="K37" s="28" t="s">
        <v>15</v>
      </c>
      <c r="L37" s="28" t="s">
        <v>15</v>
      </c>
      <c r="M37" s="28" t="s">
        <v>15</v>
      </c>
      <c r="N37" s="29">
        <v>623631</v>
      </c>
    </row>
    <row r="38" spans="1:14" x14ac:dyDescent="0.25">
      <c r="A38" s="224"/>
      <c r="B38" s="28"/>
      <c r="C38" s="28"/>
      <c r="D38" s="28"/>
      <c r="E38" s="28"/>
      <c r="F38" s="28"/>
      <c r="G38" s="28"/>
      <c r="H38" s="28"/>
      <c r="I38" s="28"/>
      <c r="J38" s="28"/>
      <c r="K38" s="28"/>
      <c r="L38" s="28"/>
      <c r="M38" s="28"/>
      <c r="N38" s="28"/>
    </row>
    <row r="39" spans="1:14" x14ac:dyDescent="0.25">
      <c r="A39" s="224"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24"/>
      <c r="B40" s="28"/>
      <c r="C40" s="28"/>
      <c r="D40" s="28"/>
      <c r="E40" s="28"/>
      <c r="F40" s="28"/>
      <c r="G40" s="28"/>
      <c r="H40" s="28"/>
      <c r="I40" s="28"/>
      <c r="J40" s="28"/>
      <c r="K40" s="28"/>
      <c r="L40" s="28"/>
      <c r="M40" s="28"/>
      <c r="N40" s="28"/>
    </row>
    <row r="41" spans="1:14" x14ac:dyDescent="0.25">
      <c r="A41" s="224" t="s">
        <v>49</v>
      </c>
      <c r="B41" s="28" t="s">
        <v>15</v>
      </c>
      <c r="C41" s="28" t="s">
        <v>15</v>
      </c>
      <c r="D41" s="28" t="s">
        <v>15</v>
      </c>
      <c r="E41" s="28" t="s">
        <v>15</v>
      </c>
      <c r="F41" s="28" t="s">
        <v>15</v>
      </c>
      <c r="G41" s="28" t="s">
        <v>15</v>
      </c>
      <c r="H41" s="28" t="s">
        <v>15</v>
      </c>
      <c r="I41" s="29">
        <v>262127</v>
      </c>
      <c r="J41" s="28" t="s">
        <v>15</v>
      </c>
      <c r="K41" s="28" t="s">
        <v>15</v>
      </c>
      <c r="L41" s="28" t="s">
        <v>15</v>
      </c>
      <c r="M41" s="28" t="s">
        <v>15</v>
      </c>
      <c r="N41" s="29">
        <v>262127</v>
      </c>
    </row>
    <row r="42" spans="1:14" x14ac:dyDescent="0.25">
      <c r="A42" s="224" t="s">
        <v>50</v>
      </c>
      <c r="B42" s="29">
        <v>2006</v>
      </c>
      <c r="C42" s="29">
        <v>12495</v>
      </c>
      <c r="D42" s="29">
        <v>251</v>
      </c>
      <c r="E42" s="29">
        <v>3406</v>
      </c>
      <c r="F42" s="29">
        <v>7027</v>
      </c>
      <c r="G42" s="29">
        <v>3249</v>
      </c>
      <c r="H42" s="29">
        <v>3281</v>
      </c>
      <c r="I42" s="29">
        <v>0</v>
      </c>
      <c r="J42" s="29">
        <v>1352</v>
      </c>
      <c r="K42" s="29">
        <v>1364</v>
      </c>
      <c r="L42" s="28" t="s">
        <v>15</v>
      </c>
      <c r="M42" s="28" t="s">
        <v>15</v>
      </c>
      <c r="N42" s="29">
        <v>34432</v>
      </c>
    </row>
    <row r="43" spans="1:14" x14ac:dyDescent="0.25">
      <c r="A43" s="224" t="s">
        <v>51</v>
      </c>
      <c r="B43" s="29">
        <v>341</v>
      </c>
      <c r="C43" s="29">
        <v>1061</v>
      </c>
      <c r="D43" s="29">
        <v>23</v>
      </c>
      <c r="E43" s="29">
        <v>318</v>
      </c>
      <c r="F43" s="29">
        <v>699</v>
      </c>
      <c r="G43" s="29">
        <v>407</v>
      </c>
      <c r="H43" s="29">
        <v>440</v>
      </c>
      <c r="I43" s="29">
        <v>0</v>
      </c>
      <c r="J43" s="29">
        <v>137</v>
      </c>
      <c r="K43" s="29">
        <v>221</v>
      </c>
      <c r="L43" s="28" t="s">
        <v>15</v>
      </c>
      <c r="M43" s="28" t="s">
        <v>15</v>
      </c>
      <c r="N43" s="29">
        <v>3647</v>
      </c>
    </row>
    <row r="44" spans="1:14" x14ac:dyDescent="0.25">
      <c r="A44" s="224" t="s">
        <v>52</v>
      </c>
      <c r="B44" s="29">
        <v>612</v>
      </c>
      <c r="C44" s="29">
        <v>821</v>
      </c>
      <c r="D44" s="29">
        <v>2</v>
      </c>
      <c r="E44" s="29">
        <v>341</v>
      </c>
      <c r="F44" s="29">
        <v>467</v>
      </c>
      <c r="G44" s="29">
        <v>725</v>
      </c>
      <c r="H44" s="29">
        <v>1242</v>
      </c>
      <c r="I44" s="28" t="s">
        <v>15</v>
      </c>
      <c r="J44" s="29">
        <v>135</v>
      </c>
      <c r="K44" s="29">
        <v>821</v>
      </c>
      <c r="L44" s="28" t="s">
        <v>15</v>
      </c>
      <c r="M44" s="28" t="s">
        <v>15</v>
      </c>
      <c r="N44" s="29">
        <v>5166</v>
      </c>
    </row>
    <row r="45" spans="1:14" x14ac:dyDescent="0.25">
      <c r="A45" s="224" t="s">
        <v>53</v>
      </c>
      <c r="B45" s="29">
        <v>2935</v>
      </c>
      <c r="C45" s="28" t="s">
        <v>15</v>
      </c>
      <c r="D45" s="28" t="s">
        <v>15</v>
      </c>
      <c r="E45" s="28" t="s">
        <v>15</v>
      </c>
      <c r="F45" s="28" t="s">
        <v>15</v>
      </c>
      <c r="G45" s="28" t="s">
        <v>15</v>
      </c>
      <c r="H45" s="28" t="s">
        <v>15</v>
      </c>
      <c r="I45" s="28" t="s">
        <v>15</v>
      </c>
      <c r="J45" s="29">
        <v>26</v>
      </c>
      <c r="K45" s="28" t="s">
        <v>15</v>
      </c>
      <c r="L45" s="28" t="s">
        <v>15</v>
      </c>
      <c r="M45" s="28" t="s">
        <v>15</v>
      </c>
      <c r="N45" s="29">
        <v>2961</v>
      </c>
    </row>
    <row r="46" spans="1:14" x14ac:dyDescent="0.25">
      <c r="A46" s="224" t="s">
        <v>54</v>
      </c>
      <c r="B46" s="29">
        <v>2058</v>
      </c>
      <c r="C46" s="29">
        <v>62</v>
      </c>
      <c r="D46" s="28" t="s">
        <v>15</v>
      </c>
      <c r="E46" s="28" t="s">
        <v>15</v>
      </c>
      <c r="F46" s="28" t="s">
        <v>15</v>
      </c>
      <c r="G46" s="28" t="s">
        <v>15</v>
      </c>
      <c r="H46" s="29">
        <v>978</v>
      </c>
      <c r="I46" s="28" t="s">
        <v>15</v>
      </c>
      <c r="J46" s="29">
        <v>88</v>
      </c>
      <c r="K46" s="29">
        <v>918</v>
      </c>
      <c r="L46" s="28" t="s">
        <v>15</v>
      </c>
      <c r="M46" s="28" t="s">
        <v>15</v>
      </c>
      <c r="N46" s="29">
        <v>4103</v>
      </c>
    </row>
    <row r="47" spans="1:14" x14ac:dyDescent="0.25">
      <c r="A47" s="224" t="s">
        <v>55</v>
      </c>
      <c r="B47" s="29">
        <v>1907</v>
      </c>
      <c r="C47" s="28" t="s">
        <v>15</v>
      </c>
      <c r="D47" s="29">
        <v>100</v>
      </c>
      <c r="E47" s="29">
        <v>129</v>
      </c>
      <c r="F47" s="28" t="s">
        <v>15</v>
      </c>
      <c r="G47" s="28" t="s">
        <v>15</v>
      </c>
      <c r="H47" s="28" t="s">
        <v>15</v>
      </c>
      <c r="I47" s="28" t="s">
        <v>15</v>
      </c>
      <c r="J47" s="29">
        <v>209</v>
      </c>
      <c r="K47" s="28" t="s">
        <v>15</v>
      </c>
      <c r="L47" s="28" t="s">
        <v>15</v>
      </c>
      <c r="M47" s="28" t="s">
        <v>15</v>
      </c>
      <c r="N47" s="29">
        <v>2344</v>
      </c>
    </row>
    <row r="48" spans="1:14" x14ac:dyDescent="0.25">
      <c r="A48" s="224" t="s">
        <v>56</v>
      </c>
      <c r="B48" s="29">
        <v>1458</v>
      </c>
      <c r="C48" s="28" t="s">
        <v>15</v>
      </c>
      <c r="D48" s="28" t="s">
        <v>15</v>
      </c>
      <c r="E48" s="29">
        <v>54</v>
      </c>
      <c r="F48" s="28" t="s">
        <v>15</v>
      </c>
      <c r="G48" s="28" t="s">
        <v>15</v>
      </c>
      <c r="H48" s="28" t="s">
        <v>15</v>
      </c>
      <c r="I48" s="28" t="s">
        <v>15</v>
      </c>
      <c r="J48" s="29">
        <v>74</v>
      </c>
      <c r="K48" s="28" t="s">
        <v>15</v>
      </c>
      <c r="L48" s="28" t="s">
        <v>15</v>
      </c>
      <c r="M48" s="28" t="s">
        <v>15</v>
      </c>
      <c r="N48" s="29">
        <v>1586</v>
      </c>
    </row>
    <row r="49" spans="1:14" x14ac:dyDescent="0.25">
      <c r="A49" s="224" t="s">
        <v>57</v>
      </c>
      <c r="B49" s="28" t="s">
        <v>15</v>
      </c>
      <c r="C49" s="28" t="s">
        <v>15</v>
      </c>
      <c r="D49" s="28" t="s">
        <v>15</v>
      </c>
      <c r="E49" s="28" t="s">
        <v>15</v>
      </c>
      <c r="F49" s="28" t="s">
        <v>15</v>
      </c>
      <c r="G49" s="28" t="s">
        <v>15</v>
      </c>
      <c r="H49" s="28" t="s">
        <v>15</v>
      </c>
      <c r="I49" s="29">
        <v>308272</v>
      </c>
      <c r="J49" s="28" t="s">
        <v>15</v>
      </c>
      <c r="K49" s="28" t="s">
        <v>15</v>
      </c>
      <c r="L49" s="28" t="s">
        <v>15</v>
      </c>
      <c r="M49" s="28" t="s">
        <v>15</v>
      </c>
      <c r="N49" s="29">
        <v>308272</v>
      </c>
    </row>
    <row r="50" spans="1:14" x14ac:dyDescent="0.25">
      <c r="A50" s="224" t="s">
        <v>58</v>
      </c>
      <c r="B50" s="28" t="s">
        <v>15</v>
      </c>
      <c r="C50" s="28" t="s">
        <v>15</v>
      </c>
      <c r="D50" s="28" t="s">
        <v>15</v>
      </c>
      <c r="E50" s="28" t="s">
        <v>15</v>
      </c>
      <c r="F50" s="28" t="s">
        <v>15</v>
      </c>
      <c r="G50" s="28" t="s">
        <v>15</v>
      </c>
      <c r="H50" s="28" t="s">
        <v>15</v>
      </c>
      <c r="I50" s="29">
        <v>344769</v>
      </c>
      <c r="J50" s="28" t="s">
        <v>15</v>
      </c>
      <c r="K50" s="28" t="s">
        <v>15</v>
      </c>
      <c r="L50" s="28" t="s">
        <v>15</v>
      </c>
      <c r="M50" s="28" t="s">
        <v>15</v>
      </c>
      <c r="N50" s="29">
        <v>344769</v>
      </c>
    </row>
    <row r="51" spans="1:14" x14ac:dyDescent="0.25">
      <c r="A51" s="224" t="s">
        <v>59</v>
      </c>
      <c r="B51" s="28" t="s">
        <v>15</v>
      </c>
      <c r="C51" s="28" t="s">
        <v>15</v>
      </c>
      <c r="D51" s="29">
        <v>30394</v>
      </c>
      <c r="E51" s="29">
        <v>330665</v>
      </c>
      <c r="F51" s="28" t="s">
        <v>15</v>
      </c>
      <c r="G51" s="28" t="s">
        <v>15</v>
      </c>
      <c r="H51" s="28" t="s">
        <v>15</v>
      </c>
      <c r="I51" s="28" t="s">
        <v>15</v>
      </c>
      <c r="J51" s="28" t="s">
        <v>15</v>
      </c>
      <c r="K51" s="28" t="s">
        <v>15</v>
      </c>
      <c r="L51" s="28" t="s">
        <v>15</v>
      </c>
      <c r="M51" s="28" t="s">
        <v>15</v>
      </c>
      <c r="N51" s="29">
        <v>361059</v>
      </c>
    </row>
    <row r="52" spans="1:14" x14ac:dyDescent="0.25">
      <c r="A52" s="224" t="s">
        <v>60</v>
      </c>
      <c r="B52" s="29">
        <v>0</v>
      </c>
      <c r="C52" s="28" t="s">
        <v>15</v>
      </c>
      <c r="D52" s="29">
        <v>73103</v>
      </c>
      <c r="E52" s="29">
        <v>288766</v>
      </c>
      <c r="F52" s="28" t="s">
        <v>15</v>
      </c>
      <c r="G52" s="28" t="s">
        <v>15</v>
      </c>
      <c r="H52" s="28" t="s">
        <v>15</v>
      </c>
      <c r="I52" s="28" t="s">
        <v>15</v>
      </c>
      <c r="J52" s="28" t="s">
        <v>15</v>
      </c>
      <c r="K52" s="28" t="s">
        <v>15</v>
      </c>
      <c r="L52" s="28" t="s">
        <v>15</v>
      </c>
      <c r="M52" s="28" t="s">
        <v>15</v>
      </c>
      <c r="N52" s="29">
        <v>361869</v>
      </c>
    </row>
    <row r="53" spans="1:14" x14ac:dyDescent="0.25">
      <c r="A53" s="224" t="s">
        <v>61</v>
      </c>
      <c r="B53" s="29">
        <v>1764</v>
      </c>
      <c r="C53" s="29">
        <v>9599</v>
      </c>
      <c r="D53" s="29">
        <v>526</v>
      </c>
      <c r="E53" s="29">
        <v>738</v>
      </c>
      <c r="F53" s="29">
        <v>6373</v>
      </c>
      <c r="G53" s="29">
        <v>6760</v>
      </c>
      <c r="H53" s="29">
        <v>4456</v>
      </c>
      <c r="I53" s="28" t="s">
        <v>15</v>
      </c>
      <c r="J53" s="29">
        <v>8533</v>
      </c>
      <c r="K53" s="29">
        <v>682</v>
      </c>
      <c r="L53" s="28" t="s">
        <v>15</v>
      </c>
      <c r="M53" s="28" t="s">
        <v>15</v>
      </c>
      <c r="N53" s="29">
        <v>39433</v>
      </c>
    </row>
    <row r="54" spans="1:14" x14ac:dyDescent="0.25">
      <c r="A54" s="224" t="s">
        <v>62</v>
      </c>
      <c r="B54" s="29">
        <v>1764</v>
      </c>
      <c r="C54" s="29">
        <v>9599</v>
      </c>
      <c r="D54" s="29">
        <v>526</v>
      </c>
      <c r="E54" s="29">
        <v>738</v>
      </c>
      <c r="F54" s="29">
        <v>6373</v>
      </c>
      <c r="G54" s="29">
        <v>6760</v>
      </c>
      <c r="H54" s="29">
        <v>4456</v>
      </c>
      <c r="I54" s="28" t="s">
        <v>15</v>
      </c>
      <c r="J54" s="29">
        <v>8533</v>
      </c>
      <c r="K54" s="29">
        <v>682</v>
      </c>
      <c r="L54" s="28" t="s">
        <v>15</v>
      </c>
      <c r="M54" s="28" t="s">
        <v>15</v>
      </c>
      <c r="N54" s="29">
        <v>39433</v>
      </c>
    </row>
    <row r="55" spans="1:14" x14ac:dyDescent="0.25">
      <c r="A55" s="224"/>
      <c r="B55" s="28"/>
      <c r="C55" s="28"/>
      <c r="D55" s="28"/>
      <c r="E55" s="28"/>
      <c r="F55" s="28"/>
      <c r="G55" s="28"/>
      <c r="H55" s="28"/>
      <c r="I55" s="28"/>
      <c r="J55" s="28"/>
      <c r="K55" s="28"/>
      <c r="L55" s="28"/>
      <c r="M55" s="28"/>
      <c r="N55" s="28"/>
    </row>
    <row r="56" spans="1:14" x14ac:dyDescent="0.25">
      <c r="A56" s="224" t="s">
        <v>63</v>
      </c>
      <c r="B56" s="29">
        <v>544</v>
      </c>
      <c r="C56" s="29">
        <v>2395</v>
      </c>
      <c r="D56" s="29">
        <v>763</v>
      </c>
      <c r="E56" s="29">
        <v>3233</v>
      </c>
      <c r="F56" s="29">
        <v>20843</v>
      </c>
      <c r="G56" s="29">
        <v>8641</v>
      </c>
      <c r="H56" s="29">
        <v>2554</v>
      </c>
      <c r="I56" s="28" t="s">
        <v>15</v>
      </c>
      <c r="J56" s="29">
        <v>678</v>
      </c>
      <c r="K56" s="29">
        <v>1649</v>
      </c>
      <c r="L56" s="28" t="s">
        <v>15</v>
      </c>
      <c r="M56" s="28" t="s">
        <v>15</v>
      </c>
      <c r="N56" s="29">
        <v>41299</v>
      </c>
    </row>
    <row r="57" spans="1:14" x14ac:dyDescent="0.25">
      <c r="A57" s="224"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24" t="s">
        <v>65</v>
      </c>
      <c r="B58" s="29">
        <v>3067</v>
      </c>
      <c r="C58" s="29">
        <v>1755</v>
      </c>
      <c r="D58" s="29">
        <v>45</v>
      </c>
      <c r="E58" s="29">
        <v>3</v>
      </c>
      <c r="F58" s="29">
        <v>41908</v>
      </c>
      <c r="G58" s="28" t="s">
        <v>15</v>
      </c>
      <c r="H58" s="29">
        <v>2090</v>
      </c>
      <c r="I58" s="29">
        <v>60064</v>
      </c>
      <c r="J58" s="29">
        <v>-61591</v>
      </c>
      <c r="K58" s="29">
        <v>145833</v>
      </c>
      <c r="L58" s="29">
        <v>19055042</v>
      </c>
      <c r="M58" s="29">
        <v>7180000</v>
      </c>
      <c r="N58" s="29">
        <v>26428216</v>
      </c>
    </row>
    <row r="59" spans="1:14" x14ac:dyDescent="0.25">
      <c r="A59" s="224" t="s">
        <v>66</v>
      </c>
      <c r="B59" s="29">
        <v>1050974</v>
      </c>
      <c r="C59" s="29">
        <v>2844188</v>
      </c>
      <c r="D59" s="29">
        <v>622639</v>
      </c>
      <c r="E59" s="29">
        <v>1432075</v>
      </c>
      <c r="F59" s="29">
        <v>1310504</v>
      </c>
      <c r="G59" s="29">
        <v>2627815</v>
      </c>
      <c r="H59" s="29">
        <v>7456092</v>
      </c>
      <c r="I59" s="29">
        <v>3845554</v>
      </c>
      <c r="J59" s="29">
        <v>1096298</v>
      </c>
      <c r="K59" s="29">
        <v>901789</v>
      </c>
      <c r="L59" s="29">
        <v>19901957</v>
      </c>
      <c r="M59" s="29">
        <v>7180000</v>
      </c>
      <c r="N59" s="29">
        <v>50269886</v>
      </c>
    </row>
    <row r="60" spans="1:14" x14ac:dyDescent="0.25">
      <c r="A60" s="224" t="s">
        <v>67</v>
      </c>
      <c r="B60" s="29">
        <v>450</v>
      </c>
      <c r="C60" s="29">
        <v>3299</v>
      </c>
      <c r="D60" s="29">
        <v>15545</v>
      </c>
      <c r="E60" s="29">
        <v>6224</v>
      </c>
      <c r="F60" s="29">
        <v>16398</v>
      </c>
      <c r="G60" s="29">
        <v>2455</v>
      </c>
      <c r="H60" s="29">
        <v>0</v>
      </c>
      <c r="I60" s="29">
        <v>8733</v>
      </c>
      <c r="J60" s="29">
        <v>0</v>
      </c>
      <c r="K60" s="29">
        <v>0</v>
      </c>
      <c r="L60" s="29">
        <v>19047240</v>
      </c>
      <c r="M60" s="29">
        <v>0</v>
      </c>
      <c r="N60" s="29">
        <v>19100344</v>
      </c>
    </row>
    <row r="61" spans="1:14" x14ac:dyDescent="0.25">
      <c r="A61" s="224" t="s">
        <v>68</v>
      </c>
      <c r="B61" s="29">
        <v>1050524</v>
      </c>
      <c r="C61" s="29">
        <v>2840889</v>
      </c>
      <c r="D61" s="29">
        <v>607094</v>
      </c>
      <c r="E61" s="29">
        <v>1425851</v>
      </c>
      <c r="F61" s="29">
        <v>1294106</v>
      </c>
      <c r="G61" s="29">
        <v>2625360</v>
      </c>
      <c r="H61" s="29">
        <v>7456092</v>
      </c>
      <c r="I61" s="29">
        <v>3836822</v>
      </c>
      <c r="J61" s="29">
        <v>1096298</v>
      </c>
      <c r="K61" s="29">
        <v>901789</v>
      </c>
      <c r="L61" s="29">
        <v>854717</v>
      </c>
      <c r="M61" s="29">
        <v>7180000</v>
      </c>
      <c r="N61" s="29">
        <v>31169541</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view="pageBreakPreview" zoomScaleSheetLayoutView="100" workbookViewId="0">
      <pane xSplit="2" ySplit="4" topLeftCell="C5" activePane="bottomRight" state="frozen"/>
      <selection pane="topRight" activeCell="C1" sqref="C1"/>
      <selection pane="bottomLeft" activeCell="A6" sqref="A6"/>
      <selection pane="bottomRight" activeCell="C1" sqref="C1:K1"/>
    </sheetView>
  </sheetViews>
  <sheetFormatPr defaultRowHeight="15" x14ac:dyDescent="0.25"/>
  <cols>
    <col min="1" max="1" width="10.5703125" style="132" customWidth="1"/>
    <col min="2" max="2" width="25.42578125" style="228"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81" customWidth="1"/>
    <col min="23" max="23" width="12" bestFit="1" customWidth="1"/>
    <col min="24" max="24" width="10.140625" customWidth="1"/>
    <col min="25" max="25" width="13.7109375" bestFit="1" customWidth="1"/>
    <col min="26" max="27" width="10.28515625" customWidth="1"/>
    <col min="28" max="28" width="10.28515625" style="186" customWidth="1"/>
    <col min="29" max="29" width="12.7109375" style="41" customWidth="1"/>
    <col min="30" max="30" width="14.85546875"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81"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81" customWidth="1"/>
    <col min="61" max="61" width="16.28515625" style="47" customWidth="1"/>
    <col min="62" max="62" width="13.28515625" customWidth="1"/>
    <col min="63" max="63" width="13.5703125" style="53" customWidth="1"/>
    <col min="64" max="64" width="11.28515625" customWidth="1"/>
    <col min="65" max="65" width="11.42578125" customWidth="1"/>
  </cols>
  <sheetData>
    <row r="1" spans="1:67" ht="15.75" x14ac:dyDescent="0.25">
      <c r="A1" s="121"/>
      <c r="B1" s="2"/>
      <c r="C1" s="232" t="s">
        <v>323</v>
      </c>
      <c r="D1" s="232"/>
      <c r="E1" s="232"/>
      <c r="F1" s="232"/>
      <c r="G1" s="232"/>
      <c r="H1" s="232"/>
      <c r="I1" s="232"/>
      <c r="J1" s="232"/>
      <c r="K1" s="232"/>
      <c r="L1" s="1"/>
      <c r="M1" s="1"/>
      <c r="N1" s="1"/>
      <c r="O1" s="1"/>
      <c r="P1" s="1"/>
      <c r="Q1" s="1"/>
      <c r="R1" s="1"/>
      <c r="S1" s="1"/>
      <c r="T1" s="1"/>
      <c r="U1" s="1"/>
      <c r="V1" s="179"/>
      <c r="W1" s="1"/>
      <c r="X1" s="1"/>
      <c r="Y1" s="1"/>
      <c r="Z1" s="1"/>
      <c r="AA1" s="1"/>
      <c r="AB1" s="1"/>
      <c r="AC1" s="2"/>
      <c r="AD1" s="2"/>
      <c r="AE1" s="1"/>
      <c r="AF1" s="1"/>
      <c r="AG1" s="1"/>
      <c r="AH1" s="1"/>
      <c r="AI1" s="1"/>
      <c r="AJ1" s="1"/>
      <c r="AK1" s="1"/>
      <c r="AL1" s="1"/>
      <c r="AM1" s="1"/>
      <c r="AN1" s="1"/>
      <c r="AO1" s="179"/>
      <c r="AP1" s="1"/>
      <c r="AQ1" s="2"/>
      <c r="AR1" s="1"/>
      <c r="AS1" s="1"/>
      <c r="AT1" s="1"/>
      <c r="AU1" s="1"/>
      <c r="AV1" s="1"/>
      <c r="AW1" s="2"/>
      <c r="AX1" s="1"/>
      <c r="AY1" s="1"/>
      <c r="AZ1" s="1"/>
      <c r="BA1" s="1"/>
      <c r="BB1" s="2"/>
      <c r="BD1" s="1"/>
      <c r="BE1" s="1"/>
      <c r="BF1" s="1"/>
      <c r="BG1" s="1"/>
      <c r="BH1" s="179"/>
      <c r="BI1" s="42"/>
      <c r="BJ1" s="1"/>
      <c r="BK1" s="48"/>
    </row>
    <row r="2" spans="1:67" ht="15.75" x14ac:dyDescent="0.25">
      <c r="A2" s="121"/>
      <c r="B2" s="1"/>
      <c r="C2" s="1"/>
      <c r="D2" s="1"/>
      <c r="E2" s="1"/>
      <c r="F2" s="1"/>
      <c r="G2" s="1"/>
      <c r="H2" s="1"/>
      <c r="I2" s="1"/>
      <c r="J2" s="1"/>
      <c r="K2" s="1"/>
      <c r="L2" s="1"/>
      <c r="M2" s="233" t="s">
        <v>69</v>
      </c>
      <c r="N2" s="233"/>
      <c r="O2" s="233"/>
      <c r="P2" s="1"/>
      <c r="Q2" s="1"/>
      <c r="R2" s="1"/>
      <c r="S2" s="1"/>
      <c r="T2" s="1"/>
      <c r="U2" s="1"/>
      <c r="V2" s="179"/>
      <c r="W2" s="1"/>
      <c r="X2" s="1"/>
      <c r="Y2" s="1"/>
      <c r="Z2" s="1"/>
      <c r="AA2" s="1"/>
      <c r="AB2" s="1"/>
      <c r="AC2" s="2"/>
      <c r="AD2" s="2"/>
      <c r="AE2" s="1"/>
      <c r="AF2" s="1"/>
      <c r="AG2" s="1"/>
      <c r="AH2" s="1"/>
      <c r="AI2" s="1"/>
      <c r="AJ2" s="1"/>
      <c r="AK2" s="1"/>
      <c r="AL2" s="1"/>
      <c r="AM2" s="1"/>
      <c r="AN2" s="1"/>
      <c r="AO2" s="179"/>
      <c r="AP2" s="1"/>
      <c r="AQ2" s="233" t="s">
        <v>69</v>
      </c>
      <c r="AR2" s="233"/>
      <c r="AS2" s="233"/>
      <c r="AT2" s="1"/>
      <c r="AU2" s="1"/>
      <c r="AV2" s="1"/>
      <c r="AW2" s="2"/>
      <c r="AX2" s="1"/>
      <c r="AY2" s="1"/>
      <c r="AZ2" s="1"/>
      <c r="BA2" s="1"/>
      <c r="BB2" s="2"/>
      <c r="BC2" s="1"/>
      <c r="BD2" s="1"/>
      <c r="BE2" s="1"/>
      <c r="BF2" s="1"/>
      <c r="BG2" s="1"/>
      <c r="BH2" s="179"/>
      <c r="BI2" s="233" t="s">
        <v>69</v>
      </c>
      <c r="BJ2" s="233"/>
      <c r="BK2" s="233"/>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303</v>
      </c>
      <c r="AC3" s="4" t="s">
        <v>119</v>
      </c>
      <c r="AD3" s="4"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43" t="s">
        <v>126</v>
      </c>
      <c r="BJ3" s="3" t="s">
        <v>127</v>
      </c>
      <c r="BK3" s="49" t="s">
        <v>128</v>
      </c>
    </row>
    <row r="4" spans="1:67" s="132" customFormat="1" ht="15.75" x14ac:dyDescent="0.25">
      <c r="A4" s="130" t="s">
        <v>208</v>
      </c>
      <c r="B4" s="130" t="s">
        <v>129</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6">
        <v>63</v>
      </c>
      <c r="AD4" s="136"/>
      <c r="AE4" s="130">
        <v>18</v>
      </c>
      <c r="AF4" s="130">
        <v>19</v>
      </c>
      <c r="AG4" s="130">
        <v>21</v>
      </c>
      <c r="AH4" s="130">
        <v>22</v>
      </c>
      <c r="AI4" s="130">
        <v>23</v>
      </c>
      <c r="AJ4" s="130">
        <v>24</v>
      </c>
      <c r="AK4" s="130">
        <v>27</v>
      </c>
      <c r="AL4" s="130">
        <v>28</v>
      </c>
      <c r="AM4" s="131">
        <v>30</v>
      </c>
      <c r="AN4" s="130">
        <v>31</v>
      </c>
      <c r="AO4" s="131">
        <v>32</v>
      </c>
      <c r="AP4" s="130">
        <v>33</v>
      </c>
      <c r="AQ4" s="136">
        <v>35</v>
      </c>
      <c r="AR4" s="130">
        <v>36</v>
      </c>
      <c r="AS4" s="130">
        <v>37</v>
      </c>
      <c r="AT4" s="130">
        <v>38</v>
      </c>
      <c r="AU4" s="131">
        <v>41</v>
      </c>
      <c r="AV4" s="131">
        <v>48</v>
      </c>
      <c r="AW4" s="131">
        <v>50</v>
      </c>
      <c r="AX4" s="130">
        <v>51</v>
      </c>
      <c r="AY4" s="130">
        <v>52</v>
      </c>
      <c r="AZ4" s="130">
        <v>60</v>
      </c>
      <c r="BA4" s="130">
        <v>61</v>
      </c>
      <c r="BB4" s="136">
        <v>64</v>
      </c>
      <c r="BC4" s="130">
        <v>72</v>
      </c>
      <c r="BD4" s="130">
        <v>73</v>
      </c>
      <c r="BE4" s="130">
        <v>74</v>
      </c>
      <c r="BF4" s="130">
        <v>75</v>
      </c>
      <c r="BG4" s="130">
        <v>99</v>
      </c>
      <c r="BH4" s="131"/>
      <c r="BI4" s="137" t="s">
        <v>130</v>
      </c>
      <c r="BJ4" s="130">
        <v>98</v>
      </c>
      <c r="BK4" s="138"/>
    </row>
    <row r="5" spans="1:67" ht="15.75" x14ac:dyDescent="0.25">
      <c r="A5" s="8" t="s">
        <v>131</v>
      </c>
      <c r="B5" s="229" t="s">
        <v>298</v>
      </c>
      <c r="C5" s="129">
        <v>2657920</v>
      </c>
      <c r="D5" s="122">
        <v>452415</v>
      </c>
      <c r="E5" s="122">
        <v>72518</v>
      </c>
      <c r="F5" s="122">
        <v>283742</v>
      </c>
      <c r="G5" s="122">
        <v>117806</v>
      </c>
      <c r="H5" s="122">
        <v>0</v>
      </c>
      <c r="I5" s="122">
        <v>0</v>
      </c>
      <c r="J5" s="122">
        <v>3825</v>
      </c>
      <c r="K5" s="122">
        <v>6</v>
      </c>
      <c r="L5" s="122">
        <v>9201</v>
      </c>
      <c r="M5" s="122">
        <v>14513</v>
      </c>
      <c r="N5" s="122">
        <v>10309</v>
      </c>
      <c r="O5" s="122">
        <v>16164</v>
      </c>
      <c r="P5" s="122">
        <v>63417</v>
      </c>
      <c r="Q5" s="122">
        <v>0</v>
      </c>
      <c r="R5" s="122">
        <v>20273</v>
      </c>
      <c r="S5" s="122">
        <v>0</v>
      </c>
      <c r="T5" s="122">
        <v>0</v>
      </c>
      <c r="U5" s="122"/>
      <c r="V5" s="195">
        <v>0</v>
      </c>
      <c r="W5" s="122">
        <v>1004</v>
      </c>
      <c r="X5" s="122">
        <v>406</v>
      </c>
      <c r="Y5" s="122">
        <v>3715</v>
      </c>
      <c r="Z5" s="122">
        <v>157</v>
      </c>
      <c r="AA5" s="122">
        <v>165</v>
      </c>
      <c r="AB5" s="122">
        <v>4844</v>
      </c>
      <c r="AC5" s="154">
        <v>0</v>
      </c>
      <c r="AD5" s="123">
        <f t="shared" ref="AD5:AD6" si="0">SUM(C5:AC5)</f>
        <v>3732400</v>
      </c>
      <c r="AE5" s="122">
        <v>25030</v>
      </c>
      <c r="AF5" s="122">
        <v>11866</v>
      </c>
      <c r="AG5" s="122">
        <v>35768</v>
      </c>
      <c r="AH5" s="122">
        <v>0</v>
      </c>
      <c r="AI5" s="122">
        <v>0</v>
      </c>
      <c r="AJ5" s="122">
        <v>7219</v>
      </c>
      <c r="AK5" s="122">
        <v>13871</v>
      </c>
      <c r="AL5" s="122">
        <v>17753</v>
      </c>
      <c r="AM5" s="122">
        <v>1348</v>
      </c>
      <c r="AN5" s="122">
        <v>19</v>
      </c>
      <c r="AO5" s="195">
        <v>70995</v>
      </c>
      <c r="AP5" s="122">
        <v>2</v>
      </c>
      <c r="AQ5" s="154">
        <v>0</v>
      </c>
      <c r="AR5" s="122">
        <v>0</v>
      </c>
      <c r="AS5" s="122"/>
      <c r="AT5" s="122"/>
      <c r="AU5" s="122">
        <v>0</v>
      </c>
      <c r="AV5" s="122"/>
      <c r="AW5" s="122">
        <v>15265</v>
      </c>
      <c r="AX5" s="122">
        <v>10723</v>
      </c>
      <c r="AY5" s="122">
        <v>4239</v>
      </c>
      <c r="AZ5" s="122">
        <v>0</v>
      </c>
      <c r="BA5" s="122">
        <v>0</v>
      </c>
      <c r="BB5" s="154">
        <v>0</v>
      </c>
      <c r="BC5" s="122">
        <v>8666</v>
      </c>
      <c r="BD5" s="122">
        <v>8666</v>
      </c>
      <c r="BE5" s="122">
        <v>14</v>
      </c>
      <c r="BF5" s="122">
        <v>2068</v>
      </c>
      <c r="BG5" s="122">
        <v>56958</v>
      </c>
      <c r="BH5" s="9">
        <f>SUM(AE5:BG5)</f>
        <v>290470</v>
      </c>
      <c r="BI5" s="127">
        <f>AD5+BH5</f>
        <v>4022870</v>
      </c>
      <c r="BJ5" s="97">
        <v>1439</v>
      </c>
      <c r="BK5" s="51">
        <f t="shared" ref="BK5:BK6" si="1">BI5-BJ5</f>
        <v>4021431</v>
      </c>
      <c r="BL5">
        <v>1</v>
      </c>
      <c r="BM5" s="30"/>
    </row>
    <row r="6" spans="1:67" s="41" customFormat="1" ht="15.75" x14ac:dyDescent="0.25">
      <c r="A6" s="136" t="s">
        <v>131</v>
      </c>
      <c r="B6" s="225" t="s">
        <v>326</v>
      </c>
      <c r="C6" s="10">
        <v>691058</v>
      </c>
      <c r="D6" s="10">
        <v>117627</v>
      </c>
      <c r="E6" s="10">
        <v>0</v>
      </c>
      <c r="F6" s="10">
        <v>73772</v>
      </c>
      <c r="G6" s="10">
        <v>30626</v>
      </c>
      <c r="H6" s="10">
        <v>0</v>
      </c>
      <c r="I6" s="10">
        <v>0</v>
      </c>
      <c r="J6" s="10">
        <v>995</v>
      </c>
      <c r="K6" s="10">
        <v>1.08</v>
      </c>
      <c r="L6" s="10">
        <v>2392</v>
      </c>
      <c r="M6" s="10">
        <v>3775</v>
      </c>
      <c r="N6" s="10">
        <v>2682</v>
      </c>
      <c r="O6" s="10">
        <v>4202</v>
      </c>
      <c r="P6" s="10">
        <v>16489</v>
      </c>
      <c r="Q6" s="10">
        <v>0</v>
      </c>
      <c r="R6" s="10">
        <v>5271</v>
      </c>
      <c r="S6" s="10">
        <v>0</v>
      </c>
      <c r="T6" s="10">
        <v>0</v>
      </c>
      <c r="U6" s="10"/>
      <c r="V6" s="10">
        <v>0</v>
      </c>
      <c r="W6" s="10">
        <v>261</v>
      </c>
      <c r="X6" s="10">
        <v>105</v>
      </c>
      <c r="Y6" s="10">
        <v>967</v>
      </c>
      <c r="Z6" s="10">
        <v>41</v>
      </c>
      <c r="AA6" s="10">
        <v>42</v>
      </c>
      <c r="AB6" s="10">
        <v>1261</v>
      </c>
      <c r="AC6" s="9">
        <v>0</v>
      </c>
      <c r="AD6" s="123">
        <f t="shared" si="0"/>
        <v>951567.08</v>
      </c>
      <c r="AE6" s="10">
        <v>6509</v>
      </c>
      <c r="AF6" s="10">
        <v>3086</v>
      </c>
      <c r="AG6" s="10">
        <v>9298</v>
      </c>
      <c r="AH6" s="10">
        <v>0</v>
      </c>
      <c r="AI6" s="10">
        <v>0</v>
      </c>
      <c r="AJ6" s="10">
        <v>1879</v>
      </c>
      <c r="AK6" s="10">
        <v>3607</v>
      </c>
      <c r="AL6" s="10">
        <v>4615</v>
      </c>
      <c r="AM6" s="10">
        <v>351</v>
      </c>
      <c r="AN6" s="10">
        <v>5</v>
      </c>
      <c r="AO6" s="10">
        <v>18456</v>
      </c>
      <c r="AP6" s="10">
        <v>0.36</v>
      </c>
      <c r="AQ6" s="9">
        <v>0</v>
      </c>
      <c r="AR6" s="10">
        <v>0</v>
      </c>
      <c r="AS6" s="10"/>
      <c r="AT6" s="10"/>
      <c r="AU6" s="10">
        <v>0</v>
      </c>
      <c r="AV6" s="10"/>
      <c r="AW6" s="10">
        <v>3969</v>
      </c>
      <c r="AX6" s="10">
        <v>2788</v>
      </c>
      <c r="AY6" s="10">
        <v>1102</v>
      </c>
      <c r="AZ6" s="10">
        <v>0</v>
      </c>
      <c r="BA6" s="10">
        <v>0</v>
      </c>
      <c r="BB6" s="10">
        <v>0</v>
      </c>
      <c r="BC6" s="10">
        <v>2254</v>
      </c>
      <c r="BD6" s="10">
        <v>2254</v>
      </c>
      <c r="BE6" s="10">
        <v>4</v>
      </c>
      <c r="BF6" s="10">
        <v>537</v>
      </c>
      <c r="BG6" s="10">
        <v>14811</v>
      </c>
      <c r="BH6" s="9">
        <f>SUM(AE6:BG6)</f>
        <v>75525.36</v>
      </c>
      <c r="BI6" s="127">
        <f>AD6+BH6</f>
        <v>1027092.44</v>
      </c>
      <c r="BJ6" s="10">
        <v>360</v>
      </c>
      <c r="BK6" s="51">
        <f t="shared" si="1"/>
        <v>1026732.44</v>
      </c>
      <c r="BL6" s="41">
        <v>0</v>
      </c>
      <c r="BM6" s="226"/>
    </row>
    <row r="7" spans="1:67" ht="15.75" x14ac:dyDescent="0.25">
      <c r="A7" s="130"/>
      <c r="B7" s="12" t="s">
        <v>324</v>
      </c>
      <c r="C7" s="9">
        <f>IF('Upto Month COPPY'!$B$4="",0,'Upto Month COPPY'!$B$4)</f>
        <v>713843</v>
      </c>
      <c r="D7" s="9">
        <f>IF('Upto Month COPPY'!$B$5="",0,'Upto Month COPPY'!$B$5)</f>
        <v>117725</v>
      </c>
      <c r="E7" s="9">
        <f>IF('Upto Month COPPY'!$B$6="",0,'Upto Month COPPY'!$B$6)</f>
        <v>848</v>
      </c>
      <c r="F7" s="9">
        <f>IF('Upto Month COPPY'!$B$7="",0,'Upto Month COPPY'!$B$7)</f>
        <v>74286</v>
      </c>
      <c r="G7" s="9">
        <f>IF('Upto Month COPPY'!$B$8="",0,'Upto Month COPPY'!$B$8)</f>
        <v>28634</v>
      </c>
      <c r="H7" s="9">
        <f>IF('Upto Month COPPY'!$B$9="",0,'Upto Month COPPY'!$B$9)</f>
        <v>0</v>
      </c>
      <c r="I7" s="9">
        <f>IF('Upto Month COPPY'!$B$10="",0,'Upto Month COPPY'!$B$10)</f>
        <v>0</v>
      </c>
      <c r="J7" s="9">
        <f>IF('Upto Month COPPY'!$B$11="",0,'Upto Month COPPY'!$B$11)</f>
        <v>754</v>
      </c>
      <c r="K7" s="9">
        <f>IF('Upto Month COPPY'!$B$12="",0,'Upto Month COPPY'!$B$12)</f>
        <v>0</v>
      </c>
      <c r="L7" s="9">
        <f>IF('Upto Month COPPY'!$B$13="",0,'Upto Month COPPY'!$B$13)</f>
        <v>2269</v>
      </c>
      <c r="M7" s="9">
        <f>IF('Upto Month COPPY'!$B$14="",0,'Upto Month COPPY'!$B$14)</f>
        <v>1402</v>
      </c>
      <c r="N7" s="9">
        <f>IF('Upto Month COPPY'!$B$15="",0,'Upto Month COPPY'!$B$15)</f>
        <v>422</v>
      </c>
      <c r="O7" s="9">
        <f>IF('Upto Month COPPY'!$B$16="",0,'Upto Month COPPY'!$B$16)</f>
        <v>3633</v>
      </c>
      <c r="P7" s="9">
        <f>IF('Upto Month COPPY'!$B$17="",0,'Upto Month COPPY'!$B$17)</f>
        <v>15294</v>
      </c>
      <c r="Q7" s="9">
        <f>IF('Upto Month COPPY'!$B$18="",0,'Upto Month COPPY'!$B$18)</f>
        <v>0</v>
      </c>
      <c r="R7" s="9">
        <f>IF('Upto Month COPPY'!$B$21="",0,'Upto Month COPPY'!$B$21)</f>
        <v>1868</v>
      </c>
      <c r="S7" s="9">
        <f>IF('Upto Month COPPY'!$B$26="",0,'Upto Month COPPY'!$B$26)</f>
        <v>0</v>
      </c>
      <c r="T7" s="9">
        <f>IF('Upto Month COPPY'!$B$27="",0,'Upto Month COPPY'!$B$27)</f>
        <v>0</v>
      </c>
      <c r="U7" s="9">
        <f>IF('Upto Month COPPY'!$B$30="",0,'Upto Month COPPY'!$B$30)</f>
        <v>523</v>
      </c>
      <c r="V7" s="9">
        <f>IF('Upto Month COPPY'!$B$35="",0,'Upto Month COPPY'!$B$35)</f>
        <v>0</v>
      </c>
      <c r="W7" s="9">
        <f>IF('Upto Month COPPY'!$B$39="",0,'Upto Month COPPY'!$B$39)</f>
        <v>323</v>
      </c>
      <c r="X7" s="9">
        <f>IF('Upto Month COPPY'!$B$40="",0,'Upto Month COPPY'!$B$40)</f>
        <v>0</v>
      </c>
      <c r="Y7" s="9">
        <f>IF('Upto Month COPPY'!$B$42="",0,'Upto Month COPPY'!$B$42)</f>
        <v>3920</v>
      </c>
      <c r="Z7" s="9">
        <f>IF('Upto Month COPPY'!$B$43="",0,'Upto Month COPPY'!$B$43)</f>
        <v>1326</v>
      </c>
      <c r="AA7" s="9">
        <f>IF('Upto Month COPPY'!$B$44="",0,'Upto Month COPPY'!$B$44)</f>
        <v>441</v>
      </c>
      <c r="AB7" s="9">
        <f>IF('Upto Month COPPY'!$B$48="",0,'Upto Month COPPY'!$B$48)</f>
        <v>0</v>
      </c>
      <c r="AC7" s="10">
        <f>IF('Upto Month COPPY'!$B$51="",0,'Upto Month COPPY'!$B$51)</f>
        <v>0</v>
      </c>
      <c r="AD7" s="123">
        <f t="shared" ref="AD7:AD8" si="2">SUM(C7:AC7)</f>
        <v>967511</v>
      </c>
      <c r="AE7" s="9">
        <f>IF('Upto Month COPPY'!$B$19="",0,'Upto Month COPPY'!$B$19)</f>
        <v>4736</v>
      </c>
      <c r="AF7" s="9">
        <f>IF('Upto Month COPPY'!$B$20="",0,'Upto Month COPPY'!$B$20)</f>
        <v>2588</v>
      </c>
      <c r="AG7" s="9">
        <f>IF('Upto Month COPPY'!$B$22="",0,'Upto Month COPPY'!$B$22)</f>
        <v>40630</v>
      </c>
      <c r="AH7" s="9">
        <f>IF('Upto Month COPPY'!$B$23="",0,'Upto Month COPPY'!$B$23)</f>
        <v>0</v>
      </c>
      <c r="AI7" s="9">
        <f>IF('Upto Month COPPY'!$B$24="",0,'Upto Month COPPY'!$B$24)</f>
        <v>0</v>
      </c>
      <c r="AJ7" s="9">
        <f>IF('Upto Month COPPY'!$B$25="",0,'Upto Month COPPY'!$B$25)</f>
        <v>2857</v>
      </c>
      <c r="AK7" s="9">
        <f>IF('Upto Month COPPY'!$B$28="",0,'Upto Month COPPY'!$B$28)</f>
        <v>2508</v>
      </c>
      <c r="AL7" s="9">
        <f>IF('Upto Month COPPY'!$B$29="",0,'Upto Month COPPY'!$B$29)</f>
        <v>4362</v>
      </c>
      <c r="AM7" s="9">
        <f>IF('Upto Month COPPY'!$B$31="",0,'Upto Month COPPY'!$B$31)</f>
        <v>118</v>
      </c>
      <c r="AN7" s="9">
        <f>IF('Upto Month COPPY'!$B$32="",0,'Upto Month COPPY'!$B$32)</f>
        <v>1</v>
      </c>
      <c r="AO7" s="9">
        <f>IF('Upto Month COPPY'!$B$33="",0,'Upto Month COPPY'!$B$33)</f>
        <v>21917</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4129</v>
      </c>
      <c r="AX7" s="9">
        <f>IF('Upto Month COPPY'!$B$46="",0,'Upto Month COPPY'!$B$46)</f>
        <v>2704</v>
      </c>
      <c r="AY7" s="9">
        <f>IF('Upto Month COPPY'!$B$47="",0,'Upto Month COPPY'!$B$47)</f>
        <v>998</v>
      </c>
      <c r="AZ7" s="9">
        <f>IF('Upto Month COPPY'!$B$49="",0,'Upto Month COPPY'!$B$49)</f>
        <v>0</v>
      </c>
      <c r="BA7" s="9">
        <f>IF('Upto Month COPPY'!$B$50="",0,'Upto Month COPPY'!$B$50)</f>
        <v>0</v>
      </c>
      <c r="BB7" s="10">
        <f>IF('Upto Month COPPY'!$B$52="",0,'Upto Month COPPY'!$B$52)</f>
        <v>10</v>
      </c>
      <c r="BC7" s="9">
        <f>IF('Upto Month COPPY'!$B$53="",0,'Upto Month COPPY'!$B$53)</f>
        <v>2820</v>
      </c>
      <c r="BD7" s="9">
        <f>IF('Upto Month COPPY'!$B$54="",0,'Upto Month COPPY'!$B$54)</f>
        <v>2820</v>
      </c>
      <c r="BE7" s="9">
        <f>IF('Upto Month COPPY'!$B$55="",0,'Upto Month COPPY'!$B$55)</f>
        <v>0</v>
      </c>
      <c r="BF7" s="9">
        <f>IF('Upto Month COPPY'!$B$56="",0,'Upto Month COPPY'!$B$56)</f>
        <v>971</v>
      </c>
      <c r="BG7" s="9">
        <f>IF('Upto Month COPPY'!$B$58="",0,'Upto Month COPPY'!$B$58)</f>
        <v>8233</v>
      </c>
      <c r="BH7" s="9">
        <f>SUM(AE7:BG7)</f>
        <v>102402</v>
      </c>
      <c r="BI7" s="127">
        <f>AD7+BH7</f>
        <v>1069913</v>
      </c>
      <c r="BJ7" s="9">
        <f>IF('Upto Month COPPY'!$B$60="",0,'Upto Month COPPY'!$B$60)</f>
        <v>106</v>
      </c>
      <c r="BK7" s="51">
        <f t="shared" ref="BK7" si="3">BI7-BJ7</f>
        <v>1069807</v>
      </c>
      <c r="BL7">
        <f>'Upto Month COPPY'!$B$61</f>
        <v>1069807</v>
      </c>
      <c r="BM7" s="30">
        <f t="shared" ref="BM7:BM11" si="4">BK7-AD7</f>
        <v>102296</v>
      </c>
    </row>
    <row r="8" spans="1:67" ht="15.75" x14ac:dyDescent="0.25">
      <c r="A8" s="130"/>
      <c r="B8" s="185" t="s">
        <v>325</v>
      </c>
      <c r="C8" s="9">
        <f>IF('Upto Month Current'!$B$4="",0,'Upto Month Current'!$B$4)</f>
        <v>717155</v>
      </c>
      <c r="D8" s="9">
        <f>IF('Upto Month Current'!$B$5="",0,'Upto Month Current'!$B$5)</f>
        <v>121689</v>
      </c>
      <c r="E8" s="9">
        <f>IF('Upto Month Current'!$B$6="",0,'Upto Month Current'!$B$6)</f>
        <v>422</v>
      </c>
      <c r="F8" s="9">
        <f>IF('Upto Month Current'!$B$7="",0,'Upto Month Current'!$B$7)</f>
        <v>73089</v>
      </c>
      <c r="G8" s="9">
        <f>IF('Upto Month Current'!$B$8="",0,'Upto Month Current'!$B$8)</f>
        <v>28947</v>
      </c>
      <c r="H8" s="9">
        <f>IF('Upto Month Current'!$B$9="",0,'Upto Month Current'!$B$9)</f>
        <v>0</v>
      </c>
      <c r="I8" s="9">
        <f>IF('Upto Month Current'!$B$10="",0,'Upto Month Current'!$B$10)</f>
        <v>0</v>
      </c>
      <c r="J8" s="9">
        <f>IF('Upto Month Current'!$B$11="",0,'Upto Month Current'!$B$11)</f>
        <v>774</v>
      </c>
      <c r="K8" s="9">
        <f>IF('Upto Month Current'!$B$12="",0,'Upto Month Current'!$B$12)</f>
        <v>0</v>
      </c>
      <c r="L8" s="9">
        <f>IF('Upto Month Current'!$B$13="",0,'Upto Month Current'!$B$13)</f>
        <v>498</v>
      </c>
      <c r="M8" s="9">
        <f>IF('Upto Month Current'!$B$14="",0,'Upto Month Current'!$B$14)</f>
        <v>1183</v>
      </c>
      <c r="N8" s="9">
        <f>IF('Upto Month Current'!$B$15="",0,'Upto Month Current'!$B$15)</f>
        <v>962</v>
      </c>
      <c r="O8" s="9">
        <f>IF('Upto Month Current'!$B$16="",0,'Upto Month Current'!$B$16)</f>
        <v>3773</v>
      </c>
      <c r="P8" s="9">
        <f>IF('Upto Month Current'!$B$17="",0,'Upto Month Current'!$B$17)</f>
        <v>21022</v>
      </c>
      <c r="Q8" s="9">
        <f>IF('Upto Month Current'!$B$18="",0,'Upto Month Current'!$B$18)</f>
        <v>0</v>
      </c>
      <c r="R8" s="9">
        <f>IF('Upto Month Current'!$B$21="",0,'Upto Month Current'!$B$21)</f>
        <v>2604</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2006</v>
      </c>
      <c r="Z8" s="9">
        <f>IF('Upto Month Current'!$B$43="",0,'Upto Month Current'!$B$43)</f>
        <v>341</v>
      </c>
      <c r="AA8" s="9">
        <f>IF('Upto Month Current'!$B$44="",0,'Upto Month Current'!$B$44)</f>
        <v>612</v>
      </c>
      <c r="AB8" s="9">
        <f>IF('Upto Month Current'!$B$48="",0,'Upto Month Current'!$B$48)</f>
        <v>1458</v>
      </c>
      <c r="AC8" s="10">
        <f>IF('Upto Month Current'!$B$51="",0,'Upto Month Current'!$B$51)</f>
        <v>0</v>
      </c>
      <c r="AD8" s="123">
        <f t="shared" si="2"/>
        <v>976535</v>
      </c>
      <c r="AE8" s="9">
        <f>IF('Upto Month Current'!$B$19="",0,'Upto Month Current'!$B$19)</f>
        <v>2518</v>
      </c>
      <c r="AF8" s="9">
        <f>IF('Upto Month Current'!$B$20="",0,'Upto Month Current'!$B$20)</f>
        <v>1565</v>
      </c>
      <c r="AG8" s="9">
        <f>IF('Upto Month Current'!$B$22="",0,'Upto Month Current'!$B$22)</f>
        <v>34072</v>
      </c>
      <c r="AH8" s="9">
        <f>IF('Upto Month Current'!$B$23="",0,'Upto Month Current'!$B$23)</f>
        <v>0</v>
      </c>
      <c r="AI8" s="9">
        <f>IF('Upto Month Current'!$B$24="",0,'Upto Month Current'!$B$24)</f>
        <v>0</v>
      </c>
      <c r="AJ8" s="9">
        <f>IF('Upto Month Current'!$B$25="",0,'Upto Month Current'!$B$25)</f>
        <v>312</v>
      </c>
      <c r="AK8" s="9">
        <f>IF('Upto Month Current'!$B$28="",0,'Upto Month Current'!$B$28)</f>
        <v>3112</v>
      </c>
      <c r="AL8" s="9">
        <f>IF('Upto Month Current'!$B$29="",0,'Upto Month Current'!$B$29)</f>
        <v>2974</v>
      </c>
      <c r="AM8" s="9">
        <f>IF('Upto Month Current'!$B$31="",0,'Upto Month Current'!$B$31)</f>
        <v>44</v>
      </c>
      <c r="AN8" s="9">
        <f>IF('Upto Month Current'!$B$32="",0,'Upto Month Current'!$B$32)</f>
        <v>0</v>
      </c>
      <c r="AO8" s="9">
        <f>IF('Upto Month Current'!$B$33="",0,'Upto Month Current'!$B$33)</f>
        <v>15803</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2935</v>
      </c>
      <c r="AX8" s="9">
        <f>IF('Upto Month Current'!$B$46="",0,'Upto Month Current'!$B$46)</f>
        <v>2058</v>
      </c>
      <c r="AY8" s="9">
        <f>IF('Upto Month Current'!$B$47="",0,'Upto Month Current'!$B$47)</f>
        <v>1907</v>
      </c>
      <c r="AZ8" s="9">
        <f>IF('Upto Month Current'!$B$49="",0,'Upto Month Current'!$B$49)</f>
        <v>0</v>
      </c>
      <c r="BA8" s="9">
        <f>IF('Upto Month Current'!$B$50="",0,'Upto Month Current'!$B$50)</f>
        <v>0</v>
      </c>
      <c r="BB8" s="10">
        <f>IF('Upto Month Current'!$B$52="",0,'Upto Month Current'!$B$52)</f>
        <v>0</v>
      </c>
      <c r="BC8" s="9">
        <f>IF('Upto Month Current'!$B$53="",0,'Upto Month Current'!$B$53)</f>
        <v>1764</v>
      </c>
      <c r="BD8" s="9">
        <f>IF('Upto Month Current'!$B$54="",0,'Upto Month Current'!$B$54)</f>
        <v>1764</v>
      </c>
      <c r="BE8" s="9">
        <f>IF('Upto Month Current'!$B$55="",0,'Upto Month Current'!$B$55)</f>
        <v>0</v>
      </c>
      <c r="BF8" s="9">
        <f>IF('Upto Month Current'!$B$56="",0,'Upto Month Current'!$B$56)</f>
        <v>544</v>
      </c>
      <c r="BG8" s="9">
        <f>IF('Upto Month Current'!$B$58="",0,'Upto Month Current'!$B$58)</f>
        <v>3067</v>
      </c>
      <c r="BH8" s="9">
        <f>SUM(AE8:BG8)</f>
        <v>74439</v>
      </c>
      <c r="BI8" s="127">
        <f>AD8+BH8</f>
        <v>1050974</v>
      </c>
      <c r="BJ8" s="9">
        <f>IF('Upto Month Current'!$B$60="",0,'Upto Month Current'!$B$60)</f>
        <v>450</v>
      </c>
      <c r="BK8" s="51">
        <f t="shared" ref="BK8" si="5">BI8-BJ8</f>
        <v>1050524</v>
      </c>
      <c r="BL8">
        <f>'Upto Month Current'!$B$61</f>
        <v>1050524</v>
      </c>
      <c r="BM8" s="30">
        <f t="shared" si="4"/>
        <v>73989</v>
      </c>
    </row>
    <row r="9" spans="1:67" ht="15.75" x14ac:dyDescent="0.25">
      <c r="A9" s="130"/>
      <c r="B9" s="5" t="s">
        <v>132</v>
      </c>
      <c r="C9" s="11">
        <f>C8-C6</f>
        <v>26097</v>
      </c>
      <c r="D9" s="11">
        <f t="shared" ref="D9:BK9" si="6">D8-D6</f>
        <v>4062</v>
      </c>
      <c r="E9" s="11">
        <f t="shared" si="6"/>
        <v>422</v>
      </c>
      <c r="F9" s="11">
        <f t="shared" si="6"/>
        <v>-683</v>
      </c>
      <c r="G9" s="11">
        <f t="shared" si="6"/>
        <v>-1679</v>
      </c>
      <c r="H9" s="11">
        <f t="shared" si="6"/>
        <v>0</v>
      </c>
      <c r="I9" s="11">
        <f t="shared" si="6"/>
        <v>0</v>
      </c>
      <c r="J9" s="11">
        <f t="shared" si="6"/>
        <v>-221</v>
      </c>
      <c r="K9" s="11">
        <f t="shared" si="6"/>
        <v>-1.08</v>
      </c>
      <c r="L9" s="11">
        <f t="shared" si="6"/>
        <v>-1894</v>
      </c>
      <c r="M9" s="11">
        <f t="shared" si="6"/>
        <v>-2592</v>
      </c>
      <c r="N9" s="11">
        <f t="shared" si="6"/>
        <v>-1720</v>
      </c>
      <c r="O9" s="11">
        <f t="shared" si="6"/>
        <v>-429</v>
      </c>
      <c r="P9" s="11">
        <f t="shared" si="6"/>
        <v>4533</v>
      </c>
      <c r="Q9" s="11">
        <f t="shared" si="6"/>
        <v>0</v>
      </c>
      <c r="R9" s="11">
        <f t="shared" si="6"/>
        <v>-2667</v>
      </c>
      <c r="S9" s="11">
        <f t="shared" si="6"/>
        <v>0</v>
      </c>
      <c r="T9" s="11">
        <f t="shared" si="6"/>
        <v>0</v>
      </c>
      <c r="U9" s="11">
        <f t="shared" ref="U9" si="7">U8-U6</f>
        <v>0</v>
      </c>
      <c r="V9" s="9">
        <f t="shared" si="6"/>
        <v>0</v>
      </c>
      <c r="W9" s="11">
        <f t="shared" si="6"/>
        <v>-261</v>
      </c>
      <c r="X9" s="11">
        <f t="shared" si="6"/>
        <v>-105</v>
      </c>
      <c r="Y9" s="11">
        <f t="shared" si="6"/>
        <v>1039</v>
      </c>
      <c r="Z9" s="11">
        <f t="shared" si="6"/>
        <v>300</v>
      </c>
      <c r="AA9" s="11">
        <f t="shared" si="6"/>
        <v>570</v>
      </c>
      <c r="AB9" s="11">
        <f t="shared" ref="AB9" si="8">AB8-AB6</f>
        <v>197</v>
      </c>
      <c r="AC9" s="10">
        <f t="shared" ref="AC9" si="9">AC8-AC6</f>
        <v>0</v>
      </c>
      <c r="AD9" s="11">
        <f t="shared" si="6"/>
        <v>24967.920000000042</v>
      </c>
      <c r="AE9" s="11">
        <f t="shared" si="6"/>
        <v>-3991</v>
      </c>
      <c r="AF9" s="11">
        <f t="shared" si="6"/>
        <v>-1521</v>
      </c>
      <c r="AG9" s="11">
        <f t="shared" si="6"/>
        <v>24774</v>
      </c>
      <c r="AH9" s="11">
        <f t="shared" si="6"/>
        <v>0</v>
      </c>
      <c r="AI9" s="11">
        <f t="shared" si="6"/>
        <v>0</v>
      </c>
      <c r="AJ9" s="11">
        <f t="shared" si="6"/>
        <v>-1567</v>
      </c>
      <c r="AK9" s="11">
        <f t="shared" si="6"/>
        <v>-495</v>
      </c>
      <c r="AL9" s="11">
        <f t="shared" si="6"/>
        <v>-1641</v>
      </c>
      <c r="AM9" s="11">
        <f t="shared" si="6"/>
        <v>-307</v>
      </c>
      <c r="AN9" s="11">
        <f t="shared" si="6"/>
        <v>-5</v>
      </c>
      <c r="AO9" s="9">
        <f t="shared" si="6"/>
        <v>-2653</v>
      </c>
      <c r="AP9" s="11">
        <f t="shared" si="6"/>
        <v>-0.36</v>
      </c>
      <c r="AQ9" s="10">
        <f t="shared" si="6"/>
        <v>0</v>
      </c>
      <c r="AR9" s="11">
        <f t="shared" si="6"/>
        <v>0</v>
      </c>
      <c r="AS9" s="11">
        <f t="shared" si="6"/>
        <v>0</v>
      </c>
      <c r="AT9" s="11">
        <f t="shared" si="6"/>
        <v>0</v>
      </c>
      <c r="AU9" s="11">
        <f t="shared" si="6"/>
        <v>0</v>
      </c>
      <c r="AV9" s="11">
        <f t="shared" si="6"/>
        <v>0</v>
      </c>
      <c r="AW9" s="11">
        <f t="shared" si="6"/>
        <v>-1034</v>
      </c>
      <c r="AX9" s="11">
        <f t="shared" si="6"/>
        <v>-730</v>
      </c>
      <c r="AY9" s="11">
        <f t="shared" si="6"/>
        <v>805</v>
      </c>
      <c r="AZ9" s="11">
        <f t="shared" si="6"/>
        <v>0</v>
      </c>
      <c r="BA9" s="11">
        <f t="shared" si="6"/>
        <v>0</v>
      </c>
      <c r="BB9" s="10">
        <f t="shared" si="6"/>
        <v>0</v>
      </c>
      <c r="BC9" s="11">
        <f t="shared" si="6"/>
        <v>-490</v>
      </c>
      <c r="BD9" s="11">
        <f t="shared" si="6"/>
        <v>-490</v>
      </c>
      <c r="BE9" s="11">
        <f t="shared" si="6"/>
        <v>-4</v>
      </c>
      <c r="BF9" s="11">
        <f t="shared" si="6"/>
        <v>7</v>
      </c>
      <c r="BG9" s="11">
        <f t="shared" si="6"/>
        <v>-11744</v>
      </c>
      <c r="BH9" s="9">
        <f t="shared" si="6"/>
        <v>-1086.3600000000006</v>
      </c>
      <c r="BI9" s="45">
        <f t="shared" si="6"/>
        <v>23881.560000000056</v>
      </c>
      <c r="BJ9" s="11">
        <f t="shared" si="6"/>
        <v>90</v>
      </c>
      <c r="BK9" s="51">
        <f t="shared" si="6"/>
        <v>23791.560000000056</v>
      </c>
      <c r="BM9" s="30">
        <f t="shared" si="4"/>
        <v>-1176.359999999986</v>
      </c>
    </row>
    <row r="10" spans="1:67" ht="15.75" x14ac:dyDescent="0.25">
      <c r="A10" s="130"/>
      <c r="B10" s="5" t="s">
        <v>133</v>
      </c>
      <c r="C10" s="13">
        <f>C9/C6</f>
        <v>3.7763834584072536E-2</v>
      </c>
      <c r="D10" s="13">
        <f t="shared" ref="D10:BM10" si="10">D9/D6</f>
        <v>3.4532887857379686E-2</v>
      </c>
      <c r="E10" s="13" t="e">
        <f t="shared" si="10"/>
        <v>#DIV/0!</v>
      </c>
      <c r="F10" s="13">
        <f t="shared" si="10"/>
        <v>-9.25825516456108E-3</v>
      </c>
      <c r="G10" s="13">
        <f t="shared" si="10"/>
        <v>-5.4822699666949651E-2</v>
      </c>
      <c r="H10" s="13" t="e">
        <f t="shared" si="10"/>
        <v>#DIV/0!</v>
      </c>
      <c r="I10" s="13" t="e">
        <f t="shared" si="10"/>
        <v>#DIV/0!</v>
      </c>
      <c r="J10" s="13">
        <f t="shared" si="10"/>
        <v>-0.22211055276381911</v>
      </c>
      <c r="K10" s="13">
        <f t="shared" si="10"/>
        <v>-1</v>
      </c>
      <c r="L10" s="13">
        <f t="shared" si="10"/>
        <v>-0.7918060200668896</v>
      </c>
      <c r="M10" s="13">
        <f t="shared" si="10"/>
        <v>-0.68662251655629136</v>
      </c>
      <c r="N10" s="13">
        <f t="shared" si="10"/>
        <v>-0.64131245339299026</v>
      </c>
      <c r="O10" s="13">
        <f t="shared" si="10"/>
        <v>-0.10209424083769633</v>
      </c>
      <c r="P10" s="13">
        <f t="shared" si="10"/>
        <v>0.27491054642488932</v>
      </c>
      <c r="Q10" s="13" t="e">
        <f t="shared" si="10"/>
        <v>#DIV/0!</v>
      </c>
      <c r="R10" s="13">
        <f t="shared" si="10"/>
        <v>-0.50597609561752988</v>
      </c>
      <c r="S10" s="13" t="e">
        <f t="shared" si="10"/>
        <v>#DIV/0!</v>
      </c>
      <c r="T10" s="13" t="e">
        <f t="shared" si="10"/>
        <v>#DIV/0!</v>
      </c>
      <c r="U10" s="13" t="e">
        <f t="shared" ref="U10" si="11">U9/U6</f>
        <v>#DIV/0!</v>
      </c>
      <c r="V10" s="165" t="e">
        <f t="shared" si="10"/>
        <v>#DIV/0!</v>
      </c>
      <c r="W10" s="13">
        <f t="shared" si="10"/>
        <v>-1</v>
      </c>
      <c r="X10" s="13">
        <f t="shared" si="10"/>
        <v>-1</v>
      </c>
      <c r="Y10" s="13">
        <f t="shared" si="10"/>
        <v>1.0744570837642193</v>
      </c>
      <c r="Z10" s="13">
        <f t="shared" si="10"/>
        <v>7.3170731707317076</v>
      </c>
      <c r="AA10" s="13">
        <f t="shared" si="10"/>
        <v>13.571428571428571</v>
      </c>
      <c r="AB10" s="13">
        <f t="shared" ref="AB10" si="12">AB9/AB6</f>
        <v>0.15622521808088818</v>
      </c>
      <c r="AC10" s="14" t="e">
        <f t="shared" ref="AC10" si="13">AC9/AC6</f>
        <v>#DIV/0!</v>
      </c>
      <c r="AD10" s="13">
        <f t="shared" si="10"/>
        <v>2.6238738734005011E-2</v>
      </c>
      <c r="AE10" s="13">
        <f t="shared" si="10"/>
        <v>-0.61315102166231372</v>
      </c>
      <c r="AF10" s="13">
        <f t="shared" si="10"/>
        <v>-0.49287103046014258</v>
      </c>
      <c r="AG10" s="13">
        <f t="shared" si="10"/>
        <v>2.6644439664443968</v>
      </c>
      <c r="AH10" s="13" t="e">
        <f t="shared" si="10"/>
        <v>#DIV/0!</v>
      </c>
      <c r="AI10" s="13" t="e">
        <f t="shared" si="10"/>
        <v>#DIV/0!</v>
      </c>
      <c r="AJ10" s="13">
        <f t="shared" si="10"/>
        <v>-0.83395423097392229</v>
      </c>
      <c r="AK10" s="13">
        <f t="shared" si="10"/>
        <v>-0.13723315774882175</v>
      </c>
      <c r="AL10" s="13">
        <f t="shared" si="10"/>
        <v>-0.35557963163596967</v>
      </c>
      <c r="AM10" s="13">
        <f t="shared" si="10"/>
        <v>-0.87464387464387461</v>
      </c>
      <c r="AN10" s="13">
        <f t="shared" si="10"/>
        <v>-1</v>
      </c>
      <c r="AO10" s="165">
        <f t="shared" si="10"/>
        <v>-0.14374729085392285</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-0.26051902242378433</v>
      </c>
      <c r="AX10" s="13">
        <f t="shared" si="10"/>
        <v>-0.26183644189383071</v>
      </c>
      <c r="AY10" s="13">
        <f t="shared" si="10"/>
        <v>0.73049001814882031</v>
      </c>
      <c r="AZ10" s="13" t="e">
        <f t="shared" si="10"/>
        <v>#DIV/0!</v>
      </c>
      <c r="BA10" s="13" t="e">
        <f t="shared" si="10"/>
        <v>#DIV/0!</v>
      </c>
      <c r="BB10" s="14" t="e">
        <f t="shared" si="10"/>
        <v>#DIV/0!</v>
      </c>
      <c r="BC10" s="13">
        <f t="shared" si="10"/>
        <v>-0.21739130434782608</v>
      </c>
      <c r="BD10" s="13">
        <f t="shared" si="10"/>
        <v>-0.21739130434782608</v>
      </c>
      <c r="BE10" s="13">
        <f t="shared" si="10"/>
        <v>-1</v>
      </c>
      <c r="BF10" s="13">
        <f t="shared" si="10"/>
        <v>1.3035381750465549E-2</v>
      </c>
      <c r="BG10" s="13">
        <f t="shared" si="10"/>
        <v>-0.79292417797582881</v>
      </c>
      <c r="BH10" s="165">
        <f t="shared" si="10"/>
        <v>-1.4384042657989324E-2</v>
      </c>
      <c r="BI10" s="46">
        <f t="shared" si="10"/>
        <v>2.3251616962539474E-2</v>
      </c>
      <c r="BJ10" s="13">
        <f t="shared" si="10"/>
        <v>0.25</v>
      </c>
      <c r="BK10" s="52">
        <f t="shared" si="10"/>
        <v>2.3172112882690311E-2</v>
      </c>
      <c r="BM10" s="165" t="e">
        <f t="shared" si="10"/>
        <v>#DIV/0!</v>
      </c>
    </row>
    <row r="11" spans="1:67" ht="15.75" x14ac:dyDescent="0.25">
      <c r="A11" s="130"/>
      <c r="B11" s="5" t="s">
        <v>134</v>
      </c>
      <c r="C11" s="11">
        <f>C8-C7</f>
        <v>3312</v>
      </c>
      <c r="D11" s="11">
        <f t="shared" ref="D11:BK11" si="14">D8-D7</f>
        <v>3964</v>
      </c>
      <c r="E11" s="11">
        <f t="shared" si="14"/>
        <v>-426</v>
      </c>
      <c r="F11" s="11">
        <f t="shared" si="14"/>
        <v>-1197</v>
      </c>
      <c r="G11" s="11">
        <f t="shared" si="14"/>
        <v>313</v>
      </c>
      <c r="H11" s="11">
        <f t="shared" si="14"/>
        <v>0</v>
      </c>
      <c r="I11" s="11">
        <f t="shared" si="14"/>
        <v>0</v>
      </c>
      <c r="J11" s="11">
        <f t="shared" si="14"/>
        <v>20</v>
      </c>
      <c r="K11" s="11">
        <f t="shared" si="14"/>
        <v>0</v>
      </c>
      <c r="L11" s="11">
        <f t="shared" si="14"/>
        <v>-1771</v>
      </c>
      <c r="M11" s="11">
        <f t="shared" si="14"/>
        <v>-219</v>
      </c>
      <c r="N11" s="11">
        <f t="shared" si="14"/>
        <v>540</v>
      </c>
      <c r="O11" s="11">
        <f t="shared" si="14"/>
        <v>140</v>
      </c>
      <c r="P11" s="11">
        <f t="shared" si="14"/>
        <v>5728</v>
      </c>
      <c r="Q11" s="11">
        <f t="shared" si="14"/>
        <v>0</v>
      </c>
      <c r="R11" s="11">
        <f t="shared" si="14"/>
        <v>736</v>
      </c>
      <c r="S11" s="11">
        <f t="shared" si="14"/>
        <v>0</v>
      </c>
      <c r="T11" s="11">
        <f t="shared" si="14"/>
        <v>0</v>
      </c>
      <c r="U11" s="11">
        <f t="shared" ref="U11" si="15">U8-U7</f>
        <v>-523</v>
      </c>
      <c r="V11" s="9">
        <f t="shared" si="14"/>
        <v>0</v>
      </c>
      <c r="W11" s="11">
        <f t="shared" si="14"/>
        <v>-323</v>
      </c>
      <c r="X11" s="11">
        <f t="shared" si="14"/>
        <v>0</v>
      </c>
      <c r="Y11" s="11">
        <f t="shared" si="14"/>
        <v>-1914</v>
      </c>
      <c r="Z11" s="11">
        <f t="shared" si="14"/>
        <v>-985</v>
      </c>
      <c r="AA11" s="11">
        <f t="shared" si="14"/>
        <v>171</v>
      </c>
      <c r="AB11" s="11">
        <f t="shared" ref="AB11" si="16">AB8-AB7</f>
        <v>1458</v>
      </c>
      <c r="AC11" s="10">
        <f t="shared" ref="AC11" si="17">AC8-AC7</f>
        <v>0</v>
      </c>
      <c r="AD11" s="11">
        <f t="shared" si="14"/>
        <v>9024</v>
      </c>
      <c r="AE11" s="11">
        <f t="shared" si="14"/>
        <v>-2218</v>
      </c>
      <c r="AF11" s="11">
        <f t="shared" si="14"/>
        <v>-1023</v>
      </c>
      <c r="AG11" s="11">
        <f t="shared" si="14"/>
        <v>-6558</v>
      </c>
      <c r="AH11" s="11">
        <f t="shared" si="14"/>
        <v>0</v>
      </c>
      <c r="AI11" s="11">
        <f t="shared" si="14"/>
        <v>0</v>
      </c>
      <c r="AJ11" s="11">
        <f t="shared" si="14"/>
        <v>-2545</v>
      </c>
      <c r="AK11" s="11">
        <f t="shared" si="14"/>
        <v>604</v>
      </c>
      <c r="AL11" s="11">
        <f t="shared" si="14"/>
        <v>-1388</v>
      </c>
      <c r="AM11" s="11">
        <f t="shared" si="14"/>
        <v>-74</v>
      </c>
      <c r="AN11" s="11">
        <f t="shared" si="14"/>
        <v>-1</v>
      </c>
      <c r="AO11" s="9">
        <f t="shared" si="14"/>
        <v>-6114</v>
      </c>
      <c r="AP11" s="11">
        <f t="shared" si="14"/>
        <v>0</v>
      </c>
      <c r="AQ11" s="10">
        <f t="shared" si="14"/>
        <v>0</v>
      </c>
      <c r="AR11" s="11">
        <f t="shared" si="14"/>
        <v>0</v>
      </c>
      <c r="AS11" s="11">
        <f t="shared" si="14"/>
        <v>0</v>
      </c>
      <c r="AT11" s="11">
        <f t="shared" si="14"/>
        <v>0</v>
      </c>
      <c r="AU11" s="11">
        <f t="shared" si="14"/>
        <v>0</v>
      </c>
      <c r="AV11" s="11">
        <f t="shared" si="14"/>
        <v>0</v>
      </c>
      <c r="AW11" s="11">
        <f t="shared" si="14"/>
        <v>-1194</v>
      </c>
      <c r="AX11" s="11">
        <f t="shared" si="14"/>
        <v>-646</v>
      </c>
      <c r="AY11" s="11">
        <f t="shared" si="14"/>
        <v>909</v>
      </c>
      <c r="AZ11" s="11">
        <f t="shared" si="14"/>
        <v>0</v>
      </c>
      <c r="BA11" s="11">
        <f t="shared" si="14"/>
        <v>0</v>
      </c>
      <c r="BB11" s="10">
        <f t="shared" si="14"/>
        <v>-10</v>
      </c>
      <c r="BC11" s="11">
        <f t="shared" si="14"/>
        <v>-1056</v>
      </c>
      <c r="BD11" s="11">
        <f t="shared" si="14"/>
        <v>-1056</v>
      </c>
      <c r="BE11" s="11">
        <f t="shared" si="14"/>
        <v>0</v>
      </c>
      <c r="BF11" s="11">
        <f t="shared" si="14"/>
        <v>-427</v>
      </c>
      <c r="BG11" s="11">
        <f t="shared" si="14"/>
        <v>-5166</v>
      </c>
      <c r="BH11" s="9">
        <f t="shared" si="14"/>
        <v>-27963</v>
      </c>
      <c r="BI11" s="45">
        <f t="shared" si="14"/>
        <v>-18939</v>
      </c>
      <c r="BJ11" s="11">
        <f t="shared" si="14"/>
        <v>344</v>
      </c>
      <c r="BK11" s="51">
        <f t="shared" si="14"/>
        <v>-19283</v>
      </c>
      <c r="BM11" s="30">
        <f t="shared" si="4"/>
        <v>-28307</v>
      </c>
    </row>
    <row r="12" spans="1:67" ht="15.75" x14ac:dyDescent="0.25">
      <c r="A12" s="130"/>
      <c r="B12" s="5" t="s">
        <v>135</v>
      </c>
      <c r="C12" s="13">
        <f>C11/C7</f>
        <v>4.6396756709808735E-3</v>
      </c>
      <c r="D12" s="13">
        <f t="shared" ref="D12:BM12" si="18">D11/D7</f>
        <v>3.3671692503716287E-2</v>
      </c>
      <c r="E12" s="13">
        <f t="shared" si="18"/>
        <v>-0.50235849056603776</v>
      </c>
      <c r="F12" s="13">
        <f t="shared" si="18"/>
        <v>-1.611339956384783E-2</v>
      </c>
      <c r="G12" s="13">
        <f t="shared" si="18"/>
        <v>1.093106097646155E-2</v>
      </c>
      <c r="H12" s="13" t="e">
        <f t="shared" si="18"/>
        <v>#DIV/0!</v>
      </c>
      <c r="I12" s="13" t="e">
        <f t="shared" si="18"/>
        <v>#DIV/0!</v>
      </c>
      <c r="J12" s="13">
        <f t="shared" si="18"/>
        <v>2.6525198938992044E-2</v>
      </c>
      <c r="K12" s="13" t="e">
        <f t="shared" si="18"/>
        <v>#DIV/0!</v>
      </c>
      <c r="L12" s="13">
        <f t="shared" si="18"/>
        <v>-0.78052005288673421</v>
      </c>
      <c r="M12" s="13">
        <f t="shared" si="18"/>
        <v>-0.15620542082738945</v>
      </c>
      <c r="N12" s="13">
        <f t="shared" si="18"/>
        <v>1.2796208530805686</v>
      </c>
      <c r="O12" s="13">
        <f t="shared" si="18"/>
        <v>3.8535645472061654E-2</v>
      </c>
      <c r="P12" s="13">
        <f t="shared" si="18"/>
        <v>0.37452595789198379</v>
      </c>
      <c r="Q12" s="13" t="e">
        <f t="shared" si="18"/>
        <v>#DIV/0!</v>
      </c>
      <c r="R12" s="13">
        <f t="shared" si="18"/>
        <v>0.39400428265524623</v>
      </c>
      <c r="S12" s="13" t="e">
        <f t="shared" si="18"/>
        <v>#DIV/0!</v>
      </c>
      <c r="T12" s="13" t="e">
        <f t="shared" si="18"/>
        <v>#DIV/0!</v>
      </c>
      <c r="U12" s="13">
        <f t="shared" ref="U12" si="19">U11/U7</f>
        <v>-1</v>
      </c>
      <c r="V12" s="165" t="e">
        <f t="shared" si="18"/>
        <v>#DIV/0!</v>
      </c>
      <c r="W12" s="13">
        <f t="shared" si="18"/>
        <v>-1</v>
      </c>
      <c r="X12" s="13" t="e">
        <f t="shared" si="18"/>
        <v>#DIV/0!</v>
      </c>
      <c r="Y12" s="13">
        <f t="shared" si="18"/>
        <v>-0.48826530612244901</v>
      </c>
      <c r="Z12" s="13">
        <f t="shared" si="18"/>
        <v>-0.74283559577677227</v>
      </c>
      <c r="AA12" s="13">
        <f t="shared" si="18"/>
        <v>0.38775510204081631</v>
      </c>
      <c r="AB12" s="13" t="e">
        <f t="shared" ref="AB12" si="20">AB11/AB7</f>
        <v>#DIV/0!</v>
      </c>
      <c r="AC12" s="14" t="e">
        <f t="shared" ref="AC12" si="21">AC11/AC7</f>
        <v>#DIV/0!</v>
      </c>
      <c r="AD12" s="13">
        <f t="shared" si="18"/>
        <v>9.3270257392422413E-3</v>
      </c>
      <c r="AE12" s="13">
        <f t="shared" si="18"/>
        <v>-0.46832770270270269</v>
      </c>
      <c r="AF12" s="13">
        <f t="shared" si="18"/>
        <v>-0.3952859350850077</v>
      </c>
      <c r="AG12" s="13">
        <f t="shared" si="18"/>
        <v>-0.16140782672901796</v>
      </c>
      <c r="AH12" s="13" t="e">
        <f t="shared" si="18"/>
        <v>#DIV/0!</v>
      </c>
      <c r="AI12" s="13" t="e">
        <f t="shared" si="18"/>
        <v>#DIV/0!</v>
      </c>
      <c r="AJ12" s="13">
        <f t="shared" si="18"/>
        <v>-0.8907945397269863</v>
      </c>
      <c r="AK12" s="13">
        <f t="shared" si="18"/>
        <v>0.24082934609250398</v>
      </c>
      <c r="AL12" s="13">
        <f t="shared" si="18"/>
        <v>-0.31820265933058228</v>
      </c>
      <c r="AM12" s="13">
        <f t="shared" si="18"/>
        <v>-0.6271186440677966</v>
      </c>
      <c r="AN12" s="13">
        <f t="shared" si="18"/>
        <v>-1</v>
      </c>
      <c r="AO12" s="165">
        <f t="shared" si="18"/>
        <v>-0.27896153670666607</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-0.2891741341729232</v>
      </c>
      <c r="AX12" s="13">
        <f t="shared" si="18"/>
        <v>-0.23890532544378698</v>
      </c>
      <c r="AY12" s="13">
        <f t="shared" si="18"/>
        <v>0.91082164328657311</v>
      </c>
      <c r="AZ12" s="13" t="e">
        <f t="shared" si="18"/>
        <v>#DIV/0!</v>
      </c>
      <c r="BA12" s="13" t="e">
        <f t="shared" si="18"/>
        <v>#DIV/0!</v>
      </c>
      <c r="BB12" s="14">
        <f t="shared" si="18"/>
        <v>-1</v>
      </c>
      <c r="BC12" s="13">
        <f t="shared" si="18"/>
        <v>-0.37446808510638296</v>
      </c>
      <c r="BD12" s="13">
        <f t="shared" si="18"/>
        <v>-0.37446808510638296</v>
      </c>
      <c r="BE12" s="13" t="e">
        <f t="shared" si="18"/>
        <v>#DIV/0!</v>
      </c>
      <c r="BF12" s="13">
        <f t="shared" si="18"/>
        <v>-0.43975283213182287</v>
      </c>
      <c r="BG12" s="13">
        <f t="shared" si="18"/>
        <v>-0.62747479655046767</v>
      </c>
      <c r="BH12" s="165">
        <f t="shared" si="18"/>
        <v>-0.27307083846018632</v>
      </c>
      <c r="BI12" s="46">
        <f t="shared" si="18"/>
        <v>-1.770143927590374E-2</v>
      </c>
      <c r="BJ12" s="13">
        <f t="shared" si="18"/>
        <v>3.2452830188679247</v>
      </c>
      <c r="BK12" s="52">
        <f t="shared" si="18"/>
        <v>-1.8024746519699347E-2</v>
      </c>
      <c r="BM12" s="14">
        <f t="shared" si="18"/>
        <v>-0.27671658715883318</v>
      </c>
      <c r="BO12" s="36"/>
    </row>
    <row r="13" spans="1:67" ht="15.75" x14ac:dyDescent="0.25">
      <c r="A13" s="130"/>
      <c r="B13" s="5" t="s">
        <v>210</v>
      </c>
      <c r="C13" s="128">
        <f>C8/C5</f>
        <v>0.26981812846135322</v>
      </c>
      <c r="D13" s="128">
        <f t="shared" ref="D13:BM13" si="22">D8/D5</f>
        <v>0.26897649282185604</v>
      </c>
      <c r="E13" s="128">
        <f t="shared" si="22"/>
        <v>5.8192448771339526E-3</v>
      </c>
      <c r="F13" s="128">
        <f t="shared" si="22"/>
        <v>0.25758964129385148</v>
      </c>
      <c r="G13" s="128">
        <f t="shared" si="22"/>
        <v>0.24571753560939172</v>
      </c>
      <c r="H13" s="128" t="e">
        <f t="shared" si="22"/>
        <v>#DIV/0!</v>
      </c>
      <c r="I13" s="128" t="e">
        <f t="shared" si="22"/>
        <v>#DIV/0!</v>
      </c>
      <c r="J13" s="128">
        <f t="shared" si="22"/>
        <v>0.2023529411764706</v>
      </c>
      <c r="K13" s="128">
        <f t="shared" si="22"/>
        <v>0</v>
      </c>
      <c r="L13" s="128">
        <f t="shared" si="22"/>
        <v>5.4124551679165307E-2</v>
      </c>
      <c r="M13" s="128">
        <f t="shared" si="22"/>
        <v>8.1513126162750638E-2</v>
      </c>
      <c r="N13" s="128">
        <f t="shared" si="22"/>
        <v>9.3316519546027737E-2</v>
      </c>
      <c r="O13" s="128">
        <f t="shared" si="22"/>
        <v>0.2334199455580302</v>
      </c>
      <c r="P13" s="128">
        <f t="shared" si="22"/>
        <v>0.33148840216345776</v>
      </c>
      <c r="Q13" s="128" t="e">
        <f t="shared" si="22"/>
        <v>#DIV/0!</v>
      </c>
      <c r="R13" s="128">
        <f t="shared" si="22"/>
        <v>0.12844670251072857</v>
      </c>
      <c r="S13" s="128" t="e">
        <f t="shared" si="22"/>
        <v>#DIV/0!</v>
      </c>
      <c r="T13" s="128" t="e">
        <f t="shared" si="22"/>
        <v>#DIV/0!</v>
      </c>
      <c r="U13" s="128" t="e">
        <f t="shared" si="22"/>
        <v>#DIV/0!</v>
      </c>
      <c r="V13" s="180" t="e">
        <f t="shared" si="22"/>
        <v>#DIV/0!</v>
      </c>
      <c r="W13" s="128">
        <f t="shared" si="22"/>
        <v>0</v>
      </c>
      <c r="X13" s="128">
        <f t="shared" si="22"/>
        <v>0</v>
      </c>
      <c r="Y13" s="128">
        <f t="shared" si="22"/>
        <v>0.53997308209959627</v>
      </c>
      <c r="Z13" s="128">
        <f t="shared" si="22"/>
        <v>2.1719745222929938</v>
      </c>
      <c r="AA13" s="128">
        <f t="shared" si="22"/>
        <v>3.709090909090909</v>
      </c>
      <c r="AB13" s="128">
        <f t="shared" ref="AB13" si="23">AB8/AB5</f>
        <v>0.30099091659785299</v>
      </c>
      <c r="AC13" s="222" t="e">
        <f t="shared" si="22"/>
        <v>#DIV/0!</v>
      </c>
      <c r="AD13" s="128">
        <f t="shared" si="22"/>
        <v>0.26163728432108024</v>
      </c>
      <c r="AE13" s="128">
        <f t="shared" si="22"/>
        <v>0.10059928086296445</v>
      </c>
      <c r="AF13" s="128">
        <f t="shared" si="22"/>
        <v>0.13188943199056127</v>
      </c>
      <c r="AG13" s="128">
        <f t="shared" si="22"/>
        <v>0.95258331469469915</v>
      </c>
      <c r="AH13" s="128" t="e">
        <f t="shared" si="22"/>
        <v>#DIV/0!</v>
      </c>
      <c r="AI13" s="128" t="e">
        <f t="shared" si="22"/>
        <v>#DIV/0!</v>
      </c>
      <c r="AJ13" s="128">
        <f t="shared" si="22"/>
        <v>4.3219282449092671E-2</v>
      </c>
      <c r="AK13" s="128">
        <f t="shared" si="22"/>
        <v>0.22435296662100787</v>
      </c>
      <c r="AL13" s="128">
        <f t="shared" si="22"/>
        <v>0.16752098236917703</v>
      </c>
      <c r="AM13" s="128">
        <f t="shared" si="22"/>
        <v>3.2640949554896145E-2</v>
      </c>
      <c r="AN13" s="128">
        <f t="shared" si="22"/>
        <v>0</v>
      </c>
      <c r="AO13" s="180">
        <f t="shared" si="22"/>
        <v>0.22259314036199732</v>
      </c>
      <c r="AP13" s="128">
        <f t="shared" si="22"/>
        <v>0</v>
      </c>
      <c r="AQ13" s="222" t="e">
        <f t="shared" si="22"/>
        <v>#DIV/0!</v>
      </c>
      <c r="AR13" s="128" t="e">
        <f t="shared" si="22"/>
        <v>#DIV/0!</v>
      </c>
      <c r="AS13" s="128" t="e">
        <f t="shared" si="22"/>
        <v>#DIV/0!</v>
      </c>
      <c r="AT13" s="128" t="e">
        <f t="shared" si="22"/>
        <v>#DIV/0!</v>
      </c>
      <c r="AU13" s="128" t="e">
        <f t="shared" si="22"/>
        <v>#DIV/0!</v>
      </c>
      <c r="AV13" s="128" t="e">
        <f t="shared" si="22"/>
        <v>#DIV/0!</v>
      </c>
      <c r="AW13" s="128">
        <f t="shared" si="22"/>
        <v>0.19226989846053064</v>
      </c>
      <c r="AX13" s="128">
        <f t="shared" si="22"/>
        <v>0.19192390189312691</v>
      </c>
      <c r="AY13" s="128">
        <f t="shared" si="22"/>
        <v>0.44987025241802314</v>
      </c>
      <c r="AZ13" s="128" t="e">
        <f t="shared" si="22"/>
        <v>#DIV/0!</v>
      </c>
      <c r="BA13" s="128" t="e">
        <f t="shared" si="22"/>
        <v>#DIV/0!</v>
      </c>
      <c r="BB13" s="222" t="e">
        <f t="shared" si="22"/>
        <v>#DIV/0!</v>
      </c>
      <c r="BC13" s="128">
        <f t="shared" si="22"/>
        <v>0.20355411954765751</v>
      </c>
      <c r="BD13" s="128">
        <f t="shared" si="22"/>
        <v>0.20355411954765751</v>
      </c>
      <c r="BE13" s="128">
        <f t="shared" si="22"/>
        <v>0</v>
      </c>
      <c r="BF13" s="128">
        <f t="shared" si="22"/>
        <v>0.26305609284332687</v>
      </c>
      <c r="BG13" s="128">
        <f t="shared" si="22"/>
        <v>5.3846694055268797E-2</v>
      </c>
      <c r="BH13" s="180">
        <f t="shared" si="22"/>
        <v>0.25627087134643856</v>
      </c>
      <c r="BI13" s="128">
        <f t="shared" si="22"/>
        <v>0.26124980424423361</v>
      </c>
      <c r="BJ13" s="128">
        <f t="shared" si="22"/>
        <v>0.31271716469770672</v>
      </c>
      <c r="BK13" s="128">
        <f t="shared" si="22"/>
        <v>0.26123138753344272</v>
      </c>
      <c r="BM13" s="128" t="e">
        <f t="shared" si="22"/>
        <v>#DIV/0!</v>
      </c>
    </row>
    <row r="14" spans="1:67" s="183" customFormat="1" ht="15.75" x14ac:dyDescent="0.25">
      <c r="A14" s="130"/>
      <c r="B14" s="5" t="s">
        <v>329</v>
      </c>
      <c r="C14" s="11">
        <f>C5-C8</f>
        <v>1940765</v>
      </c>
      <c r="D14" s="11">
        <f>D5-D8</f>
        <v>330726</v>
      </c>
      <c r="E14" s="11">
        <f>E5-E8</f>
        <v>72096</v>
      </c>
      <c r="F14" s="11">
        <f>F5-F8</f>
        <v>210653</v>
      </c>
      <c r="G14" s="11">
        <f t="shared" ref="G14:BM14" si="24">G5-G8</f>
        <v>88859</v>
      </c>
      <c r="H14" s="11">
        <f t="shared" si="24"/>
        <v>0</v>
      </c>
      <c r="I14" s="11">
        <f t="shared" si="24"/>
        <v>0</v>
      </c>
      <c r="J14" s="11">
        <f t="shared" si="24"/>
        <v>3051</v>
      </c>
      <c r="K14" s="11">
        <f t="shared" si="24"/>
        <v>6</v>
      </c>
      <c r="L14" s="11">
        <f t="shared" si="24"/>
        <v>8703</v>
      </c>
      <c r="M14" s="11">
        <f t="shared" si="24"/>
        <v>13330</v>
      </c>
      <c r="N14" s="11">
        <f t="shared" si="24"/>
        <v>9347</v>
      </c>
      <c r="O14" s="11">
        <f t="shared" si="24"/>
        <v>12391</v>
      </c>
      <c r="P14" s="11">
        <f t="shared" si="24"/>
        <v>42395</v>
      </c>
      <c r="Q14" s="11">
        <f t="shared" si="24"/>
        <v>0</v>
      </c>
      <c r="R14" s="11">
        <f t="shared" si="24"/>
        <v>17669</v>
      </c>
      <c r="S14" s="11">
        <f t="shared" si="24"/>
        <v>0</v>
      </c>
      <c r="T14" s="11">
        <f t="shared" si="24"/>
        <v>0</v>
      </c>
      <c r="U14" s="11">
        <f t="shared" si="24"/>
        <v>0</v>
      </c>
      <c r="V14" s="9">
        <f t="shared" si="24"/>
        <v>0</v>
      </c>
      <c r="W14" s="11">
        <f t="shared" si="24"/>
        <v>1004</v>
      </c>
      <c r="X14" s="11">
        <f t="shared" si="24"/>
        <v>406</v>
      </c>
      <c r="Y14" s="11">
        <f t="shared" si="24"/>
        <v>1709</v>
      </c>
      <c r="Z14" s="11">
        <f t="shared" si="24"/>
        <v>-184</v>
      </c>
      <c r="AA14" s="11">
        <f t="shared" si="24"/>
        <v>-447</v>
      </c>
      <c r="AB14" s="11">
        <f t="shared" ref="AB14" si="25">AB5-AB8</f>
        <v>3386</v>
      </c>
      <c r="AC14" s="10">
        <f t="shared" si="24"/>
        <v>0</v>
      </c>
      <c r="AD14" s="11">
        <f t="shared" si="24"/>
        <v>2755865</v>
      </c>
      <c r="AE14" s="11">
        <f t="shared" si="24"/>
        <v>22512</v>
      </c>
      <c r="AF14" s="11">
        <f t="shared" si="24"/>
        <v>10301</v>
      </c>
      <c r="AG14" s="11">
        <f t="shared" si="24"/>
        <v>1696</v>
      </c>
      <c r="AH14" s="11">
        <f t="shared" si="24"/>
        <v>0</v>
      </c>
      <c r="AI14" s="11">
        <f t="shared" si="24"/>
        <v>0</v>
      </c>
      <c r="AJ14" s="11">
        <f t="shared" si="24"/>
        <v>6907</v>
      </c>
      <c r="AK14" s="11">
        <f t="shared" si="24"/>
        <v>10759</v>
      </c>
      <c r="AL14" s="11">
        <f t="shared" si="24"/>
        <v>14779</v>
      </c>
      <c r="AM14" s="11">
        <f t="shared" si="24"/>
        <v>1304</v>
      </c>
      <c r="AN14" s="11">
        <f t="shared" si="24"/>
        <v>19</v>
      </c>
      <c r="AO14" s="9">
        <f t="shared" si="24"/>
        <v>55192</v>
      </c>
      <c r="AP14" s="11">
        <f t="shared" si="24"/>
        <v>2</v>
      </c>
      <c r="AQ14" s="10">
        <f t="shared" si="24"/>
        <v>0</v>
      </c>
      <c r="AR14" s="11">
        <f t="shared" si="24"/>
        <v>0</v>
      </c>
      <c r="AS14" s="11">
        <f t="shared" si="24"/>
        <v>0</v>
      </c>
      <c r="AT14" s="11">
        <f t="shared" si="24"/>
        <v>0</v>
      </c>
      <c r="AU14" s="11">
        <f t="shared" si="24"/>
        <v>0</v>
      </c>
      <c r="AV14" s="11">
        <f t="shared" si="24"/>
        <v>0</v>
      </c>
      <c r="AW14" s="11">
        <f t="shared" si="24"/>
        <v>12330</v>
      </c>
      <c r="AX14" s="11">
        <f t="shared" si="24"/>
        <v>8665</v>
      </c>
      <c r="AY14" s="11">
        <f t="shared" si="24"/>
        <v>2332</v>
      </c>
      <c r="AZ14" s="11">
        <f t="shared" si="24"/>
        <v>0</v>
      </c>
      <c r="BA14" s="11">
        <f t="shared" si="24"/>
        <v>0</v>
      </c>
      <c r="BB14" s="10">
        <f t="shared" si="24"/>
        <v>0</v>
      </c>
      <c r="BC14" s="11">
        <f t="shared" si="24"/>
        <v>6902</v>
      </c>
      <c r="BD14" s="11">
        <f t="shared" si="24"/>
        <v>6902</v>
      </c>
      <c r="BE14" s="11">
        <f t="shared" si="24"/>
        <v>14</v>
      </c>
      <c r="BF14" s="11">
        <f t="shared" si="24"/>
        <v>1524</v>
      </c>
      <c r="BG14" s="11">
        <f t="shared" si="24"/>
        <v>53891</v>
      </c>
      <c r="BH14" s="11">
        <f t="shared" si="24"/>
        <v>216031</v>
      </c>
      <c r="BI14" s="11">
        <f t="shared" si="24"/>
        <v>2971896</v>
      </c>
      <c r="BJ14" s="11">
        <f t="shared" si="24"/>
        <v>989</v>
      </c>
      <c r="BK14" s="11">
        <f t="shared" si="24"/>
        <v>2970907</v>
      </c>
      <c r="BL14" s="11">
        <f t="shared" si="24"/>
        <v>-1050523</v>
      </c>
      <c r="BM14" s="11">
        <f t="shared" si="24"/>
        <v>-73989</v>
      </c>
    </row>
    <row r="15" spans="1:67" ht="15.75" x14ac:dyDescent="0.2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44"/>
      <c r="BJ15" s="5"/>
      <c r="BK15" s="50"/>
    </row>
    <row r="16" spans="1:67" ht="15.75" x14ac:dyDescent="0.25">
      <c r="A16" s="15" t="s">
        <v>136</v>
      </c>
      <c r="B16" s="229" t="s">
        <v>298</v>
      </c>
      <c r="C16" s="122">
        <v>4776865</v>
      </c>
      <c r="D16" s="122">
        <v>812890</v>
      </c>
      <c r="E16" s="122">
        <v>272943</v>
      </c>
      <c r="F16" s="122">
        <v>384668</v>
      </c>
      <c r="G16" s="122">
        <v>275484</v>
      </c>
      <c r="H16" s="122">
        <v>0</v>
      </c>
      <c r="I16" s="122">
        <v>0</v>
      </c>
      <c r="J16" s="122">
        <v>0</v>
      </c>
      <c r="K16" s="122">
        <v>0</v>
      </c>
      <c r="L16" s="122">
        <v>74988</v>
      </c>
      <c r="M16" s="122">
        <v>508892</v>
      </c>
      <c r="N16" s="122">
        <v>638</v>
      </c>
      <c r="O16" s="122">
        <v>9836</v>
      </c>
      <c r="P16" s="122">
        <v>277243</v>
      </c>
      <c r="Q16" s="122">
        <v>0</v>
      </c>
      <c r="R16" s="122">
        <v>7855</v>
      </c>
      <c r="S16" s="122">
        <v>0</v>
      </c>
      <c r="T16" s="122">
        <v>0</v>
      </c>
      <c r="U16" s="122"/>
      <c r="V16" s="195">
        <v>0</v>
      </c>
      <c r="W16" s="122">
        <v>0</v>
      </c>
      <c r="X16" s="122">
        <v>0</v>
      </c>
      <c r="Y16" s="122">
        <v>11205</v>
      </c>
      <c r="Z16" s="122">
        <v>710</v>
      </c>
      <c r="AA16" s="122">
        <v>1257</v>
      </c>
      <c r="AB16" s="122">
        <v>8704</v>
      </c>
      <c r="AC16" s="154">
        <v>0</v>
      </c>
      <c r="AD16" s="123">
        <f t="shared" ref="AD16:AD17" si="26">SUM(C16:AC16)</f>
        <v>7424178</v>
      </c>
      <c r="AE16" s="122">
        <v>3210</v>
      </c>
      <c r="AF16" s="122">
        <v>1005</v>
      </c>
      <c r="AG16" s="122">
        <v>16779</v>
      </c>
      <c r="AH16" s="122">
        <v>0</v>
      </c>
      <c r="AI16" s="122">
        <v>0</v>
      </c>
      <c r="AJ16" s="122">
        <v>141</v>
      </c>
      <c r="AK16" s="122">
        <v>264414</v>
      </c>
      <c r="AL16" s="122">
        <v>284909</v>
      </c>
      <c r="AM16" s="122">
        <v>0</v>
      </c>
      <c r="AN16" s="122">
        <v>101024</v>
      </c>
      <c r="AO16" s="195">
        <v>835503</v>
      </c>
      <c r="AP16" s="122">
        <v>18310</v>
      </c>
      <c r="AQ16" s="154">
        <v>0</v>
      </c>
      <c r="AR16" s="122">
        <v>0</v>
      </c>
      <c r="AS16" s="122"/>
      <c r="AT16" s="122"/>
      <c r="AU16" s="122">
        <v>0</v>
      </c>
      <c r="AV16" s="122"/>
      <c r="AW16" s="122">
        <v>2724</v>
      </c>
      <c r="AX16" s="122">
        <v>2363</v>
      </c>
      <c r="AY16" s="122">
        <v>1366</v>
      </c>
      <c r="AZ16" s="122">
        <v>0</v>
      </c>
      <c r="BA16" s="122">
        <v>0</v>
      </c>
      <c r="BB16" s="154">
        <v>0</v>
      </c>
      <c r="BC16" s="122">
        <v>30573</v>
      </c>
      <c r="BD16" s="122">
        <v>30575</v>
      </c>
      <c r="BE16" s="122">
        <v>0</v>
      </c>
      <c r="BF16" s="122">
        <v>10406</v>
      </c>
      <c r="BG16" s="122">
        <v>22367</v>
      </c>
      <c r="BH16" s="9">
        <f>SUM(AE16:BG16)</f>
        <v>1625669</v>
      </c>
      <c r="BI16" s="127">
        <f>AD16+BH16</f>
        <v>9049847</v>
      </c>
      <c r="BJ16" s="98">
        <v>32950</v>
      </c>
      <c r="BK16" s="51">
        <f t="shared" ref="BK16:BK17" si="27">BI16-BJ16</f>
        <v>9016897</v>
      </c>
      <c r="BL16">
        <v>2</v>
      </c>
      <c r="BM16" s="30"/>
    </row>
    <row r="17" spans="1:65" s="41" customFormat="1" ht="15.75" x14ac:dyDescent="0.25">
      <c r="A17" s="136" t="s">
        <v>136</v>
      </c>
      <c r="B17" s="225" t="s">
        <v>326</v>
      </c>
      <c r="C17" s="10">
        <v>1241985</v>
      </c>
      <c r="D17" s="10">
        <v>211350</v>
      </c>
      <c r="E17" s="10">
        <v>-1</v>
      </c>
      <c r="F17" s="10">
        <v>99991</v>
      </c>
      <c r="G17" s="10">
        <v>71623</v>
      </c>
      <c r="H17" s="10">
        <v>0</v>
      </c>
      <c r="I17" s="10">
        <v>0</v>
      </c>
      <c r="J17" s="10">
        <v>0</v>
      </c>
      <c r="K17" s="10">
        <v>0</v>
      </c>
      <c r="L17" s="10">
        <v>19497</v>
      </c>
      <c r="M17" s="10">
        <v>132311</v>
      </c>
      <c r="N17" s="10">
        <v>166</v>
      </c>
      <c r="O17" s="10">
        <v>2557</v>
      </c>
      <c r="P17" s="10">
        <v>72086</v>
      </c>
      <c r="Q17" s="10">
        <v>0</v>
      </c>
      <c r="R17" s="10">
        <v>2041</v>
      </c>
      <c r="S17" s="10">
        <v>0</v>
      </c>
      <c r="T17" s="10">
        <v>0</v>
      </c>
      <c r="U17" s="10"/>
      <c r="V17" s="10">
        <v>0</v>
      </c>
      <c r="W17" s="10">
        <v>0</v>
      </c>
      <c r="X17" s="10">
        <v>0</v>
      </c>
      <c r="Y17" s="10">
        <v>2914</v>
      </c>
      <c r="Z17" s="10">
        <v>185</v>
      </c>
      <c r="AA17" s="10">
        <v>348</v>
      </c>
      <c r="AB17" s="10">
        <v>2263</v>
      </c>
      <c r="AC17" s="9">
        <v>0</v>
      </c>
      <c r="AD17" s="123">
        <f t="shared" si="26"/>
        <v>1859316</v>
      </c>
      <c r="AE17" s="10">
        <v>835</v>
      </c>
      <c r="AF17" s="10">
        <v>261</v>
      </c>
      <c r="AG17" s="10">
        <v>4363</v>
      </c>
      <c r="AH17" s="10">
        <v>0</v>
      </c>
      <c r="AI17" s="10">
        <v>0</v>
      </c>
      <c r="AJ17" s="10">
        <v>36</v>
      </c>
      <c r="AK17" s="10">
        <v>68749</v>
      </c>
      <c r="AL17" s="10">
        <v>74078</v>
      </c>
      <c r="AM17" s="10">
        <v>0</v>
      </c>
      <c r="AN17" s="10">
        <v>26266</v>
      </c>
      <c r="AO17" s="10">
        <v>217232</v>
      </c>
      <c r="AP17" s="10">
        <v>4761</v>
      </c>
      <c r="AQ17" s="9">
        <v>0</v>
      </c>
      <c r="AR17" s="10">
        <v>0</v>
      </c>
      <c r="AS17" s="10"/>
      <c r="AT17" s="10"/>
      <c r="AU17" s="10">
        <v>0</v>
      </c>
      <c r="AV17" s="10"/>
      <c r="AW17" s="10">
        <v>708</v>
      </c>
      <c r="AX17" s="10">
        <v>614</v>
      </c>
      <c r="AY17" s="10">
        <v>355</v>
      </c>
      <c r="AZ17" s="10">
        <v>0</v>
      </c>
      <c r="BA17" s="10">
        <v>0</v>
      </c>
      <c r="BB17" s="10">
        <v>0</v>
      </c>
      <c r="BC17" s="10">
        <v>7949</v>
      </c>
      <c r="BD17" s="10">
        <v>7950</v>
      </c>
      <c r="BE17" s="10">
        <v>0</v>
      </c>
      <c r="BF17" s="10">
        <v>2706</v>
      </c>
      <c r="BG17" s="10">
        <v>5816</v>
      </c>
      <c r="BH17" s="9">
        <f>SUM(AE17:BG17)</f>
        <v>422679</v>
      </c>
      <c r="BI17" s="127">
        <f>AD17+BH17</f>
        <v>2281995</v>
      </c>
      <c r="BJ17" s="10">
        <v>8237</v>
      </c>
      <c r="BK17" s="51">
        <f t="shared" si="27"/>
        <v>2273758</v>
      </c>
      <c r="BM17" s="226"/>
    </row>
    <row r="18" spans="1:65" ht="15.75" x14ac:dyDescent="0.25">
      <c r="A18" s="130"/>
      <c r="B18" s="12" t="s">
        <v>324</v>
      </c>
      <c r="C18" s="9">
        <f>IF('Upto Month COPPY'!$C$4="",0,'Upto Month COPPY'!$C$4)</f>
        <v>1172280</v>
      </c>
      <c r="D18" s="9">
        <f>IF('Upto Month COPPY'!$C$5="",0,'Upto Month COPPY'!$C$5)</f>
        <v>186229</v>
      </c>
      <c r="E18" s="9">
        <f>IF('Upto Month COPPY'!$C$6="",0,'Upto Month COPPY'!$C$6)</f>
        <v>1413</v>
      </c>
      <c r="F18" s="9">
        <f>IF('Upto Month COPPY'!$C$7="",0,'Upto Month COPPY'!$C$7)</f>
        <v>84867</v>
      </c>
      <c r="G18" s="9">
        <f>IF('Upto Month COPPY'!$C$8="",0,'Upto Month COPPY'!$C$8)</f>
        <v>64431</v>
      </c>
      <c r="H18" s="9">
        <f>IF('Upto Month COPPY'!$C$9="",0,'Upto Month COPPY'!$C$9)</f>
        <v>0</v>
      </c>
      <c r="I18" s="9">
        <f>IF('Upto Month COPPY'!$C$10="",0,'Upto Month COPPY'!$C$10)</f>
        <v>0</v>
      </c>
      <c r="J18" s="9">
        <f>IF('Upto Month COPPY'!$C$11="",0,'Upto Month COPPY'!$C$11)</f>
        <v>0</v>
      </c>
      <c r="K18" s="9">
        <f>IF('Upto Month COPPY'!$C$12="",0,'Upto Month COPPY'!$C$12)</f>
        <v>98</v>
      </c>
      <c r="L18" s="9">
        <f>IF('Upto Month COPPY'!$C$13="",0,'Upto Month COPPY'!$C$13)</f>
        <v>25747</v>
      </c>
      <c r="M18" s="9">
        <f>IF('Upto Month COPPY'!$C$14="",0,'Upto Month COPPY'!$C$14)</f>
        <v>99590</v>
      </c>
      <c r="N18" s="9">
        <f>IF('Upto Month COPPY'!$C$15="",0,'Upto Month COPPY'!$C$15)</f>
        <v>228</v>
      </c>
      <c r="O18" s="9">
        <f>IF('Upto Month COPPY'!$C$16="",0,'Upto Month COPPY'!$C$16)</f>
        <v>1979</v>
      </c>
      <c r="P18" s="9">
        <f>IF('Upto Month COPPY'!$C$17="",0,'Upto Month COPPY'!$C$17)</f>
        <v>80683</v>
      </c>
      <c r="Q18" s="9">
        <f>IF('Upto Month COPPY'!$C$18="",0,'Upto Month COPPY'!$C$18)</f>
        <v>0</v>
      </c>
      <c r="R18" s="9">
        <f>IF('Upto Month COPPY'!$C$21="",0,'Upto Month COPPY'!$C$21)</f>
        <v>868</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7259</v>
      </c>
      <c r="Z18" s="9">
        <f>IF('Upto Month COPPY'!$C$43="",0,'Upto Month COPPY'!$C$43)</f>
        <v>213</v>
      </c>
      <c r="AA18" s="9">
        <f>IF('Upto Month COPPY'!$C$44="",0,'Upto Month COPPY'!$C$44)</f>
        <v>333</v>
      </c>
      <c r="AB18" s="9">
        <f>IF('Upto Month COPPY'!$C$48="",0,'Upto Month COPPY'!$C$48)</f>
        <v>0</v>
      </c>
      <c r="AC18" s="10">
        <f>IF('Upto Month COPPY'!$C$51="",0,'Upto Month COPPY'!$C$51)</f>
        <v>0</v>
      </c>
      <c r="AD18" s="123">
        <f t="shared" ref="AD18:AD19" si="28">SUM(C18:AC18)</f>
        <v>1726218</v>
      </c>
      <c r="AE18" s="9">
        <f>IF('Upto Month COPPY'!$C$19="",0,'Upto Month COPPY'!$C$19)</f>
        <v>509</v>
      </c>
      <c r="AF18" s="9">
        <f>IF('Upto Month COPPY'!$C$20="",0,'Upto Month COPPY'!$C$20)</f>
        <v>366</v>
      </c>
      <c r="AG18" s="9">
        <f>IF('Upto Month COPPY'!$C$22="",0,'Upto Month COPPY'!$C$22)</f>
        <v>13762</v>
      </c>
      <c r="AH18" s="9">
        <f>IF('Upto Month COPPY'!$C$23="",0,'Upto Month COPPY'!$C$23)</f>
        <v>0</v>
      </c>
      <c r="AI18" s="9">
        <f>IF('Upto Month COPPY'!$C$24="",0,'Upto Month COPPY'!$C$24)</f>
        <v>0</v>
      </c>
      <c r="AJ18" s="9">
        <f>IF('Upto Month COPPY'!$C$25="",0,'Upto Month COPPY'!$C$25)</f>
        <v>231</v>
      </c>
      <c r="AK18" s="9">
        <f>IF('Upto Month COPPY'!$C$28="",0,'Upto Month COPPY'!$C$28)</f>
        <v>-67148</v>
      </c>
      <c r="AL18" s="9">
        <f>IF('Upto Month COPPY'!$C$29="",0,'Upto Month COPPY'!$C$29)</f>
        <v>73301</v>
      </c>
      <c r="AM18" s="9">
        <f>IF('Upto Month COPPY'!$C$31="",0,'Upto Month COPPY'!$C$31)</f>
        <v>0</v>
      </c>
      <c r="AN18" s="9">
        <f>IF('Upto Month COPPY'!$C$32="",0,'Upto Month COPPY'!$C$32)</f>
        <v>31896</v>
      </c>
      <c r="AO18" s="9">
        <f>IF('Upto Month COPPY'!$C$33="",0,'Upto Month COPPY'!$C$33)</f>
        <v>234873</v>
      </c>
      <c r="AP18" s="9">
        <f>IF('Upto Month COPPY'!$C$34="",0,'Upto Month COPPY'!$C$34)</f>
        <v>65654</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36</v>
      </c>
      <c r="AX18" s="9">
        <f>IF('Upto Month COPPY'!$C$46="",0,'Upto Month COPPY'!$C$46)</f>
        <v>461</v>
      </c>
      <c r="AY18" s="9">
        <f>IF('Upto Month COPPY'!$C$47="",0,'Upto Month COPPY'!$C$47)</f>
        <v>0</v>
      </c>
      <c r="AZ18" s="9">
        <f>IF('Upto Month COPPY'!$C$49="",0,'Upto Month COPPY'!$C$49)</f>
        <v>0</v>
      </c>
      <c r="BA18" s="9">
        <f>IF('Upto Month COPPY'!$C$50="",0,'Upto Month COPPY'!$C$50)</f>
        <v>0</v>
      </c>
      <c r="BB18" s="10">
        <f>IF('Upto Month COPPY'!$C$52="",0,'Upto Month COPPY'!$C$52)</f>
        <v>0</v>
      </c>
      <c r="BC18" s="9">
        <f>IF('Upto Month COPPY'!$C$53="",0,'Upto Month COPPY'!$C$53)</f>
        <v>8249</v>
      </c>
      <c r="BD18" s="9">
        <f>IF('Upto Month COPPY'!$C$54="",0,'Upto Month COPPY'!$C$54)</f>
        <v>8249</v>
      </c>
      <c r="BE18" s="9">
        <f>IF('Upto Month COPPY'!$C$55="",0,'Upto Month COPPY'!$C$55)</f>
        <v>0</v>
      </c>
      <c r="BF18" s="9">
        <f>IF('Upto Month COPPY'!$C$56="",0,'Upto Month COPPY'!$C$56)</f>
        <v>2393</v>
      </c>
      <c r="BG18" s="9">
        <f>IF('Upto Month COPPY'!$C$58="",0,'Upto Month COPPY'!$C$58)</f>
        <v>4597</v>
      </c>
      <c r="BH18" s="9">
        <f>SUM(AE18:BG18)</f>
        <v>377429</v>
      </c>
      <c r="BI18" s="127">
        <f>AD18+BH18</f>
        <v>2103647</v>
      </c>
      <c r="BJ18" s="9">
        <f>IF('Upto Month COPPY'!$C$60="",0,'Upto Month COPPY'!$C$60)</f>
        <v>2998</v>
      </c>
      <c r="BK18" s="51">
        <f t="shared" ref="BK18:BK19" si="29">BI18-BJ18</f>
        <v>2100649</v>
      </c>
      <c r="BL18">
        <f>'Upto Month COPPY'!$C$61</f>
        <v>2100651</v>
      </c>
      <c r="BM18" s="30">
        <f t="shared" ref="BM18:BM22" si="30">BK18-AD18</f>
        <v>374431</v>
      </c>
    </row>
    <row r="19" spans="1:65" ht="15.75" x14ac:dyDescent="0.25">
      <c r="A19" s="130"/>
      <c r="B19" s="185" t="s">
        <v>325</v>
      </c>
      <c r="C19" s="9">
        <f>IF('Upto Month Current'!$C$4="",0,'Upto Month Current'!$C$4)</f>
        <v>1202738</v>
      </c>
      <c r="D19" s="9">
        <f>IF('Upto Month Current'!$C$5="",0,'Upto Month Current'!$C$5)</f>
        <v>191643</v>
      </c>
      <c r="E19" s="9">
        <f>IF('Upto Month Current'!$C$6="",0,'Upto Month Current'!$C$6)</f>
        <v>877</v>
      </c>
      <c r="F19" s="9">
        <f>IF('Upto Month Current'!$C$7="",0,'Upto Month Current'!$C$7)</f>
        <v>87575</v>
      </c>
      <c r="G19" s="9">
        <f>IF('Upto Month Current'!$C$8="",0,'Upto Month Current'!$C$8)</f>
        <v>65215</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18683</v>
      </c>
      <c r="M19" s="9">
        <f>IF('Upto Month Current'!$C$14="",0,'Upto Month Current'!$C$14)</f>
        <v>120403</v>
      </c>
      <c r="N19" s="9">
        <f>IF('Upto Month Current'!$C$15="",0,'Upto Month Current'!$C$15)</f>
        <v>33</v>
      </c>
      <c r="O19" s="9">
        <f>IF('Upto Month Current'!$C$16="",0,'Upto Month Current'!$C$16)</f>
        <v>1256</v>
      </c>
      <c r="P19" s="9">
        <f>IF('Upto Month Current'!$C$17="",0,'Upto Month Current'!$C$17)</f>
        <v>97231</v>
      </c>
      <c r="Q19" s="9">
        <f>IF('Upto Month Current'!$C$18="",0,'Upto Month Current'!$C$18)</f>
        <v>0</v>
      </c>
      <c r="R19" s="9">
        <f>IF('Upto Month Current'!$C$21="",0,'Upto Month Current'!$C$21)</f>
        <v>1472</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12495</v>
      </c>
      <c r="Z19" s="9">
        <f>IF('Upto Month Current'!$C$43="",0,'Upto Month Current'!$C$43)</f>
        <v>1061</v>
      </c>
      <c r="AA19" s="9">
        <f>IF('Upto Month Current'!$C$44="",0,'Upto Month Current'!$C$44)</f>
        <v>821</v>
      </c>
      <c r="AB19" s="9">
        <f>IF('Upto Month Current'!$C$48="",0,'Upto Month Current'!$C$48)</f>
        <v>0</v>
      </c>
      <c r="AC19" s="10">
        <f>IF('Upto Month Current'!$C$51="",0,'Upto Month Current'!$C$51)</f>
        <v>0</v>
      </c>
      <c r="AD19" s="123">
        <f t="shared" si="28"/>
        <v>1801503</v>
      </c>
      <c r="AE19" s="9">
        <f>IF('Upto Month Current'!$C$19="",0,'Upto Month Current'!$C$19)</f>
        <v>656</v>
      </c>
      <c r="AF19" s="9">
        <f>IF('Upto Month Current'!$C$20="",0,'Upto Month Current'!$C$20)</f>
        <v>224</v>
      </c>
      <c r="AG19" s="9">
        <f>IF('Upto Month Current'!$C$22="",0,'Upto Month Current'!$C$22)</f>
        <v>14929</v>
      </c>
      <c r="AH19" s="9">
        <f>IF('Upto Month Current'!$C$23="",0,'Upto Month Current'!$C$23)</f>
        <v>0</v>
      </c>
      <c r="AI19" s="9">
        <f>IF('Upto Month Current'!$C$24="",0,'Upto Month Current'!$C$24)</f>
        <v>0</v>
      </c>
      <c r="AJ19" s="9">
        <f>IF('Upto Month Current'!$C$25="",0,'Upto Month Current'!$C$25)</f>
        <v>34</v>
      </c>
      <c r="AK19" s="9">
        <f>IF('Upto Month Current'!$C$28="",0,'Upto Month Current'!$C$28)</f>
        <v>613459</v>
      </c>
      <c r="AL19" s="9">
        <f>IF('Upto Month Current'!$C$29="",0,'Upto Month Current'!$C$29)</f>
        <v>33035</v>
      </c>
      <c r="AM19" s="9">
        <f>IF('Upto Month Current'!$C$31="",0,'Upto Month Current'!$C$31)</f>
        <v>0</v>
      </c>
      <c r="AN19" s="9">
        <f>IF('Upto Month Current'!$C$32="",0,'Upto Month Current'!$C$32)</f>
        <v>44224</v>
      </c>
      <c r="AO19" s="9">
        <f>IF('Upto Month Current'!$C$33="",0,'Upto Month Current'!$C$33)</f>
        <v>211799</v>
      </c>
      <c r="AP19" s="9">
        <f>IF('Upto Month Current'!$C$34="",0,'Upto Month Current'!$C$34)</f>
        <v>100915</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62</v>
      </c>
      <c r="AY19" s="9">
        <f>IF('Upto Month Current'!$C$47="",0,'Upto Month Current'!$C$47)</f>
        <v>0</v>
      </c>
      <c r="AZ19" s="9">
        <f>IF('Upto Month Current'!$C$49="",0,'Upto Month Current'!$C$49)</f>
        <v>0</v>
      </c>
      <c r="BA19" s="9">
        <f>IF('Upto Month Current'!$C$50="",0,'Upto Month Current'!$C$50)</f>
        <v>0</v>
      </c>
      <c r="BB19" s="10">
        <f>IF('Upto Month Current'!$C$52="",0,'Upto Month Current'!$C$52)</f>
        <v>0</v>
      </c>
      <c r="BC19" s="9">
        <f>IF('Upto Month Current'!$C$53="",0,'Upto Month Current'!$C$53)</f>
        <v>9599</v>
      </c>
      <c r="BD19" s="9">
        <f>IF('Upto Month Current'!$C$54="",0,'Upto Month Current'!$C$54)</f>
        <v>9599</v>
      </c>
      <c r="BE19" s="9">
        <f>IF('Upto Month Current'!$C$55="",0,'Upto Month Current'!$C$55)</f>
        <v>0</v>
      </c>
      <c r="BF19" s="9">
        <f>IF('Upto Month Current'!$C$56="",0,'Upto Month Current'!$C$56)</f>
        <v>2395</v>
      </c>
      <c r="BG19" s="9">
        <f>IF('Upto Month Current'!$C$58="",0,'Upto Month Current'!$C$58)</f>
        <v>1755</v>
      </c>
      <c r="BH19" s="9">
        <f>SUM(AE19:BG19)</f>
        <v>1042685</v>
      </c>
      <c r="BI19" s="127">
        <f>AD19+BH19</f>
        <v>2844188</v>
      </c>
      <c r="BJ19" s="9">
        <f>IF('Upto Month Current'!$C$60="",0,'Upto Month Current'!$C$60)</f>
        <v>3299</v>
      </c>
      <c r="BK19" s="51">
        <f t="shared" si="29"/>
        <v>2840889</v>
      </c>
      <c r="BL19">
        <f>'Upto Month Current'!$C$61</f>
        <v>2840889</v>
      </c>
      <c r="BM19" s="30">
        <f t="shared" si="30"/>
        <v>1039386</v>
      </c>
    </row>
    <row r="20" spans="1:65" ht="15.75" x14ac:dyDescent="0.25">
      <c r="A20" s="130"/>
      <c r="B20" s="5" t="s">
        <v>132</v>
      </c>
      <c r="C20" s="11">
        <f>C19-C17</f>
        <v>-39247</v>
      </c>
      <c r="D20" s="11">
        <f t="shared" ref="D20" si="31">D19-D17</f>
        <v>-19707</v>
      </c>
      <c r="E20" s="11">
        <f t="shared" ref="E20" si="32">E19-E17</f>
        <v>878</v>
      </c>
      <c r="F20" s="11">
        <f t="shared" ref="F20" si="33">F19-F17</f>
        <v>-12416</v>
      </c>
      <c r="G20" s="11">
        <f t="shared" ref="G20" si="34">G19-G17</f>
        <v>-6408</v>
      </c>
      <c r="H20" s="11">
        <f t="shared" ref="H20" si="35">H19-H17</f>
        <v>0</v>
      </c>
      <c r="I20" s="11">
        <f t="shared" ref="I20" si="36">I19-I17</f>
        <v>0</v>
      </c>
      <c r="J20" s="11">
        <f t="shared" ref="J20" si="37">J19-J17</f>
        <v>0</v>
      </c>
      <c r="K20" s="11">
        <f t="shared" ref="K20" si="38">K19-K17</f>
        <v>0</v>
      </c>
      <c r="L20" s="11">
        <f t="shared" ref="L20" si="39">L19-L17</f>
        <v>-814</v>
      </c>
      <c r="M20" s="11">
        <f t="shared" ref="M20" si="40">M19-M17</f>
        <v>-11908</v>
      </c>
      <c r="N20" s="11">
        <f t="shared" ref="N20" si="41">N19-N17</f>
        <v>-133</v>
      </c>
      <c r="O20" s="11">
        <f t="shared" ref="O20" si="42">O19-O17</f>
        <v>-1301</v>
      </c>
      <c r="P20" s="11">
        <f t="shared" ref="P20" si="43">P19-P17</f>
        <v>25145</v>
      </c>
      <c r="Q20" s="11">
        <f t="shared" ref="Q20" si="44">Q19-Q17</f>
        <v>0</v>
      </c>
      <c r="R20" s="11">
        <f t="shared" ref="R20" si="45">R19-R17</f>
        <v>-569</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9581</v>
      </c>
      <c r="Z20" s="11">
        <f t="shared" ref="Z20" si="52">Z19-Z17</f>
        <v>876</v>
      </c>
      <c r="AA20" s="11">
        <f t="shared" ref="AA20:AD20" si="53">AA19-AA17</f>
        <v>473</v>
      </c>
      <c r="AB20" s="11">
        <f t="shared" ref="AB20" si="54">AB19-AB17</f>
        <v>-2263</v>
      </c>
      <c r="AC20" s="10">
        <f t="shared" si="53"/>
        <v>0</v>
      </c>
      <c r="AD20" s="11">
        <f t="shared" si="53"/>
        <v>-57813</v>
      </c>
      <c r="AE20" s="11">
        <f t="shared" ref="AE20" si="55">AE19-AE17</f>
        <v>-179</v>
      </c>
      <c r="AF20" s="11">
        <f t="shared" ref="AF20" si="56">AF19-AF17</f>
        <v>-37</v>
      </c>
      <c r="AG20" s="11">
        <f t="shared" ref="AG20" si="57">AG19-AG17</f>
        <v>10566</v>
      </c>
      <c r="AH20" s="11">
        <f t="shared" ref="AH20" si="58">AH19-AH17</f>
        <v>0</v>
      </c>
      <c r="AI20" s="11">
        <f t="shared" ref="AI20" si="59">AI19-AI17</f>
        <v>0</v>
      </c>
      <c r="AJ20" s="11">
        <f t="shared" ref="AJ20" si="60">AJ19-AJ17</f>
        <v>-2</v>
      </c>
      <c r="AK20" s="11">
        <f t="shared" ref="AK20" si="61">AK19-AK17</f>
        <v>544710</v>
      </c>
      <c r="AL20" s="11">
        <f t="shared" ref="AL20" si="62">AL19-AL17</f>
        <v>-41043</v>
      </c>
      <c r="AM20" s="11">
        <f t="shared" ref="AM20" si="63">AM19-AM17</f>
        <v>0</v>
      </c>
      <c r="AN20" s="11">
        <f t="shared" ref="AN20" si="64">AN19-AN17</f>
        <v>17958</v>
      </c>
      <c r="AO20" s="9">
        <f t="shared" ref="AO20" si="65">AO19-AO17</f>
        <v>-5433</v>
      </c>
      <c r="AP20" s="11">
        <f t="shared" ref="AP20" si="66">AP19-AP17</f>
        <v>96154</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-708</v>
      </c>
      <c r="AX20" s="11">
        <f t="shared" ref="AX20" si="74">AX19-AX17</f>
        <v>-552</v>
      </c>
      <c r="AY20" s="11">
        <f t="shared" ref="AY20" si="75">AY19-AY17</f>
        <v>-355</v>
      </c>
      <c r="AZ20" s="11">
        <f t="shared" ref="AZ20" si="76">AZ19-AZ17</f>
        <v>0</v>
      </c>
      <c r="BA20" s="11">
        <f t="shared" ref="BA20" si="77">BA19-BA17</f>
        <v>0</v>
      </c>
      <c r="BB20" s="10">
        <f t="shared" ref="BB20" si="78">BB19-BB17</f>
        <v>0</v>
      </c>
      <c r="BC20" s="11">
        <f t="shared" ref="BC20" si="79">BC19-BC17</f>
        <v>1650</v>
      </c>
      <c r="BD20" s="11">
        <f t="shared" ref="BD20" si="80">BD19-BD17</f>
        <v>1649</v>
      </c>
      <c r="BE20" s="11">
        <f t="shared" ref="BE20" si="81">BE19-BE17</f>
        <v>0</v>
      </c>
      <c r="BF20" s="11">
        <f t="shared" ref="BF20" si="82">BF19-BF17</f>
        <v>-311</v>
      </c>
      <c r="BG20" s="11">
        <f t="shared" ref="BG20:BH20" si="83">BG19-BG17</f>
        <v>-4061</v>
      </c>
      <c r="BH20" s="9">
        <f t="shared" si="83"/>
        <v>620006</v>
      </c>
      <c r="BI20" s="45">
        <f t="shared" ref="BI20" si="84">BI19-BI17</f>
        <v>562193</v>
      </c>
      <c r="BJ20" s="11">
        <f t="shared" ref="BJ20:BK20" si="85">BJ19-BJ17</f>
        <v>-4938</v>
      </c>
      <c r="BK20" s="51">
        <f t="shared" si="85"/>
        <v>567131</v>
      </c>
      <c r="BM20" s="30">
        <f t="shared" si="30"/>
        <v>624944</v>
      </c>
    </row>
    <row r="21" spans="1:65" ht="15.75" x14ac:dyDescent="0.25">
      <c r="A21" s="130"/>
      <c r="B21" s="5" t="s">
        <v>133</v>
      </c>
      <c r="C21" s="13">
        <f>C20/C17</f>
        <v>-3.160022061458069E-2</v>
      </c>
      <c r="D21" s="13">
        <f t="shared" ref="D21" si="86">D20/D17</f>
        <v>-9.3243435060326479E-2</v>
      </c>
      <c r="E21" s="13">
        <f t="shared" ref="E21" si="87">E20/E17</f>
        <v>-878</v>
      </c>
      <c r="F21" s="13">
        <f t="shared" ref="F21" si="88">F20/F17</f>
        <v>-0.12417117540578652</v>
      </c>
      <c r="G21" s="13">
        <f t="shared" ref="G21" si="89">G20/G17</f>
        <v>-8.9468466833279817E-2</v>
      </c>
      <c r="H21" s="13" t="e">
        <f t="shared" ref="H21" si="90">H20/H17</f>
        <v>#DIV/0!</v>
      </c>
      <c r="I21" s="13" t="e">
        <f t="shared" ref="I21" si="91">I20/I17</f>
        <v>#DIV/0!</v>
      </c>
      <c r="J21" s="13" t="e">
        <f t="shared" ref="J21" si="92">J20/J17</f>
        <v>#DIV/0!</v>
      </c>
      <c r="K21" s="13" t="e">
        <f t="shared" ref="K21" si="93">K20/K17</f>
        <v>#DIV/0!</v>
      </c>
      <c r="L21" s="13">
        <f t="shared" ref="L21" si="94">L20/L17</f>
        <v>-4.1750012822485513E-2</v>
      </c>
      <c r="M21" s="13">
        <f t="shared" ref="M21" si="95">M20/M17</f>
        <v>-9.0000075579505859E-2</v>
      </c>
      <c r="N21" s="13">
        <f t="shared" ref="N21" si="96">N20/N17</f>
        <v>-0.8012048192771084</v>
      </c>
      <c r="O21" s="13">
        <f t="shared" ref="O21" si="97">O20/O17</f>
        <v>-0.50879937426671884</v>
      </c>
      <c r="P21" s="13">
        <f t="shared" ref="P21" si="98">P20/P17</f>
        <v>0.34881946563826538</v>
      </c>
      <c r="Q21" s="13" t="e">
        <f t="shared" ref="Q21" si="99">Q20/Q17</f>
        <v>#DIV/0!</v>
      </c>
      <c r="R21" s="13">
        <f t="shared" ref="R21" si="100">R20/R17</f>
        <v>-0.27878490935815775</v>
      </c>
      <c r="S21" s="13" t="e">
        <f t="shared" ref="S21" si="101">S20/S17</f>
        <v>#DIV/0!</v>
      </c>
      <c r="T21" s="13" t="e">
        <f t="shared" ref="T21:U21" si="102">T20/T17</f>
        <v>#DIV/0!</v>
      </c>
      <c r="U21" s="13" t="e">
        <f t="shared" si="102"/>
        <v>#DIV/0!</v>
      </c>
      <c r="V21" s="165" t="e">
        <f t="shared" ref="V21" si="103">V20/V17</f>
        <v>#DIV/0!</v>
      </c>
      <c r="W21" s="13" t="e">
        <f t="shared" ref="W21" si="104">W20/W17</f>
        <v>#DIV/0!</v>
      </c>
      <c r="X21" s="13" t="e">
        <f t="shared" ref="X21" si="105">X20/X17</f>
        <v>#DIV/0!</v>
      </c>
      <c r="Y21" s="13">
        <f t="shared" ref="Y21" si="106">Y20/Y17</f>
        <v>3.2879203843514069</v>
      </c>
      <c r="Z21" s="13">
        <f t="shared" ref="Z21" si="107">Z20/Z17</f>
        <v>4.7351351351351347</v>
      </c>
      <c r="AA21" s="13">
        <f t="shared" ref="AA21:AD21" si="108">AA20/AA17</f>
        <v>1.3591954022988506</v>
      </c>
      <c r="AB21" s="13">
        <f t="shared" ref="AB21" si="109">AB20/AB17</f>
        <v>-1</v>
      </c>
      <c r="AC21" s="14" t="e">
        <f t="shared" si="108"/>
        <v>#DIV/0!</v>
      </c>
      <c r="AD21" s="13">
        <f t="shared" si="108"/>
        <v>-3.1093692519184476E-2</v>
      </c>
      <c r="AE21" s="13">
        <f t="shared" ref="AE21" si="110">AE20/AE17</f>
        <v>-0.21437125748502994</v>
      </c>
      <c r="AF21" s="13">
        <f t="shared" ref="AF21" si="111">AF20/AF17</f>
        <v>-0.1417624521072797</v>
      </c>
      <c r="AG21" s="13">
        <f t="shared" ref="AG21" si="112">AG20/AG17</f>
        <v>2.4217281686912675</v>
      </c>
      <c r="AH21" s="13" t="e">
        <f t="shared" ref="AH21" si="113">AH20/AH17</f>
        <v>#DIV/0!</v>
      </c>
      <c r="AI21" s="13" t="e">
        <f t="shared" ref="AI21" si="114">AI20/AI17</f>
        <v>#DIV/0!</v>
      </c>
      <c r="AJ21" s="13">
        <f t="shared" ref="AJ21" si="115">AJ20/AJ17</f>
        <v>-5.5555555555555552E-2</v>
      </c>
      <c r="AK21" s="13">
        <f t="shared" ref="AK21" si="116">AK20/AK17</f>
        <v>7.9231697915606043</v>
      </c>
      <c r="AL21" s="13">
        <f t="shared" ref="AL21" si="117">AL20/AL17</f>
        <v>-0.55405113528982963</v>
      </c>
      <c r="AM21" s="13" t="e">
        <f t="shared" ref="AM21" si="118">AM20/AM17</f>
        <v>#DIV/0!</v>
      </c>
      <c r="AN21" s="13">
        <f t="shared" ref="AN21" si="119">AN20/AN17</f>
        <v>0.68369755577552727</v>
      </c>
      <c r="AO21" s="165">
        <f t="shared" ref="AO21" si="120">AO20/AO17</f>
        <v>-2.5010127421374383E-2</v>
      </c>
      <c r="AP21" s="13">
        <f t="shared" ref="AP21" si="121">AP20/AP17</f>
        <v>20.196177273682</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-1</v>
      </c>
      <c r="AX21" s="13">
        <f t="shared" ref="AX21" si="129">AX20/AX17</f>
        <v>-0.89902280130293155</v>
      </c>
      <c r="AY21" s="13">
        <f t="shared" ref="AY21" si="130">AY20/AY17</f>
        <v>-1</v>
      </c>
      <c r="AZ21" s="13" t="e">
        <f t="shared" ref="AZ21" si="131">AZ20/AZ17</f>
        <v>#DIV/0!</v>
      </c>
      <c r="BA21" s="13" t="e">
        <f t="shared" ref="BA21" si="132">BA20/BA17</f>
        <v>#DIV/0!</v>
      </c>
      <c r="BB21" s="14" t="e">
        <f t="shared" ref="BB21" si="133">BB20/BB17</f>
        <v>#DIV/0!</v>
      </c>
      <c r="BC21" s="13">
        <f t="shared" ref="BC21" si="134">BC20/BC17</f>
        <v>0.2075732796578186</v>
      </c>
      <c r="BD21" s="13">
        <f t="shared" ref="BD21" si="135">BD20/BD17</f>
        <v>0.20742138364779875</v>
      </c>
      <c r="BE21" s="13" t="e">
        <f t="shared" ref="BE21" si="136">BE20/BE17</f>
        <v>#DIV/0!</v>
      </c>
      <c r="BF21" s="13">
        <f t="shared" ref="BF21" si="137">BF20/BF17</f>
        <v>-0.11492978566149298</v>
      </c>
      <c r="BG21" s="13">
        <f t="shared" ref="BG21:BH21" si="138">BG20/BG17</f>
        <v>-0.69824621733149927</v>
      </c>
      <c r="BH21" s="165">
        <f t="shared" si="138"/>
        <v>1.4668483648347801</v>
      </c>
      <c r="BI21" s="46">
        <f t="shared" ref="BI21" si="139">BI20/BI17</f>
        <v>0.24636031192005242</v>
      </c>
      <c r="BJ21" s="13">
        <f t="shared" ref="BJ21:BK21" si="140">BJ20/BJ17</f>
        <v>-0.59949010562097849</v>
      </c>
      <c r="BK21" s="52">
        <f t="shared" si="140"/>
        <v>0.24942452099124005</v>
      </c>
      <c r="BM21" s="165" t="e">
        <f t="shared" ref="BM21" si="141">BM20/BM17</f>
        <v>#DIV/0!</v>
      </c>
    </row>
    <row r="22" spans="1:65" ht="15.75" x14ac:dyDescent="0.25">
      <c r="A22" s="130"/>
      <c r="B22" s="5" t="s">
        <v>134</v>
      </c>
      <c r="C22" s="11">
        <f>C19-C18</f>
        <v>30458</v>
      </c>
      <c r="D22" s="11">
        <f t="shared" ref="D22:BK22" si="142">D19-D18</f>
        <v>5414</v>
      </c>
      <c r="E22" s="11">
        <f t="shared" si="142"/>
        <v>-536</v>
      </c>
      <c r="F22" s="11">
        <f t="shared" si="142"/>
        <v>2708</v>
      </c>
      <c r="G22" s="11">
        <f t="shared" si="142"/>
        <v>784</v>
      </c>
      <c r="H22" s="11">
        <f t="shared" si="142"/>
        <v>0</v>
      </c>
      <c r="I22" s="11">
        <f t="shared" si="142"/>
        <v>0</v>
      </c>
      <c r="J22" s="11">
        <f t="shared" si="142"/>
        <v>0</v>
      </c>
      <c r="K22" s="11">
        <f t="shared" si="142"/>
        <v>-98</v>
      </c>
      <c r="L22" s="11">
        <f t="shared" si="142"/>
        <v>-7064</v>
      </c>
      <c r="M22" s="11">
        <f t="shared" si="142"/>
        <v>20813</v>
      </c>
      <c r="N22" s="11">
        <f t="shared" si="142"/>
        <v>-195</v>
      </c>
      <c r="O22" s="11">
        <f t="shared" si="142"/>
        <v>-723</v>
      </c>
      <c r="P22" s="11">
        <f t="shared" si="142"/>
        <v>16548</v>
      </c>
      <c r="Q22" s="11">
        <f t="shared" si="142"/>
        <v>0</v>
      </c>
      <c r="R22" s="11">
        <f t="shared" si="142"/>
        <v>604</v>
      </c>
      <c r="S22" s="11">
        <f t="shared" si="142"/>
        <v>0</v>
      </c>
      <c r="T22" s="11">
        <f t="shared" si="142"/>
        <v>0</v>
      </c>
      <c r="U22" s="11">
        <f t="shared" ref="U22" si="143">U19-U18</f>
        <v>0</v>
      </c>
      <c r="V22" s="9">
        <f t="shared" si="142"/>
        <v>0</v>
      </c>
      <c r="W22" s="11">
        <f t="shared" si="142"/>
        <v>0</v>
      </c>
      <c r="X22" s="11">
        <f t="shared" si="142"/>
        <v>0</v>
      </c>
      <c r="Y22" s="11">
        <f t="shared" si="142"/>
        <v>5236</v>
      </c>
      <c r="Z22" s="11">
        <f t="shared" si="142"/>
        <v>848</v>
      </c>
      <c r="AA22" s="11">
        <f t="shared" si="142"/>
        <v>488</v>
      </c>
      <c r="AB22" s="11">
        <f t="shared" ref="AB22" si="144">AB19-AB18</f>
        <v>0</v>
      </c>
      <c r="AC22" s="10">
        <f t="shared" ref="AC22:AD22" si="145">AC19-AC18</f>
        <v>0</v>
      </c>
      <c r="AD22" s="11">
        <f t="shared" si="145"/>
        <v>75285</v>
      </c>
      <c r="AE22" s="11">
        <f t="shared" si="142"/>
        <v>147</v>
      </c>
      <c r="AF22" s="11">
        <f t="shared" si="142"/>
        <v>-142</v>
      </c>
      <c r="AG22" s="11">
        <f t="shared" si="142"/>
        <v>1167</v>
      </c>
      <c r="AH22" s="11">
        <f t="shared" si="142"/>
        <v>0</v>
      </c>
      <c r="AI22" s="11">
        <f t="shared" si="142"/>
        <v>0</v>
      </c>
      <c r="AJ22" s="11">
        <f t="shared" si="142"/>
        <v>-197</v>
      </c>
      <c r="AK22" s="11">
        <f t="shared" si="142"/>
        <v>680607</v>
      </c>
      <c r="AL22" s="11">
        <f t="shared" si="142"/>
        <v>-40266</v>
      </c>
      <c r="AM22" s="11">
        <f t="shared" si="142"/>
        <v>0</v>
      </c>
      <c r="AN22" s="11">
        <f t="shared" si="142"/>
        <v>12328</v>
      </c>
      <c r="AO22" s="9">
        <f t="shared" si="142"/>
        <v>-23074</v>
      </c>
      <c r="AP22" s="11">
        <f t="shared" si="142"/>
        <v>35261</v>
      </c>
      <c r="AQ22" s="10">
        <f t="shared" si="142"/>
        <v>0</v>
      </c>
      <c r="AR22" s="11">
        <f t="shared" si="142"/>
        <v>0</v>
      </c>
      <c r="AS22" s="11">
        <f t="shared" si="142"/>
        <v>0</v>
      </c>
      <c r="AT22" s="11">
        <f t="shared" si="142"/>
        <v>0</v>
      </c>
      <c r="AU22" s="11">
        <f t="shared" si="142"/>
        <v>0</v>
      </c>
      <c r="AV22" s="11">
        <f t="shared" si="142"/>
        <v>0</v>
      </c>
      <c r="AW22" s="11">
        <f t="shared" si="142"/>
        <v>-36</v>
      </c>
      <c r="AX22" s="11">
        <f t="shared" si="142"/>
        <v>-399</v>
      </c>
      <c r="AY22" s="11">
        <f t="shared" si="142"/>
        <v>0</v>
      </c>
      <c r="AZ22" s="11">
        <f t="shared" si="142"/>
        <v>0</v>
      </c>
      <c r="BA22" s="11">
        <f t="shared" si="142"/>
        <v>0</v>
      </c>
      <c r="BB22" s="10">
        <f t="shared" si="142"/>
        <v>0</v>
      </c>
      <c r="BC22" s="11">
        <f t="shared" si="142"/>
        <v>1350</v>
      </c>
      <c r="BD22" s="11">
        <f t="shared" si="142"/>
        <v>1350</v>
      </c>
      <c r="BE22" s="11">
        <f t="shared" si="142"/>
        <v>0</v>
      </c>
      <c r="BF22" s="11">
        <f t="shared" si="142"/>
        <v>2</v>
      </c>
      <c r="BG22" s="11">
        <f t="shared" si="142"/>
        <v>-2842</v>
      </c>
      <c r="BH22" s="9">
        <f t="shared" si="142"/>
        <v>665256</v>
      </c>
      <c r="BI22" s="45">
        <f t="shared" si="142"/>
        <v>740541</v>
      </c>
      <c r="BJ22" s="11">
        <f t="shared" si="142"/>
        <v>301</v>
      </c>
      <c r="BK22" s="51">
        <f t="shared" si="142"/>
        <v>740240</v>
      </c>
      <c r="BM22" s="30">
        <f t="shared" si="30"/>
        <v>664955</v>
      </c>
    </row>
    <row r="23" spans="1:65" ht="15.75" x14ac:dyDescent="0.25">
      <c r="A23" s="130"/>
      <c r="B23" s="5" t="s">
        <v>135</v>
      </c>
      <c r="C23" s="13">
        <f>C22/C18</f>
        <v>2.5981847340225885E-2</v>
      </c>
      <c r="D23" s="13">
        <f t="shared" ref="D23" si="146">D22/D18</f>
        <v>2.9071734262655118E-2</v>
      </c>
      <c r="E23" s="13">
        <f t="shared" ref="E23" si="147">E22/E18</f>
        <v>-0.37933474876150036</v>
      </c>
      <c r="F23" s="13">
        <f t="shared" ref="F23" si="148">F22/F18</f>
        <v>3.1908751340332518E-2</v>
      </c>
      <c r="G23" s="13">
        <f t="shared" ref="G23" si="149">G22/G18</f>
        <v>1.2168055749561547E-2</v>
      </c>
      <c r="H23" s="13" t="e">
        <f t="shared" ref="H23" si="150">H22/H18</f>
        <v>#DIV/0!</v>
      </c>
      <c r="I23" s="13" t="e">
        <f t="shared" ref="I23" si="151">I22/I18</f>
        <v>#DIV/0!</v>
      </c>
      <c r="J23" s="13" t="e">
        <f t="shared" ref="J23" si="152">J22/J18</f>
        <v>#DIV/0!</v>
      </c>
      <c r="K23" s="13">
        <f t="shared" ref="K23" si="153">K22/K18</f>
        <v>-1</v>
      </c>
      <c r="L23" s="13">
        <f t="shared" ref="L23" si="154">L22/L18</f>
        <v>-0.27436206159940962</v>
      </c>
      <c r="M23" s="13">
        <f t="shared" ref="M23" si="155">M22/M18</f>
        <v>0.20898684606888243</v>
      </c>
      <c r="N23" s="13">
        <f t="shared" ref="N23" si="156">N22/N18</f>
        <v>-0.85526315789473684</v>
      </c>
      <c r="O23" s="13">
        <f t="shared" ref="O23" si="157">O22/O18</f>
        <v>-0.36533602829711975</v>
      </c>
      <c r="P23" s="13">
        <f t="shared" ref="P23" si="158">P22/P18</f>
        <v>0.20509896756441878</v>
      </c>
      <c r="Q23" s="13" t="e">
        <f t="shared" ref="Q23" si="159">Q22/Q18</f>
        <v>#DIV/0!</v>
      </c>
      <c r="R23" s="13">
        <f t="shared" ref="R23" si="160">R22/R18</f>
        <v>0.69585253456221197</v>
      </c>
      <c r="S23" s="13" t="e">
        <f t="shared" ref="S23" si="161">S22/S18</f>
        <v>#DIV/0!</v>
      </c>
      <c r="T23" s="13" t="e">
        <f t="shared" ref="T23:U23" si="162">T22/T18</f>
        <v>#DIV/0!</v>
      </c>
      <c r="U23" s="13" t="e">
        <f t="shared" si="162"/>
        <v>#DIV/0!</v>
      </c>
      <c r="V23" s="165" t="e">
        <f t="shared" ref="V23" si="163">V22/V18</f>
        <v>#DIV/0!</v>
      </c>
      <c r="W23" s="13" t="e">
        <f t="shared" ref="W23" si="164">W22/W18</f>
        <v>#DIV/0!</v>
      </c>
      <c r="X23" s="13" t="e">
        <f t="shared" ref="X23" si="165">X22/X18</f>
        <v>#DIV/0!</v>
      </c>
      <c r="Y23" s="13">
        <f t="shared" ref="Y23" si="166">Y22/Y18</f>
        <v>0.72131147540983609</v>
      </c>
      <c r="Z23" s="13">
        <f t="shared" ref="Z23" si="167">Z22/Z18</f>
        <v>3.9812206572769955</v>
      </c>
      <c r="AA23" s="13">
        <f t="shared" ref="AA23:AD23" si="168">AA22/AA18</f>
        <v>1.4654654654654655</v>
      </c>
      <c r="AB23" s="13" t="e">
        <f t="shared" ref="AB23" si="169">AB22/AB18</f>
        <v>#DIV/0!</v>
      </c>
      <c r="AC23" s="14" t="e">
        <f t="shared" si="168"/>
        <v>#DIV/0!</v>
      </c>
      <c r="AD23" s="13">
        <f t="shared" si="168"/>
        <v>4.3612683913619256E-2</v>
      </c>
      <c r="AE23" s="13">
        <f t="shared" ref="AE23" si="170">AE22/AE18</f>
        <v>0.28880157170923382</v>
      </c>
      <c r="AF23" s="13">
        <f t="shared" ref="AF23" si="171">AF22/AF18</f>
        <v>-0.38797814207650272</v>
      </c>
      <c r="AG23" s="13">
        <f t="shared" ref="AG23" si="172">AG22/AG18</f>
        <v>8.4798721116116846E-2</v>
      </c>
      <c r="AH23" s="13" t="e">
        <f t="shared" ref="AH23" si="173">AH22/AH18</f>
        <v>#DIV/0!</v>
      </c>
      <c r="AI23" s="13" t="e">
        <f t="shared" ref="AI23" si="174">AI22/AI18</f>
        <v>#DIV/0!</v>
      </c>
      <c r="AJ23" s="13">
        <f t="shared" ref="AJ23" si="175">AJ22/AJ18</f>
        <v>-0.8528138528138528</v>
      </c>
      <c r="AK23" s="13">
        <f t="shared" ref="AK23" si="176">AK22/AK18</f>
        <v>-10.135923631381425</v>
      </c>
      <c r="AL23" s="13">
        <f t="shared" ref="AL23" si="177">AL22/AL18</f>
        <v>-0.54932402013615089</v>
      </c>
      <c r="AM23" s="13" t="e">
        <f t="shared" ref="AM23" si="178">AM22/AM18</f>
        <v>#DIV/0!</v>
      </c>
      <c r="AN23" s="13">
        <f t="shared" ref="AN23" si="179">AN22/AN18</f>
        <v>0.38650614497115626</v>
      </c>
      <c r="AO23" s="165">
        <f t="shared" ref="AO23" si="180">AO22/AO18</f>
        <v>-9.824032562278337E-2</v>
      </c>
      <c r="AP23" s="13">
        <f t="shared" ref="AP23" si="181">AP22/AP18</f>
        <v>0.5370731410119719</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-1</v>
      </c>
      <c r="AX23" s="13">
        <f t="shared" ref="AX23" si="189">AX22/AX18</f>
        <v>-0.86550976138828628</v>
      </c>
      <c r="AY23" s="13" t="e">
        <f t="shared" ref="AY23" si="190">AY22/AY18</f>
        <v>#DIV/0!</v>
      </c>
      <c r="AZ23" s="13" t="e">
        <f t="shared" ref="AZ23" si="191">AZ22/AZ18</f>
        <v>#DIV/0!</v>
      </c>
      <c r="BA23" s="13" t="e">
        <f t="shared" ref="BA23" si="192">BA22/BA18</f>
        <v>#DIV/0!</v>
      </c>
      <c r="BB23" s="14" t="e">
        <f t="shared" ref="BB23" si="193">BB22/BB18</f>
        <v>#DIV/0!</v>
      </c>
      <c r="BC23" s="13">
        <f t="shared" ref="BC23" si="194">BC22/BC18</f>
        <v>0.16365620075160625</v>
      </c>
      <c r="BD23" s="13">
        <f t="shared" ref="BD23" si="195">BD22/BD18</f>
        <v>0.16365620075160625</v>
      </c>
      <c r="BE23" s="13" t="e">
        <f t="shared" ref="BE23" si="196">BE22/BE18</f>
        <v>#DIV/0!</v>
      </c>
      <c r="BF23" s="13">
        <f t="shared" ref="BF23" si="197">BF22/BF18</f>
        <v>8.3577099874634355E-4</v>
      </c>
      <c r="BG23" s="13">
        <f t="shared" ref="BG23:BH23" si="198">BG22/BG18</f>
        <v>-0.61822927996519472</v>
      </c>
      <c r="BH23" s="165">
        <f t="shared" si="198"/>
        <v>1.7625990583659443</v>
      </c>
      <c r="BI23" s="46">
        <f t="shared" ref="BI23" si="199">BI22/BI18</f>
        <v>0.35202721749418986</v>
      </c>
      <c r="BJ23" s="13">
        <f t="shared" ref="BJ23:BK23" si="200">BJ22/BJ18</f>
        <v>0.10040026684456305</v>
      </c>
      <c r="BK23" s="52">
        <f t="shared" si="200"/>
        <v>0.35238633393774971</v>
      </c>
      <c r="BM23" s="14">
        <f t="shared" ref="BM23" si="201">BM22/BM18</f>
        <v>1.7759079777048374</v>
      </c>
    </row>
    <row r="24" spans="1:65" ht="15.75" x14ac:dyDescent="0.25">
      <c r="A24" s="130"/>
      <c r="B24" s="5" t="s">
        <v>210</v>
      </c>
      <c r="C24" s="128">
        <f t="shared" ref="C24:AI24" si="202">C19/C16</f>
        <v>0.25178396291291466</v>
      </c>
      <c r="D24" s="128">
        <f t="shared" si="202"/>
        <v>0.23575514522260085</v>
      </c>
      <c r="E24" s="128">
        <f t="shared" si="202"/>
        <v>3.2131250847246494E-3</v>
      </c>
      <c r="F24" s="128">
        <f t="shared" si="202"/>
        <v>0.22766385558455604</v>
      </c>
      <c r="G24" s="128">
        <f t="shared" si="202"/>
        <v>0.23672881183662209</v>
      </c>
      <c r="H24" s="128" t="e">
        <f t="shared" si="202"/>
        <v>#DIV/0!</v>
      </c>
      <c r="I24" s="128" t="e">
        <f t="shared" si="202"/>
        <v>#DIV/0!</v>
      </c>
      <c r="J24" s="128" t="e">
        <f t="shared" si="202"/>
        <v>#DIV/0!</v>
      </c>
      <c r="K24" s="128" t="e">
        <f t="shared" si="202"/>
        <v>#DIV/0!</v>
      </c>
      <c r="L24" s="128">
        <f t="shared" si="202"/>
        <v>0.24914653011148449</v>
      </c>
      <c r="M24" s="128">
        <f t="shared" si="202"/>
        <v>0.23659833520668433</v>
      </c>
      <c r="N24" s="128">
        <f t="shared" si="202"/>
        <v>5.1724137931034482E-2</v>
      </c>
      <c r="O24" s="128">
        <f t="shared" si="202"/>
        <v>0.12769418462789753</v>
      </c>
      <c r="P24" s="128">
        <f t="shared" si="202"/>
        <v>0.35070678069419248</v>
      </c>
      <c r="Q24" s="128" t="e">
        <f t="shared" si="202"/>
        <v>#DIV/0!</v>
      </c>
      <c r="R24" s="128">
        <f t="shared" si="202"/>
        <v>0.18739656269891788</v>
      </c>
      <c r="S24" s="128" t="e">
        <f t="shared" si="202"/>
        <v>#DIV/0!</v>
      </c>
      <c r="T24" s="128" t="e">
        <f t="shared" si="202"/>
        <v>#DIV/0!</v>
      </c>
      <c r="U24" s="128" t="e">
        <f t="shared" si="202"/>
        <v>#DIV/0!</v>
      </c>
      <c r="V24" s="180" t="e">
        <f t="shared" si="202"/>
        <v>#DIV/0!</v>
      </c>
      <c r="W24" s="128" t="e">
        <f t="shared" si="202"/>
        <v>#DIV/0!</v>
      </c>
      <c r="X24" s="128" t="e">
        <f t="shared" si="202"/>
        <v>#DIV/0!</v>
      </c>
      <c r="Y24" s="128">
        <f t="shared" si="202"/>
        <v>1.1151271753681393</v>
      </c>
      <c r="Z24" s="128">
        <f t="shared" si="202"/>
        <v>1.4943661971830986</v>
      </c>
      <c r="AA24" s="128">
        <f t="shared" si="202"/>
        <v>0.65314240254574385</v>
      </c>
      <c r="AB24" s="128">
        <f t="shared" ref="AB24" si="203">AB19/AB16</f>
        <v>0</v>
      </c>
      <c r="AC24" s="222" t="e">
        <f t="shared" si="202"/>
        <v>#DIV/0!</v>
      </c>
      <c r="AD24" s="128">
        <f t="shared" si="202"/>
        <v>0.24265353012818389</v>
      </c>
      <c r="AE24" s="128">
        <f t="shared" si="202"/>
        <v>0.20436137071651089</v>
      </c>
      <c r="AF24" s="128">
        <f t="shared" si="202"/>
        <v>0.22288557213930349</v>
      </c>
      <c r="AG24" s="128">
        <f t="shared" si="202"/>
        <v>0.88974313129507121</v>
      </c>
      <c r="AH24" s="128" t="e">
        <f t="shared" si="202"/>
        <v>#DIV/0!</v>
      </c>
      <c r="AI24" s="128" t="e">
        <f t="shared" si="202"/>
        <v>#DIV/0!</v>
      </c>
      <c r="AJ24" s="128">
        <f t="shared" ref="AJ24:BK24" si="204">AJ19/AJ16</f>
        <v>0.24113475177304963</v>
      </c>
      <c r="AK24" s="128">
        <f t="shared" si="204"/>
        <v>2.320070041677067</v>
      </c>
      <c r="AL24" s="128">
        <f t="shared" si="204"/>
        <v>0.11594930311081784</v>
      </c>
      <c r="AM24" s="128" t="e">
        <f t="shared" si="204"/>
        <v>#DIV/0!</v>
      </c>
      <c r="AN24" s="128">
        <f t="shared" si="204"/>
        <v>0.43775736458663289</v>
      </c>
      <c r="AO24" s="180">
        <f t="shared" si="204"/>
        <v>0.25349879054892682</v>
      </c>
      <c r="AP24" s="128">
        <f t="shared" si="204"/>
        <v>5.5114691425450575</v>
      </c>
      <c r="AQ24" s="222" t="e">
        <f t="shared" si="204"/>
        <v>#DIV/0!</v>
      </c>
      <c r="AR24" s="128" t="e">
        <f t="shared" si="204"/>
        <v>#DIV/0!</v>
      </c>
      <c r="AS24" s="128" t="e">
        <f t="shared" si="204"/>
        <v>#DIV/0!</v>
      </c>
      <c r="AT24" s="128" t="e">
        <f t="shared" si="204"/>
        <v>#DIV/0!</v>
      </c>
      <c r="AU24" s="128" t="e">
        <f t="shared" si="204"/>
        <v>#DIV/0!</v>
      </c>
      <c r="AV24" s="128" t="e">
        <f t="shared" si="204"/>
        <v>#DIV/0!</v>
      </c>
      <c r="AW24" s="128">
        <f t="shared" si="204"/>
        <v>0</v>
      </c>
      <c r="AX24" s="128">
        <f t="shared" si="204"/>
        <v>2.6237833262801522E-2</v>
      </c>
      <c r="AY24" s="128">
        <f t="shared" si="204"/>
        <v>0</v>
      </c>
      <c r="AZ24" s="128" t="e">
        <f t="shared" si="204"/>
        <v>#DIV/0!</v>
      </c>
      <c r="BA24" s="128" t="e">
        <f t="shared" si="204"/>
        <v>#DIV/0!</v>
      </c>
      <c r="BB24" s="222" t="e">
        <f t="shared" si="204"/>
        <v>#DIV/0!</v>
      </c>
      <c r="BC24" s="128">
        <f t="shared" si="204"/>
        <v>0.31396984267163836</v>
      </c>
      <c r="BD24" s="128">
        <f t="shared" si="204"/>
        <v>0.3139493049877351</v>
      </c>
      <c r="BE24" s="128" t="e">
        <f t="shared" si="204"/>
        <v>#DIV/0!</v>
      </c>
      <c r="BF24" s="128">
        <f t="shared" si="204"/>
        <v>0.23015567941572171</v>
      </c>
      <c r="BG24" s="128">
        <f t="shared" si="204"/>
        <v>7.8463808288997183E-2</v>
      </c>
      <c r="BH24" s="180">
        <f t="shared" si="204"/>
        <v>0.64138825308226954</v>
      </c>
      <c r="BI24" s="128">
        <f t="shared" si="204"/>
        <v>0.31428023037295549</v>
      </c>
      <c r="BJ24" s="128">
        <f t="shared" si="204"/>
        <v>0.10012139605462822</v>
      </c>
      <c r="BK24" s="128">
        <f t="shared" si="204"/>
        <v>0.31506282039153827</v>
      </c>
      <c r="BM24" s="128" t="e">
        <f>BM19/BM16</f>
        <v>#DIV/0!</v>
      </c>
    </row>
    <row r="25" spans="1:65" ht="15.75" x14ac:dyDescent="0.25">
      <c r="A25" s="130"/>
      <c r="B25" s="5" t="s">
        <v>329</v>
      </c>
      <c r="C25" s="11">
        <f t="shared" ref="C25:AI25" si="205">C19-C16</f>
        <v>-3574127</v>
      </c>
      <c r="D25" s="11">
        <f t="shared" si="205"/>
        <v>-621247</v>
      </c>
      <c r="E25" s="11">
        <f t="shared" si="205"/>
        <v>-272066</v>
      </c>
      <c r="F25" s="11">
        <f t="shared" si="205"/>
        <v>-297093</v>
      </c>
      <c r="G25" s="11">
        <f t="shared" si="205"/>
        <v>-210269</v>
      </c>
      <c r="H25" s="11">
        <f t="shared" si="205"/>
        <v>0</v>
      </c>
      <c r="I25" s="11">
        <f t="shared" si="205"/>
        <v>0</v>
      </c>
      <c r="J25" s="11">
        <f t="shared" si="205"/>
        <v>0</v>
      </c>
      <c r="K25" s="11">
        <f t="shared" si="205"/>
        <v>0</v>
      </c>
      <c r="L25" s="11">
        <f t="shared" si="205"/>
        <v>-56305</v>
      </c>
      <c r="M25" s="11">
        <f t="shared" si="205"/>
        <v>-388489</v>
      </c>
      <c r="N25" s="11">
        <f t="shared" si="205"/>
        <v>-605</v>
      </c>
      <c r="O25" s="11">
        <f t="shared" si="205"/>
        <v>-8580</v>
      </c>
      <c r="P25" s="11">
        <f t="shared" si="205"/>
        <v>-180012</v>
      </c>
      <c r="Q25" s="11">
        <f t="shared" si="205"/>
        <v>0</v>
      </c>
      <c r="R25" s="11">
        <f t="shared" si="205"/>
        <v>-6383</v>
      </c>
      <c r="S25" s="11">
        <f t="shared" si="205"/>
        <v>0</v>
      </c>
      <c r="T25" s="11">
        <f t="shared" si="205"/>
        <v>0</v>
      </c>
      <c r="U25" s="11">
        <f t="shared" si="205"/>
        <v>0</v>
      </c>
      <c r="V25" s="9">
        <f t="shared" si="205"/>
        <v>0</v>
      </c>
      <c r="W25" s="11">
        <f t="shared" si="205"/>
        <v>0</v>
      </c>
      <c r="X25" s="11">
        <f t="shared" si="205"/>
        <v>0</v>
      </c>
      <c r="Y25" s="11">
        <f t="shared" si="205"/>
        <v>1290</v>
      </c>
      <c r="Z25" s="11">
        <f t="shared" si="205"/>
        <v>351</v>
      </c>
      <c r="AA25" s="11">
        <f t="shared" si="205"/>
        <v>-436</v>
      </c>
      <c r="AB25" s="11">
        <f t="shared" ref="AB25" si="206">AB19-AB16</f>
        <v>-8704</v>
      </c>
      <c r="AC25" s="10">
        <f t="shared" si="205"/>
        <v>0</v>
      </c>
      <c r="AD25" s="11">
        <f t="shared" si="205"/>
        <v>-5622675</v>
      </c>
      <c r="AE25" s="11">
        <f t="shared" si="205"/>
        <v>-2554</v>
      </c>
      <c r="AF25" s="11">
        <f t="shared" si="205"/>
        <v>-781</v>
      </c>
      <c r="AG25" s="11">
        <f t="shared" si="205"/>
        <v>-1850</v>
      </c>
      <c r="AH25" s="11">
        <f t="shared" si="205"/>
        <v>0</v>
      </c>
      <c r="AI25" s="11">
        <f t="shared" si="205"/>
        <v>0</v>
      </c>
      <c r="AJ25" s="11">
        <f t="shared" ref="AJ25:BM25" si="207">AJ19-AJ16</f>
        <v>-107</v>
      </c>
      <c r="AK25" s="11">
        <f t="shared" si="207"/>
        <v>349045</v>
      </c>
      <c r="AL25" s="11">
        <f t="shared" si="207"/>
        <v>-251874</v>
      </c>
      <c r="AM25" s="11">
        <f t="shared" si="207"/>
        <v>0</v>
      </c>
      <c r="AN25" s="11">
        <f t="shared" si="207"/>
        <v>-56800</v>
      </c>
      <c r="AO25" s="9">
        <f t="shared" si="207"/>
        <v>-623704</v>
      </c>
      <c r="AP25" s="11">
        <f t="shared" si="207"/>
        <v>82605</v>
      </c>
      <c r="AQ25" s="10">
        <f t="shared" si="207"/>
        <v>0</v>
      </c>
      <c r="AR25" s="11">
        <f t="shared" si="207"/>
        <v>0</v>
      </c>
      <c r="AS25" s="11">
        <f t="shared" si="207"/>
        <v>0</v>
      </c>
      <c r="AT25" s="11">
        <f t="shared" si="207"/>
        <v>0</v>
      </c>
      <c r="AU25" s="11">
        <f t="shared" si="207"/>
        <v>0</v>
      </c>
      <c r="AV25" s="11">
        <f t="shared" si="207"/>
        <v>0</v>
      </c>
      <c r="AW25" s="11">
        <f t="shared" si="207"/>
        <v>-2724</v>
      </c>
      <c r="AX25" s="11">
        <f t="shared" si="207"/>
        <v>-2301</v>
      </c>
      <c r="AY25" s="11">
        <f t="shared" si="207"/>
        <v>-1366</v>
      </c>
      <c r="AZ25" s="11">
        <f t="shared" si="207"/>
        <v>0</v>
      </c>
      <c r="BA25" s="11">
        <f t="shared" si="207"/>
        <v>0</v>
      </c>
      <c r="BB25" s="10">
        <f t="shared" si="207"/>
        <v>0</v>
      </c>
      <c r="BC25" s="11">
        <f t="shared" si="207"/>
        <v>-20974</v>
      </c>
      <c r="BD25" s="11">
        <f t="shared" si="207"/>
        <v>-20976</v>
      </c>
      <c r="BE25" s="11">
        <f t="shared" si="207"/>
        <v>0</v>
      </c>
      <c r="BF25" s="11">
        <f t="shared" si="207"/>
        <v>-8011</v>
      </c>
      <c r="BG25" s="11">
        <f t="shared" si="207"/>
        <v>-20612</v>
      </c>
      <c r="BH25" s="11">
        <f t="shared" si="207"/>
        <v>-582984</v>
      </c>
      <c r="BI25" s="11">
        <f t="shared" si="207"/>
        <v>-6205659</v>
      </c>
      <c r="BJ25" s="11">
        <f t="shared" si="207"/>
        <v>-29651</v>
      </c>
      <c r="BK25" s="11">
        <f t="shared" si="207"/>
        <v>-6176008</v>
      </c>
      <c r="BL25" s="11">
        <f t="shared" si="207"/>
        <v>2840887</v>
      </c>
      <c r="BM25" s="11">
        <f t="shared" si="207"/>
        <v>1039386</v>
      </c>
    </row>
    <row r="26" spans="1:65" s="183" customFormat="1" ht="15.75" x14ac:dyDescent="0.2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11"/>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11"/>
      <c r="BJ26" s="11"/>
      <c r="BK26" s="11"/>
      <c r="BL26" s="184"/>
      <c r="BM26" s="184"/>
    </row>
    <row r="27" spans="1:65" ht="15.75" x14ac:dyDescent="0.25">
      <c r="A27" s="15" t="s">
        <v>137</v>
      </c>
      <c r="B27" s="229" t="s">
        <v>298</v>
      </c>
      <c r="C27" s="122">
        <v>984195</v>
      </c>
      <c r="D27" s="122">
        <v>167464</v>
      </c>
      <c r="E27" s="122">
        <v>50198</v>
      </c>
      <c r="F27" s="122">
        <v>113315</v>
      </c>
      <c r="G27" s="122">
        <v>72743</v>
      </c>
      <c r="H27" s="122">
        <v>0</v>
      </c>
      <c r="I27" s="122">
        <v>0</v>
      </c>
      <c r="J27" s="122">
        <v>0</v>
      </c>
      <c r="K27" s="122">
        <v>625</v>
      </c>
      <c r="L27" s="122">
        <v>9488</v>
      </c>
      <c r="M27" s="122">
        <v>24887</v>
      </c>
      <c r="N27" s="122">
        <v>1527</v>
      </c>
      <c r="O27" s="122">
        <v>2435</v>
      </c>
      <c r="P27" s="122">
        <v>16944</v>
      </c>
      <c r="Q27" s="122">
        <v>0</v>
      </c>
      <c r="R27" s="122">
        <v>5624</v>
      </c>
      <c r="S27" s="122">
        <v>0</v>
      </c>
      <c r="T27" s="122">
        <v>0</v>
      </c>
      <c r="U27" s="122"/>
      <c r="V27" s="195">
        <v>6871</v>
      </c>
      <c r="W27" s="122">
        <v>0</v>
      </c>
      <c r="X27" s="122">
        <v>0</v>
      </c>
      <c r="Y27" s="122">
        <v>1134</v>
      </c>
      <c r="Z27" s="122">
        <v>0</v>
      </c>
      <c r="AA27" s="122">
        <v>3</v>
      </c>
      <c r="AB27" s="122">
        <v>1793</v>
      </c>
      <c r="AC27" s="154">
        <v>175996</v>
      </c>
      <c r="AD27" s="123">
        <f t="shared" ref="AD27:AD28" si="208">SUM(C27:AC27)</f>
        <v>1635242</v>
      </c>
      <c r="AE27" s="122">
        <v>424</v>
      </c>
      <c r="AF27" s="122">
        <v>350</v>
      </c>
      <c r="AG27" s="122">
        <v>247</v>
      </c>
      <c r="AH27" s="122">
        <v>0</v>
      </c>
      <c r="AI27" s="122">
        <v>0</v>
      </c>
      <c r="AJ27" s="122">
        <v>14</v>
      </c>
      <c r="AK27" s="122">
        <v>325486</v>
      </c>
      <c r="AL27" s="122">
        <v>92108</v>
      </c>
      <c r="AM27" s="122">
        <v>0</v>
      </c>
      <c r="AN27" s="122">
        <v>0</v>
      </c>
      <c r="AO27" s="195">
        <v>101248</v>
      </c>
      <c r="AP27" s="122">
        <v>153826</v>
      </c>
      <c r="AQ27" s="154">
        <v>0</v>
      </c>
      <c r="AR27" s="122">
        <v>0</v>
      </c>
      <c r="AS27" s="122"/>
      <c r="AT27" s="122"/>
      <c r="AU27" s="122">
        <v>0</v>
      </c>
      <c r="AV27" s="122"/>
      <c r="AW27" s="122">
        <v>839</v>
      </c>
      <c r="AX27" s="122">
        <v>72</v>
      </c>
      <c r="AY27" s="122">
        <v>27</v>
      </c>
      <c r="AZ27" s="122">
        <v>0</v>
      </c>
      <c r="BA27" s="122">
        <v>0</v>
      </c>
      <c r="BB27" s="154">
        <v>111696</v>
      </c>
      <c r="BC27" s="122">
        <v>2408</v>
      </c>
      <c r="BD27" s="122">
        <v>2408</v>
      </c>
      <c r="BE27" s="122">
        <v>0</v>
      </c>
      <c r="BF27" s="122">
        <v>7348</v>
      </c>
      <c r="BG27" s="122">
        <v>845</v>
      </c>
      <c r="BH27" s="9">
        <f>SUM(AE27:BG27)</f>
        <v>799346</v>
      </c>
      <c r="BI27" s="127">
        <f>AD27+BH27</f>
        <v>2434588</v>
      </c>
      <c r="BJ27" s="98">
        <v>64278</v>
      </c>
      <c r="BK27" s="51">
        <f t="shared" ref="BK27:BK28" si="209">BI27-BJ27</f>
        <v>2370310</v>
      </c>
      <c r="BL27">
        <v>3</v>
      </c>
      <c r="BM27" s="30"/>
    </row>
    <row r="28" spans="1:65" s="41" customFormat="1" ht="15.75" x14ac:dyDescent="0.25">
      <c r="A28" s="136" t="s">
        <v>137</v>
      </c>
      <c r="B28" s="225" t="s">
        <v>326</v>
      </c>
      <c r="C28" s="10">
        <v>255891</v>
      </c>
      <c r="D28" s="10">
        <v>43541</v>
      </c>
      <c r="E28" s="10">
        <v>0</v>
      </c>
      <c r="F28" s="10">
        <v>29461</v>
      </c>
      <c r="G28" s="10">
        <v>18914</v>
      </c>
      <c r="H28" s="10">
        <v>0</v>
      </c>
      <c r="I28" s="10">
        <v>0</v>
      </c>
      <c r="J28" s="10">
        <v>0</v>
      </c>
      <c r="K28" s="10">
        <v>162</v>
      </c>
      <c r="L28" s="10">
        <v>2467</v>
      </c>
      <c r="M28" s="10">
        <v>6473</v>
      </c>
      <c r="N28" s="10">
        <v>397</v>
      </c>
      <c r="O28" s="10">
        <v>633</v>
      </c>
      <c r="P28" s="10">
        <v>4406</v>
      </c>
      <c r="Q28" s="10">
        <v>0</v>
      </c>
      <c r="R28" s="10">
        <v>1461</v>
      </c>
      <c r="S28" s="10">
        <v>0</v>
      </c>
      <c r="T28" s="10">
        <v>0</v>
      </c>
      <c r="U28" s="10"/>
      <c r="V28" s="10">
        <v>1777</v>
      </c>
      <c r="W28" s="10">
        <v>0</v>
      </c>
      <c r="X28" s="10">
        <v>0</v>
      </c>
      <c r="Y28" s="10">
        <v>297</v>
      </c>
      <c r="Z28" s="10">
        <v>0</v>
      </c>
      <c r="AA28" s="10">
        <v>1</v>
      </c>
      <c r="AB28" s="10">
        <v>466</v>
      </c>
      <c r="AC28" s="9">
        <v>45759</v>
      </c>
      <c r="AD28" s="123">
        <f t="shared" si="208"/>
        <v>412106</v>
      </c>
      <c r="AE28" s="10">
        <v>110</v>
      </c>
      <c r="AF28" s="10">
        <v>90</v>
      </c>
      <c r="AG28" s="10">
        <v>64</v>
      </c>
      <c r="AH28" s="10">
        <v>0</v>
      </c>
      <c r="AI28" s="10">
        <v>0</v>
      </c>
      <c r="AJ28" s="10">
        <v>4</v>
      </c>
      <c r="AK28" s="10">
        <v>84625</v>
      </c>
      <c r="AL28" s="10">
        <v>23948</v>
      </c>
      <c r="AM28" s="10">
        <v>0</v>
      </c>
      <c r="AN28" s="10">
        <v>0</v>
      </c>
      <c r="AO28" s="10">
        <v>26325</v>
      </c>
      <c r="AP28" s="10">
        <v>39995</v>
      </c>
      <c r="AQ28" s="9">
        <v>0</v>
      </c>
      <c r="AR28" s="10">
        <v>0</v>
      </c>
      <c r="AS28" s="10"/>
      <c r="AT28" s="10"/>
      <c r="AU28" s="10">
        <v>0</v>
      </c>
      <c r="AV28" s="10"/>
      <c r="AW28" s="10">
        <v>218</v>
      </c>
      <c r="AX28" s="10">
        <v>19</v>
      </c>
      <c r="AY28" s="10">
        <v>7</v>
      </c>
      <c r="AZ28" s="10">
        <v>0</v>
      </c>
      <c r="BA28" s="10">
        <v>0</v>
      </c>
      <c r="BB28" s="10">
        <v>29041</v>
      </c>
      <c r="BC28" s="10">
        <v>626</v>
      </c>
      <c r="BD28" s="10">
        <v>626</v>
      </c>
      <c r="BE28" s="10">
        <v>0</v>
      </c>
      <c r="BF28" s="10">
        <v>1910</v>
      </c>
      <c r="BG28" s="10">
        <v>228</v>
      </c>
      <c r="BH28" s="10">
        <f>SUM(AE28:BG28)</f>
        <v>207836</v>
      </c>
      <c r="BI28" s="227">
        <f>AD28+BH28</f>
        <v>619942</v>
      </c>
      <c r="BJ28" s="10">
        <v>16070</v>
      </c>
      <c r="BK28" s="10">
        <f t="shared" si="209"/>
        <v>603872</v>
      </c>
      <c r="BM28" s="226"/>
    </row>
    <row r="29" spans="1:65" ht="15.75" x14ac:dyDescent="0.25">
      <c r="A29" s="130"/>
      <c r="B29" s="12" t="s">
        <v>324</v>
      </c>
      <c r="C29" s="9">
        <f>IF('Upto Month COPPY'!$D$4="",0,'Upto Month COPPY'!$D$4)</f>
        <v>243337</v>
      </c>
      <c r="D29" s="9">
        <f>IF('Upto Month COPPY'!$D$5="",0,'Upto Month COPPY'!$D$5)</f>
        <v>39898</v>
      </c>
      <c r="E29" s="9">
        <f>IF('Upto Month COPPY'!$D$6="",0,'Upto Month COPPY'!$D$6)</f>
        <v>208</v>
      </c>
      <c r="F29" s="9">
        <f>IF('Upto Month COPPY'!$D$7="",0,'Upto Month COPPY'!$D$7)</f>
        <v>25991</v>
      </c>
      <c r="G29" s="9">
        <f>IF('Upto Month COPPY'!$D$8="",0,'Upto Month COPPY'!$D$8)</f>
        <v>16183</v>
      </c>
      <c r="H29" s="9">
        <f>IF('Upto Month COPPY'!$D$9="",0,'Upto Month COPPY'!$D$9)</f>
        <v>0</v>
      </c>
      <c r="I29" s="9">
        <f>IF('Upto Month COPPY'!$D$10="",0,'Upto Month COPPY'!$D$10)</f>
        <v>0</v>
      </c>
      <c r="J29" s="9">
        <f>IF('Upto Month COPPY'!$D$11="",0,'Upto Month COPPY'!$D$11)</f>
        <v>0</v>
      </c>
      <c r="K29" s="9">
        <f>IF('Upto Month COPPY'!$D$12="",0,'Upto Month COPPY'!$D$12)</f>
        <v>145</v>
      </c>
      <c r="L29" s="9">
        <f>IF('Upto Month COPPY'!$D$13="",0,'Upto Month COPPY'!$D$13)</f>
        <v>2682</v>
      </c>
      <c r="M29" s="9">
        <f>IF('Upto Month COPPY'!$D$14="",0,'Upto Month COPPY'!$D$14)</f>
        <v>2408</v>
      </c>
      <c r="N29" s="9">
        <f>IF('Upto Month COPPY'!$D$15="",0,'Upto Month COPPY'!$D$15)</f>
        <v>94</v>
      </c>
      <c r="O29" s="9">
        <f>IF('Upto Month COPPY'!$D$16="",0,'Upto Month COPPY'!$D$16)</f>
        <v>68</v>
      </c>
      <c r="P29" s="9">
        <f>IF('Upto Month COPPY'!$D$17="",0,'Upto Month COPPY'!$D$17)</f>
        <v>4317</v>
      </c>
      <c r="Q29" s="9">
        <f>IF('Upto Month COPPY'!$D$18="",0,'Upto Month COPPY'!$D$18)</f>
        <v>0</v>
      </c>
      <c r="R29" s="9">
        <f>IF('Upto Month COPPY'!$D$21="",0,'Upto Month COPPY'!$D$21)</f>
        <v>152</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3</v>
      </c>
      <c r="Z29" s="9">
        <f>IF('Upto Month COPPY'!$D$43="",0,'Upto Month COPPY'!$D$43)</f>
        <v>1</v>
      </c>
      <c r="AA29" s="9">
        <f>IF('Upto Month COPPY'!$D$44="",0,'Upto Month COPPY'!$D$44)</f>
        <v>1</v>
      </c>
      <c r="AB29" s="9">
        <f>IF('Upto Month COPPY'!$D$48="",0,'Upto Month COPPY'!$D$48)</f>
        <v>0</v>
      </c>
      <c r="AC29" s="10">
        <f>IF('Upto Month COPPY'!$D$51="",0,'Upto Month COPPY'!$D$51)</f>
        <v>22856</v>
      </c>
      <c r="AD29" s="123">
        <f t="shared" ref="AD29:AD30" si="210">SUM(C29:AC29)</f>
        <v>358344</v>
      </c>
      <c r="AE29" s="9">
        <f>IF('Upto Month COPPY'!$D$19="",0,'Upto Month COPPY'!$D$19)</f>
        <v>231</v>
      </c>
      <c r="AF29" s="9">
        <f>IF('Upto Month COPPY'!$D$20="",0,'Upto Month COPPY'!$D$20)</f>
        <v>59</v>
      </c>
      <c r="AG29" s="9">
        <f>IF('Upto Month COPPY'!$D$22="",0,'Upto Month COPPY'!$D$22)</f>
        <v>0</v>
      </c>
      <c r="AH29" s="9">
        <f>IF('Upto Month COPPY'!$D$23="",0,'Upto Month COPPY'!$D$23)</f>
        <v>0</v>
      </c>
      <c r="AI29" s="9">
        <f>IF('Upto Month COPPY'!$D$24="",0,'Upto Month COPPY'!$D$24)</f>
        <v>0</v>
      </c>
      <c r="AJ29" s="9">
        <f>IF('Upto Month COPPY'!$D$25="",0,'Upto Month COPPY'!$D$25)</f>
        <v>26</v>
      </c>
      <c r="AK29" s="9">
        <f>IF('Upto Month COPPY'!$D$28="",0,'Upto Month COPPY'!$D$28)</f>
        <v>134533</v>
      </c>
      <c r="AL29" s="9">
        <f>IF('Upto Month COPPY'!$D$29="",0,'Upto Month COPPY'!$D$29)</f>
        <v>20115</v>
      </c>
      <c r="AM29" s="9">
        <f>IF('Upto Month COPPY'!$D$31="",0,'Upto Month COPPY'!$D$31)</f>
        <v>0</v>
      </c>
      <c r="AN29" s="9">
        <f>IF('Upto Month COPPY'!$D$32="",0,'Upto Month COPPY'!$D$32)</f>
        <v>60</v>
      </c>
      <c r="AO29" s="9">
        <f>IF('Upto Month COPPY'!$D$33="",0,'Upto Month COPPY'!$D$33)</f>
        <v>25796</v>
      </c>
      <c r="AP29" s="9">
        <f>IF('Upto Month COPPY'!$D$34="",0,'Upto Month COPPY'!$D$34)</f>
        <v>33386</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10">
        <f>IF('Upto Month COPPY'!$D$52="",0,'Upto Month COPPY'!$D$52)</f>
        <v>48191</v>
      </c>
      <c r="BC29" s="9">
        <f>IF('Upto Month COPPY'!$D$53="",0,'Upto Month COPPY'!$D$53)</f>
        <v>829</v>
      </c>
      <c r="BD29" s="9">
        <f>IF('Upto Month COPPY'!$D$54="",0,'Upto Month COPPY'!$D$54)</f>
        <v>829</v>
      </c>
      <c r="BE29" s="9">
        <f>IF('Upto Month COPPY'!$D$55="",0,'Upto Month COPPY'!$D$55)</f>
        <v>0</v>
      </c>
      <c r="BF29" s="9">
        <f>IF('Upto Month COPPY'!$D$56="",0,'Upto Month COPPY'!$D$56)</f>
        <v>6134</v>
      </c>
      <c r="BG29" s="9">
        <f>IF('Upto Month COPPY'!$D$58="",0,'Upto Month COPPY'!$D$58)</f>
        <v>69</v>
      </c>
      <c r="BH29" s="9">
        <f>SUM(AE29:BG29)</f>
        <v>270258</v>
      </c>
      <c r="BI29" s="127">
        <f>AD29+BH29</f>
        <v>628602</v>
      </c>
      <c r="BJ29" s="9">
        <f>IF('Upto Month COPPY'!$D$60="",0,'Upto Month COPPY'!$D$60)</f>
        <v>-7187</v>
      </c>
      <c r="BK29" s="51">
        <f t="shared" ref="BK29:BK30" si="211">BI29-BJ29</f>
        <v>635789</v>
      </c>
      <c r="BL29">
        <f>'Upto Month COPPY'!$D$61</f>
        <v>635789</v>
      </c>
      <c r="BM29" s="30">
        <f t="shared" ref="BM29:BM33" si="212">BK29-AD29</f>
        <v>277445</v>
      </c>
    </row>
    <row r="30" spans="1:65" ht="15.75" x14ac:dyDescent="0.25">
      <c r="A30" s="130"/>
      <c r="B30" s="185" t="s">
        <v>325</v>
      </c>
      <c r="C30" s="9">
        <f>IF('Upto Month Current'!$D$4="",0,'Upto Month Current'!$D$4)</f>
        <v>251788</v>
      </c>
      <c r="D30" s="9">
        <f>IF('Upto Month Current'!$D$5="",0,'Upto Month Current'!$D$5)</f>
        <v>42239</v>
      </c>
      <c r="E30" s="9">
        <f>IF('Upto Month Current'!$D$6="",0,'Upto Month Current'!$D$6)</f>
        <v>52</v>
      </c>
      <c r="F30" s="9">
        <f>IF('Upto Month Current'!$D$7="",0,'Upto Month Current'!$D$7)</f>
        <v>29130</v>
      </c>
      <c r="G30" s="9">
        <f>IF('Upto Month Current'!$D$8="",0,'Upto Month Current'!$D$8)</f>
        <v>18533</v>
      </c>
      <c r="H30" s="9">
        <f>IF('Upto Month Current'!$D$9="",0,'Upto Month Current'!$D$9)</f>
        <v>0</v>
      </c>
      <c r="I30" s="9">
        <f>IF('Upto Month Current'!$D$10="",0,'Upto Month Current'!$D$10)</f>
        <v>0</v>
      </c>
      <c r="J30" s="9">
        <f>IF('Upto Month Current'!$D$11="",0,'Upto Month Current'!$D$11)</f>
        <v>0</v>
      </c>
      <c r="K30" s="9">
        <f>IF('Upto Month Current'!$D$12="",0,'Upto Month Current'!$D$12)</f>
        <v>367</v>
      </c>
      <c r="L30" s="9">
        <f>IF('Upto Month Current'!$D$13="",0,'Upto Month Current'!$D$13)</f>
        <v>1683</v>
      </c>
      <c r="M30" s="9">
        <f>IF('Upto Month Current'!$D$14="",0,'Upto Month Current'!$D$14)</f>
        <v>1188</v>
      </c>
      <c r="N30" s="9">
        <f>IF('Upto Month Current'!$D$15="",0,'Upto Month Current'!$D$15)</f>
        <v>17</v>
      </c>
      <c r="O30" s="9">
        <f>IF('Upto Month Current'!$D$16="",0,'Upto Month Current'!$D$16)</f>
        <v>289</v>
      </c>
      <c r="P30" s="9">
        <f>IF('Upto Month Current'!$D$17="",0,'Upto Month Current'!$D$17)</f>
        <v>2635</v>
      </c>
      <c r="Q30" s="9">
        <f>IF('Upto Month Current'!$D$18="",0,'Upto Month Current'!$D$18)</f>
        <v>0</v>
      </c>
      <c r="R30" s="9">
        <f>IF('Upto Month Current'!$D$21="",0,'Upto Month Current'!$D$21)</f>
        <v>297</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251</v>
      </c>
      <c r="Z30" s="9">
        <f>IF('Upto Month Current'!$D$43="",0,'Upto Month Current'!$D$43)</f>
        <v>23</v>
      </c>
      <c r="AA30" s="9">
        <f>IF('Upto Month Current'!$D$44="",0,'Upto Month Current'!$D$44)</f>
        <v>2</v>
      </c>
      <c r="AB30" s="9">
        <f>IF('Upto Month Current'!$D$48="",0,'Upto Month Current'!$D$48)</f>
        <v>0</v>
      </c>
      <c r="AC30" s="10">
        <f>IF('Upto Month Current'!$D$51="",0,'Upto Month Current'!$D$51)</f>
        <v>30394</v>
      </c>
      <c r="AD30" s="123">
        <f t="shared" si="210"/>
        <v>378888</v>
      </c>
      <c r="AE30" s="9">
        <f>IF('Upto Month Current'!$D$19="",0,'Upto Month Current'!$D$19)</f>
        <v>220</v>
      </c>
      <c r="AF30" s="9">
        <f>IF('Upto Month Current'!$D$20="",0,'Upto Month Current'!$D$20)</f>
        <v>135</v>
      </c>
      <c r="AG30" s="9">
        <f>IF('Upto Month Current'!$D$22="",0,'Upto Month Current'!$D$22)</f>
        <v>0</v>
      </c>
      <c r="AH30" s="9">
        <f>IF('Upto Month Current'!$D$23="",0,'Upto Month Current'!$D$23)</f>
        <v>0</v>
      </c>
      <c r="AI30" s="9">
        <f>IF('Upto Month Current'!$D$24="",0,'Upto Month Current'!$D$24)</f>
        <v>0</v>
      </c>
      <c r="AJ30" s="9">
        <f>IF('Upto Month Current'!$D$25="",0,'Upto Month Current'!$D$25)</f>
        <v>9</v>
      </c>
      <c r="AK30" s="9">
        <f>IF('Upto Month Current'!$D$28="",0,'Upto Month Current'!$D$28)</f>
        <v>134791</v>
      </c>
      <c r="AL30" s="9">
        <f>IF('Upto Month Current'!$D$29="",0,'Upto Month Current'!$D$29)</f>
        <v>8891</v>
      </c>
      <c r="AM30" s="9">
        <f>IF('Upto Month Current'!$D$31="",0,'Upto Month Current'!$D$31)</f>
        <v>0</v>
      </c>
      <c r="AN30" s="9">
        <f>IF('Upto Month Current'!$D$32="",0,'Upto Month Current'!$D$32)</f>
        <v>40</v>
      </c>
      <c r="AO30" s="9">
        <f>IF('Upto Month Current'!$D$33="",0,'Upto Month Current'!$D$33)</f>
        <v>6988</v>
      </c>
      <c r="AP30" s="9">
        <f>IF('Upto Month Current'!$D$34="",0,'Upto Month Current'!$D$34)</f>
        <v>17614</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100</v>
      </c>
      <c r="AZ30" s="9">
        <f>IF('Upto Month Current'!$D$49="",0,'Upto Month Current'!$D$49)</f>
        <v>0</v>
      </c>
      <c r="BA30" s="9">
        <f>IF('Upto Month Current'!$D$50="",0,'Upto Month Current'!$D$50)</f>
        <v>0</v>
      </c>
      <c r="BB30" s="10">
        <f>IF('Upto Month Current'!$D$52="",0,'Upto Month Current'!$D$52)</f>
        <v>73103</v>
      </c>
      <c r="BC30" s="9">
        <f>IF('Upto Month Current'!$D$53="",0,'Upto Month Current'!$D$53)</f>
        <v>526</v>
      </c>
      <c r="BD30" s="9">
        <f>IF('Upto Month Current'!$D$54="",0,'Upto Month Current'!$D$54)</f>
        <v>526</v>
      </c>
      <c r="BE30" s="9">
        <f>IF('Upto Month Current'!$D$55="",0,'Upto Month Current'!$D$55)</f>
        <v>0</v>
      </c>
      <c r="BF30" s="9">
        <f>IF('Upto Month Current'!$D$56="",0,'Upto Month Current'!$D$56)</f>
        <v>763</v>
      </c>
      <c r="BG30" s="9">
        <f>IF('Upto Month Current'!$D$58="",0,'Upto Month Current'!$D$58)</f>
        <v>45</v>
      </c>
      <c r="BH30" s="9">
        <f>SUM(AE30:BG30)</f>
        <v>243751</v>
      </c>
      <c r="BI30" s="127">
        <f>AD30+BH30</f>
        <v>622639</v>
      </c>
      <c r="BJ30" s="9">
        <f>IF('Upto Month Current'!$D$60="",0,'Upto Month Current'!$D$60)</f>
        <v>15545</v>
      </c>
      <c r="BK30" s="51">
        <f t="shared" si="211"/>
        <v>607094</v>
      </c>
      <c r="BL30">
        <f>'Upto Month Current'!$D$61</f>
        <v>607094</v>
      </c>
      <c r="BM30" s="30">
        <f t="shared" si="212"/>
        <v>228206</v>
      </c>
    </row>
    <row r="31" spans="1:65" ht="15.75" x14ac:dyDescent="0.25">
      <c r="A31" s="130"/>
      <c r="B31" s="5" t="s">
        <v>132</v>
      </c>
      <c r="C31" s="11">
        <f>C30-C28</f>
        <v>-4103</v>
      </c>
      <c r="D31" s="11">
        <f t="shared" ref="D31" si="213">D30-D28</f>
        <v>-1302</v>
      </c>
      <c r="E31" s="11">
        <f t="shared" ref="E31" si="214">E30-E28</f>
        <v>52</v>
      </c>
      <c r="F31" s="11">
        <f t="shared" ref="F31" si="215">F30-F28</f>
        <v>-331</v>
      </c>
      <c r="G31" s="11">
        <f t="shared" ref="G31" si="216">G30-G28</f>
        <v>-381</v>
      </c>
      <c r="H31" s="11">
        <f t="shared" ref="H31" si="217">H30-H28</f>
        <v>0</v>
      </c>
      <c r="I31" s="11">
        <f t="shared" ref="I31" si="218">I30-I28</f>
        <v>0</v>
      </c>
      <c r="J31" s="11">
        <f t="shared" ref="J31" si="219">J30-J28</f>
        <v>0</v>
      </c>
      <c r="K31" s="11">
        <f t="shared" ref="K31" si="220">K30-K28</f>
        <v>205</v>
      </c>
      <c r="L31" s="11">
        <f t="shared" ref="L31" si="221">L30-L28</f>
        <v>-784</v>
      </c>
      <c r="M31" s="11">
        <f t="shared" ref="M31" si="222">M30-M28</f>
        <v>-5285</v>
      </c>
      <c r="N31" s="11">
        <f t="shared" ref="N31" si="223">N30-N28</f>
        <v>-380</v>
      </c>
      <c r="O31" s="11">
        <f t="shared" ref="O31" si="224">O30-O28</f>
        <v>-344</v>
      </c>
      <c r="P31" s="11">
        <f t="shared" ref="P31" si="225">P30-P28</f>
        <v>-1771</v>
      </c>
      <c r="Q31" s="11">
        <f t="shared" ref="Q31" si="226">Q30-Q28</f>
        <v>0</v>
      </c>
      <c r="R31" s="11">
        <f t="shared" ref="R31" si="227">R30-R28</f>
        <v>-1164</v>
      </c>
      <c r="S31" s="11">
        <f t="shared" ref="S31" si="228">S30-S28</f>
        <v>0</v>
      </c>
      <c r="T31" s="11">
        <f t="shared" ref="T31:U31" si="229">T30-T28</f>
        <v>0</v>
      </c>
      <c r="U31" s="11">
        <f t="shared" si="229"/>
        <v>0</v>
      </c>
      <c r="V31" s="9">
        <f t="shared" ref="V31" si="230">V30-V28</f>
        <v>-1777</v>
      </c>
      <c r="W31" s="11">
        <f t="shared" ref="W31" si="231">W30-W28</f>
        <v>0</v>
      </c>
      <c r="X31" s="11">
        <f t="shared" ref="X31" si="232">X30-X28</f>
        <v>0</v>
      </c>
      <c r="Y31" s="11">
        <f t="shared" ref="Y31" si="233">Y30-Y28</f>
        <v>-46</v>
      </c>
      <c r="Z31" s="11">
        <f t="shared" ref="Z31" si="234">Z30-Z28</f>
        <v>23</v>
      </c>
      <c r="AA31" s="11">
        <f t="shared" ref="AA31:AD31" si="235">AA30-AA28</f>
        <v>1</v>
      </c>
      <c r="AB31" s="11">
        <f t="shared" ref="AB31" si="236">AB30-AB28</f>
        <v>-466</v>
      </c>
      <c r="AC31" s="10">
        <f t="shared" si="235"/>
        <v>-15365</v>
      </c>
      <c r="AD31" s="11">
        <f t="shared" si="235"/>
        <v>-33218</v>
      </c>
      <c r="AE31" s="11">
        <f t="shared" ref="AE31" si="237">AE30-AE28</f>
        <v>110</v>
      </c>
      <c r="AF31" s="11">
        <f t="shared" ref="AF31" si="238">AF30-AF28</f>
        <v>45</v>
      </c>
      <c r="AG31" s="11">
        <f t="shared" ref="AG31" si="239">AG30-AG28</f>
        <v>-64</v>
      </c>
      <c r="AH31" s="11">
        <f t="shared" ref="AH31" si="240">AH30-AH28</f>
        <v>0</v>
      </c>
      <c r="AI31" s="11">
        <f t="shared" ref="AI31" si="241">AI30-AI28</f>
        <v>0</v>
      </c>
      <c r="AJ31" s="11">
        <f t="shared" ref="AJ31" si="242">AJ30-AJ28</f>
        <v>5</v>
      </c>
      <c r="AK31" s="11">
        <f t="shared" ref="AK31" si="243">AK30-AK28</f>
        <v>50166</v>
      </c>
      <c r="AL31" s="11">
        <f t="shared" ref="AL31" si="244">AL30-AL28</f>
        <v>-15057</v>
      </c>
      <c r="AM31" s="11">
        <f t="shared" ref="AM31" si="245">AM30-AM28</f>
        <v>0</v>
      </c>
      <c r="AN31" s="11">
        <f t="shared" ref="AN31" si="246">AN30-AN28</f>
        <v>40</v>
      </c>
      <c r="AO31" s="9">
        <f t="shared" ref="AO31" si="247">AO30-AO28</f>
        <v>-19337</v>
      </c>
      <c r="AP31" s="11">
        <f t="shared" ref="AP31" si="248">AP30-AP28</f>
        <v>-22381</v>
      </c>
      <c r="AQ31" s="10">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-218</v>
      </c>
      <c r="AX31" s="11">
        <f t="shared" ref="AX31" si="256">AX30-AX28</f>
        <v>-19</v>
      </c>
      <c r="AY31" s="11">
        <f t="shared" ref="AY31" si="257">AY30-AY28</f>
        <v>93</v>
      </c>
      <c r="AZ31" s="11">
        <f t="shared" ref="AZ31" si="258">AZ30-AZ28</f>
        <v>0</v>
      </c>
      <c r="BA31" s="11">
        <f t="shared" ref="BA31" si="259">BA30-BA28</f>
        <v>0</v>
      </c>
      <c r="BB31" s="10">
        <f t="shared" ref="BB31" si="260">BB30-BB28</f>
        <v>44062</v>
      </c>
      <c r="BC31" s="11">
        <f t="shared" ref="BC31" si="261">BC30-BC28</f>
        <v>-100</v>
      </c>
      <c r="BD31" s="11">
        <f t="shared" ref="BD31" si="262">BD30-BD28</f>
        <v>-100</v>
      </c>
      <c r="BE31" s="11">
        <f t="shared" ref="BE31" si="263">BE30-BE28</f>
        <v>0</v>
      </c>
      <c r="BF31" s="11">
        <f t="shared" ref="BF31" si="264">BF30-BF28</f>
        <v>-1147</v>
      </c>
      <c r="BG31" s="11">
        <f t="shared" ref="BG31:BH31" si="265">BG30-BG28</f>
        <v>-183</v>
      </c>
      <c r="BH31" s="9">
        <f t="shared" si="265"/>
        <v>35915</v>
      </c>
      <c r="BI31" s="45">
        <f t="shared" ref="BI31" si="266">BI30-BI28</f>
        <v>2697</v>
      </c>
      <c r="BJ31" s="11">
        <f t="shared" ref="BJ31:BK31" si="267">BJ30-BJ28</f>
        <v>-525</v>
      </c>
      <c r="BK31" s="51">
        <f t="shared" si="267"/>
        <v>3222</v>
      </c>
      <c r="BM31" s="30">
        <f t="shared" si="212"/>
        <v>36440</v>
      </c>
    </row>
    <row r="32" spans="1:65" ht="15.75" x14ac:dyDescent="0.25">
      <c r="A32" s="130"/>
      <c r="B32" s="5" t="s">
        <v>133</v>
      </c>
      <c r="C32" s="13">
        <f>C31/C28</f>
        <v>-1.6034170799285635E-2</v>
      </c>
      <c r="D32" s="13">
        <f t="shared" ref="D32" si="268">D31/D28</f>
        <v>-2.9902850187179898E-2</v>
      </c>
      <c r="E32" s="13" t="e">
        <f t="shared" ref="E32" si="269">E31/E28</f>
        <v>#DIV/0!</v>
      </c>
      <c r="F32" s="13">
        <f t="shared" ref="F32" si="270">F31/F28</f>
        <v>-1.1235192288109704E-2</v>
      </c>
      <c r="G32" s="13">
        <f t="shared" ref="G32" si="271">G31/G28</f>
        <v>-2.0143808818864333E-2</v>
      </c>
      <c r="H32" s="13" t="e">
        <f t="shared" ref="H32" si="272">H31/H28</f>
        <v>#DIV/0!</v>
      </c>
      <c r="I32" s="13" t="e">
        <f t="shared" ref="I32" si="273">I31/I28</f>
        <v>#DIV/0!</v>
      </c>
      <c r="J32" s="13" t="e">
        <f t="shared" ref="J32" si="274">J31/J28</f>
        <v>#DIV/0!</v>
      </c>
      <c r="K32" s="13">
        <f t="shared" ref="K32" si="275">K31/K28</f>
        <v>1.2654320987654322</v>
      </c>
      <c r="L32" s="13">
        <f t="shared" ref="L32" si="276">L31/L28</f>
        <v>-0.31779489258208349</v>
      </c>
      <c r="M32" s="13">
        <f t="shared" ref="M32" si="277">M31/M28</f>
        <v>-0.81646840723003244</v>
      </c>
      <c r="N32" s="13">
        <f t="shared" ref="N32" si="278">N31/N28</f>
        <v>-0.95717884130982367</v>
      </c>
      <c r="O32" s="13">
        <f t="shared" ref="O32" si="279">O31/O28</f>
        <v>-0.54344391785150081</v>
      </c>
      <c r="P32" s="13">
        <f t="shared" ref="P32" si="280">P31/P28</f>
        <v>-0.40195188379482522</v>
      </c>
      <c r="Q32" s="13" t="e">
        <f t="shared" ref="Q32" si="281">Q31/Q28</f>
        <v>#DIV/0!</v>
      </c>
      <c r="R32" s="13">
        <f t="shared" ref="R32" si="282">R31/R28</f>
        <v>-0.79671457905544152</v>
      </c>
      <c r="S32" s="13" t="e">
        <f t="shared" ref="S32" si="283">S31/S28</f>
        <v>#DIV/0!</v>
      </c>
      <c r="T32" s="13" t="e">
        <f t="shared" ref="T32:U32" si="284">T31/T28</f>
        <v>#DIV/0!</v>
      </c>
      <c r="U32" s="13" t="e">
        <f t="shared" si="284"/>
        <v>#DIV/0!</v>
      </c>
      <c r="V32" s="165">
        <f t="shared" ref="V32" si="285">V31/V28</f>
        <v>-1</v>
      </c>
      <c r="W32" s="13" t="e">
        <f t="shared" ref="W32" si="286">W31/W28</f>
        <v>#DIV/0!</v>
      </c>
      <c r="X32" s="13" t="e">
        <f t="shared" ref="X32" si="287">X31/X28</f>
        <v>#DIV/0!</v>
      </c>
      <c r="Y32" s="13">
        <f t="shared" ref="Y32" si="288">Y31/Y28</f>
        <v>-0.15488215488215487</v>
      </c>
      <c r="Z32" s="13" t="e">
        <f t="shared" ref="Z32" si="289">Z31/Z28</f>
        <v>#DIV/0!</v>
      </c>
      <c r="AA32" s="13">
        <f t="shared" ref="AA32:AD32" si="290">AA31/AA28</f>
        <v>1</v>
      </c>
      <c r="AB32" s="13">
        <f t="shared" ref="AB32" si="291">AB31/AB28</f>
        <v>-1</v>
      </c>
      <c r="AC32" s="14">
        <f t="shared" si="290"/>
        <v>-0.33578093926877772</v>
      </c>
      <c r="AD32" s="13">
        <f t="shared" si="290"/>
        <v>-8.0605475290337916E-2</v>
      </c>
      <c r="AE32" s="13">
        <f t="shared" ref="AE32" si="292">AE31/AE28</f>
        <v>1</v>
      </c>
      <c r="AF32" s="13">
        <f t="shared" ref="AF32" si="293">AF31/AF28</f>
        <v>0.5</v>
      </c>
      <c r="AG32" s="13">
        <f t="shared" ref="AG32" si="294">AG31/AG28</f>
        <v>-1</v>
      </c>
      <c r="AH32" s="13" t="e">
        <f t="shared" ref="AH32" si="295">AH31/AH28</f>
        <v>#DIV/0!</v>
      </c>
      <c r="AI32" s="13" t="e">
        <f t="shared" ref="AI32" si="296">AI31/AI28</f>
        <v>#DIV/0!</v>
      </c>
      <c r="AJ32" s="13">
        <f t="shared" ref="AJ32" si="297">AJ31/AJ28</f>
        <v>1.25</v>
      </c>
      <c r="AK32" s="13">
        <f t="shared" ref="AK32" si="298">AK31/AK28</f>
        <v>0.59280354505169863</v>
      </c>
      <c r="AL32" s="13">
        <f t="shared" ref="AL32" si="299">AL31/AL28</f>
        <v>-0.62873726407215635</v>
      </c>
      <c r="AM32" s="13" t="e">
        <f t="shared" ref="AM32" si="300">AM31/AM28</f>
        <v>#DIV/0!</v>
      </c>
      <c r="AN32" s="13" t="e">
        <f t="shared" ref="AN32" si="301">AN31/AN28</f>
        <v>#DIV/0!</v>
      </c>
      <c r="AO32" s="165">
        <f t="shared" ref="AO32" si="302">AO31/AO28</f>
        <v>-0.73454890788224125</v>
      </c>
      <c r="AP32" s="13">
        <f t="shared" ref="AP32" si="303">AP31/AP28</f>
        <v>-0.55959494936867105</v>
      </c>
      <c r="AQ32" s="14"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-1</v>
      </c>
      <c r="AX32" s="13">
        <f t="shared" ref="AX32" si="311">AX31/AX28</f>
        <v>-1</v>
      </c>
      <c r="AY32" s="13">
        <f t="shared" ref="AY32" si="312">AY31/AY28</f>
        <v>13.285714285714286</v>
      </c>
      <c r="AZ32" s="13" t="e">
        <f t="shared" ref="AZ32" si="313">AZ31/AZ28</f>
        <v>#DIV/0!</v>
      </c>
      <c r="BA32" s="13" t="e">
        <f t="shared" ref="BA32" si="314">BA31/BA28</f>
        <v>#DIV/0!</v>
      </c>
      <c r="BB32" s="14">
        <f t="shared" ref="BB32" si="315">BB31/BB28</f>
        <v>1.5172342550187665</v>
      </c>
      <c r="BC32" s="13">
        <f t="shared" ref="BC32" si="316">BC31/BC28</f>
        <v>-0.15974440894568689</v>
      </c>
      <c r="BD32" s="13">
        <f t="shared" ref="BD32" si="317">BD31/BD28</f>
        <v>-0.15974440894568689</v>
      </c>
      <c r="BE32" s="13" t="e">
        <f t="shared" ref="BE32" si="318">BE31/BE28</f>
        <v>#DIV/0!</v>
      </c>
      <c r="BF32" s="13">
        <f t="shared" ref="BF32" si="319">BF31/BF28</f>
        <v>-0.6005235602094241</v>
      </c>
      <c r="BG32" s="13">
        <f t="shared" ref="BG32:BH32" si="320">BG31/BG28</f>
        <v>-0.80263157894736847</v>
      </c>
      <c r="BH32" s="165">
        <f t="shared" si="320"/>
        <v>0.1728045189476318</v>
      </c>
      <c r="BI32" s="46">
        <f t="shared" ref="BI32" si="321">BI31/BI28</f>
        <v>4.3504069735555905E-3</v>
      </c>
      <c r="BJ32" s="13">
        <f t="shared" ref="BJ32:BK32" si="322">BJ31/BJ28</f>
        <v>-3.2669570628500309E-2</v>
      </c>
      <c r="BK32" s="52">
        <f t="shared" si="322"/>
        <v>5.335567802448201E-3</v>
      </c>
      <c r="BM32" s="165" t="e">
        <f t="shared" ref="BM32" si="323">BM31/BM28</f>
        <v>#DIV/0!</v>
      </c>
    </row>
    <row r="33" spans="1:65" ht="15.75" x14ac:dyDescent="0.25">
      <c r="A33" s="130"/>
      <c r="B33" s="5" t="s">
        <v>134</v>
      </c>
      <c r="C33" s="11">
        <f>C30-C29</f>
        <v>8451</v>
      </c>
      <c r="D33" s="11">
        <f t="shared" ref="D33:BK33" si="324">D30-D29</f>
        <v>2341</v>
      </c>
      <c r="E33" s="11">
        <f t="shared" si="324"/>
        <v>-156</v>
      </c>
      <c r="F33" s="11">
        <f t="shared" si="324"/>
        <v>3139</v>
      </c>
      <c r="G33" s="11">
        <f t="shared" si="324"/>
        <v>2350</v>
      </c>
      <c r="H33" s="11">
        <f t="shared" si="324"/>
        <v>0</v>
      </c>
      <c r="I33" s="11">
        <f t="shared" si="324"/>
        <v>0</v>
      </c>
      <c r="J33" s="11">
        <f t="shared" si="324"/>
        <v>0</v>
      </c>
      <c r="K33" s="11">
        <f t="shared" si="324"/>
        <v>222</v>
      </c>
      <c r="L33" s="11">
        <f t="shared" si="324"/>
        <v>-999</v>
      </c>
      <c r="M33" s="11">
        <f t="shared" si="324"/>
        <v>-1220</v>
      </c>
      <c r="N33" s="11">
        <f t="shared" si="324"/>
        <v>-77</v>
      </c>
      <c r="O33" s="11">
        <f t="shared" si="324"/>
        <v>221</v>
      </c>
      <c r="P33" s="11">
        <f t="shared" si="324"/>
        <v>-1682</v>
      </c>
      <c r="Q33" s="11">
        <f t="shared" si="324"/>
        <v>0</v>
      </c>
      <c r="R33" s="11">
        <f t="shared" si="324"/>
        <v>145</v>
      </c>
      <c r="S33" s="11">
        <f t="shared" si="324"/>
        <v>0</v>
      </c>
      <c r="T33" s="11">
        <f t="shared" si="324"/>
        <v>0</v>
      </c>
      <c r="U33" s="11">
        <f t="shared" ref="U33" si="325">U30-U29</f>
        <v>0</v>
      </c>
      <c r="V33" s="9">
        <f t="shared" si="324"/>
        <v>0</v>
      </c>
      <c r="W33" s="11">
        <f t="shared" si="324"/>
        <v>0</v>
      </c>
      <c r="X33" s="11">
        <f t="shared" si="324"/>
        <v>0</v>
      </c>
      <c r="Y33" s="11">
        <f t="shared" si="324"/>
        <v>248</v>
      </c>
      <c r="Z33" s="11">
        <f t="shared" si="324"/>
        <v>22</v>
      </c>
      <c r="AA33" s="11">
        <f t="shared" si="324"/>
        <v>1</v>
      </c>
      <c r="AB33" s="11">
        <f t="shared" ref="AB33" si="326">AB30-AB29</f>
        <v>0</v>
      </c>
      <c r="AC33" s="10">
        <f t="shared" ref="AC33:AD33" si="327">AC30-AC29</f>
        <v>7538</v>
      </c>
      <c r="AD33" s="11">
        <f t="shared" si="327"/>
        <v>20544</v>
      </c>
      <c r="AE33" s="11">
        <f t="shared" si="324"/>
        <v>-11</v>
      </c>
      <c r="AF33" s="11">
        <f t="shared" si="324"/>
        <v>76</v>
      </c>
      <c r="AG33" s="11">
        <f t="shared" si="324"/>
        <v>0</v>
      </c>
      <c r="AH33" s="11">
        <f t="shared" si="324"/>
        <v>0</v>
      </c>
      <c r="AI33" s="11">
        <f t="shared" si="324"/>
        <v>0</v>
      </c>
      <c r="AJ33" s="11">
        <f t="shared" si="324"/>
        <v>-17</v>
      </c>
      <c r="AK33" s="11">
        <f t="shared" si="324"/>
        <v>258</v>
      </c>
      <c r="AL33" s="11">
        <f t="shared" si="324"/>
        <v>-11224</v>
      </c>
      <c r="AM33" s="11">
        <f t="shared" si="324"/>
        <v>0</v>
      </c>
      <c r="AN33" s="11">
        <f t="shared" si="324"/>
        <v>-20</v>
      </c>
      <c r="AO33" s="9">
        <f t="shared" si="324"/>
        <v>-18808</v>
      </c>
      <c r="AP33" s="11">
        <f t="shared" si="324"/>
        <v>-15772</v>
      </c>
      <c r="AQ33" s="10">
        <f t="shared" si="324"/>
        <v>0</v>
      </c>
      <c r="AR33" s="11">
        <f t="shared" si="324"/>
        <v>0</v>
      </c>
      <c r="AS33" s="11">
        <f t="shared" si="324"/>
        <v>0</v>
      </c>
      <c r="AT33" s="11">
        <f t="shared" si="324"/>
        <v>0</v>
      </c>
      <c r="AU33" s="11">
        <f t="shared" si="324"/>
        <v>0</v>
      </c>
      <c r="AV33" s="11">
        <f t="shared" si="324"/>
        <v>0</v>
      </c>
      <c r="AW33" s="11">
        <f t="shared" si="324"/>
        <v>0</v>
      </c>
      <c r="AX33" s="11">
        <f t="shared" si="324"/>
        <v>0</v>
      </c>
      <c r="AY33" s="11">
        <f t="shared" si="324"/>
        <v>100</v>
      </c>
      <c r="AZ33" s="11">
        <f t="shared" si="324"/>
        <v>0</v>
      </c>
      <c r="BA33" s="11">
        <f t="shared" si="324"/>
        <v>0</v>
      </c>
      <c r="BB33" s="10">
        <f t="shared" si="324"/>
        <v>24912</v>
      </c>
      <c r="BC33" s="11">
        <f t="shared" si="324"/>
        <v>-303</v>
      </c>
      <c r="BD33" s="11">
        <f t="shared" si="324"/>
        <v>-303</v>
      </c>
      <c r="BE33" s="11">
        <f t="shared" si="324"/>
        <v>0</v>
      </c>
      <c r="BF33" s="11">
        <f t="shared" si="324"/>
        <v>-5371</v>
      </c>
      <c r="BG33" s="11">
        <f t="shared" si="324"/>
        <v>-24</v>
      </c>
      <c r="BH33" s="9">
        <f t="shared" si="324"/>
        <v>-26507</v>
      </c>
      <c r="BI33" s="45">
        <f t="shared" si="324"/>
        <v>-5963</v>
      </c>
      <c r="BJ33" s="11">
        <f t="shared" si="324"/>
        <v>22732</v>
      </c>
      <c r="BK33" s="51">
        <f t="shared" si="324"/>
        <v>-28695</v>
      </c>
      <c r="BM33" s="30">
        <f t="shared" si="212"/>
        <v>-49239</v>
      </c>
    </row>
    <row r="34" spans="1:65" ht="15.75" x14ac:dyDescent="0.25">
      <c r="A34" s="130"/>
      <c r="B34" s="5" t="s">
        <v>135</v>
      </c>
      <c r="C34" s="13">
        <f>C33/C29</f>
        <v>3.4729613663355759E-2</v>
      </c>
      <c r="D34" s="13">
        <f t="shared" ref="D34" si="328">D33/D29</f>
        <v>5.8674620281718382E-2</v>
      </c>
      <c r="E34" s="13">
        <f t="shared" ref="E34" si="329">E33/E29</f>
        <v>-0.75</v>
      </c>
      <c r="F34" s="13">
        <f t="shared" ref="F34" si="330">F33/F29</f>
        <v>0.12077257512215767</v>
      </c>
      <c r="G34" s="13">
        <f t="shared" ref="G34" si="331">G33/G29</f>
        <v>0.1452141135759748</v>
      </c>
      <c r="H34" s="13" t="e">
        <f t="shared" ref="H34" si="332">H33/H29</f>
        <v>#DIV/0!</v>
      </c>
      <c r="I34" s="13" t="e">
        <f t="shared" ref="I34" si="333">I33/I29</f>
        <v>#DIV/0!</v>
      </c>
      <c r="J34" s="13" t="e">
        <f t="shared" ref="J34" si="334">J33/J29</f>
        <v>#DIV/0!</v>
      </c>
      <c r="K34" s="13">
        <f t="shared" ref="K34" si="335">K33/K29</f>
        <v>1.5310344827586206</v>
      </c>
      <c r="L34" s="13">
        <f t="shared" ref="L34" si="336">L33/L29</f>
        <v>-0.37248322147651008</v>
      </c>
      <c r="M34" s="13">
        <f t="shared" ref="M34" si="337">M33/M29</f>
        <v>-0.50664451827242529</v>
      </c>
      <c r="N34" s="13">
        <f t="shared" ref="N34" si="338">N33/N29</f>
        <v>-0.81914893617021278</v>
      </c>
      <c r="O34" s="13">
        <f t="shared" ref="O34" si="339">O33/O29</f>
        <v>3.25</v>
      </c>
      <c r="P34" s="13">
        <f t="shared" ref="P34" si="340">P33/P29</f>
        <v>-0.38962242297892052</v>
      </c>
      <c r="Q34" s="13" t="e">
        <f t="shared" ref="Q34" si="341">Q33/Q29</f>
        <v>#DIV/0!</v>
      </c>
      <c r="R34" s="13">
        <f t="shared" ref="R34" si="342">R33/R29</f>
        <v>0.95394736842105265</v>
      </c>
      <c r="S34" s="13" t="e">
        <f t="shared" ref="S34" si="343">S33/S29</f>
        <v>#DIV/0!</v>
      </c>
      <c r="T34" s="13" t="e">
        <f t="shared" ref="T34:U34" si="344">T33/T29</f>
        <v>#DIV/0!</v>
      </c>
      <c r="U34" s="13" t="e">
        <f t="shared" si="344"/>
        <v>#DIV/0!</v>
      </c>
      <c r="V34" s="165" t="e">
        <f t="shared" ref="V34" si="345">V33/V29</f>
        <v>#DIV/0!</v>
      </c>
      <c r="W34" s="13" t="e">
        <f t="shared" ref="W34" si="346">W33/W29</f>
        <v>#DIV/0!</v>
      </c>
      <c r="X34" s="13" t="e">
        <f t="shared" ref="X34" si="347">X33/X29</f>
        <v>#DIV/0!</v>
      </c>
      <c r="Y34" s="13">
        <f t="shared" ref="Y34" si="348">Y33/Y29</f>
        <v>82.666666666666671</v>
      </c>
      <c r="Z34" s="13">
        <f t="shared" ref="Z34" si="349">Z33/Z29</f>
        <v>22</v>
      </c>
      <c r="AA34" s="13">
        <f t="shared" ref="AA34:AD34" si="350">AA33/AA29</f>
        <v>1</v>
      </c>
      <c r="AB34" s="13" t="e">
        <f t="shared" ref="AB34" si="351">AB33/AB29</f>
        <v>#DIV/0!</v>
      </c>
      <c r="AC34" s="14">
        <f t="shared" si="350"/>
        <v>0.32980399019950996</v>
      </c>
      <c r="AD34" s="13">
        <f t="shared" si="350"/>
        <v>5.7330386444310495E-2</v>
      </c>
      <c r="AE34" s="13">
        <f t="shared" ref="AE34" si="352">AE33/AE29</f>
        <v>-4.7619047619047616E-2</v>
      </c>
      <c r="AF34" s="13">
        <f t="shared" ref="AF34" si="353">AF33/AF29</f>
        <v>1.2881355932203389</v>
      </c>
      <c r="AG34" s="13" t="e">
        <f t="shared" ref="AG34" si="354">AG33/AG29</f>
        <v>#DIV/0!</v>
      </c>
      <c r="AH34" s="13" t="e">
        <f t="shared" ref="AH34" si="355">AH33/AH29</f>
        <v>#DIV/0!</v>
      </c>
      <c r="AI34" s="13" t="e">
        <f t="shared" ref="AI34" si="356">AI33/AI29</f>
        <v>#DIV/0!</v>
      </c>
      <c r="AJ34" s="13">
        <f t="shared" ref="AJ34" si="357">AJ33/AJ29</f>
        <v>-0.65384615384615385</v>
      </c>
      <c r="AK34" s="13">
        <f t="shared" ref="AK34" si="358">AK33/AK29</f>
        <v>1.9177450885656307E-3</v>
      </c>
      <c r="AL34" s="13">
        <f t="shared" ref="AL34" si="359">AL33/AL29</f>
        <v>-0.55799154859557543</v>
      </c>
      <c r="AM34" s="13" t="e">
        <f t="shared" ref="AM34" si="360">AM33/AM29</f>
        <v>#DIV/0!</v>
      </c>
      <c r="AN34" s="13">
        <f t="shared" ref="AN34" si="361">AN33/AN29</f>
        <v>-0.33333333333333331</v>
      </c>
      <c r="AO34" s="165">
        <f t="shared" ref="AO34" si="362">AO33/AO29</f>
        <v>-0.72910528764149485</v>
      </c>
      <c r="AP34" s="13">
        <f t="shared" ref="AP34" si="363">AP33/AP29</f>
        <v>-0.47241358653327742</v>
      </c>
      <c r="AQ34" s="14"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t="e">
        <f t="shared" ref="AX34" si="371">AX33/AX29</f>
        <v>#DIV/0!</v>
      </c>
      <c r="AY34" s="13" t="e">
        <f t="shared" ref="AY34" si="372">AY33/AY29</f>
        <v>#DIV/0!</v>
      </c>
      <c r="AZ34" s="13" t="e">
        <f t="shared" ref="AZ34" si="373">AZ33/AZ29</f>
        <v>#DIV/0!</v>
      </c>
      <c r="BA34" s="13" t="e">
        <f t="shared" ref="BA34" si="374">BA33/BA29</f>
        <v>#DIV/0!</v>
      </c>
      <c r="BB34" s="14">
        <f t="shared" ref="BB34" si="375">BB33/BB29</f>
        <v>0.51694299765516383</v>
      </c>
      <c r="BC34" s="13">
        <f t="shared" ref="BC34" si="376">BC33/BC29</f>
        <v>-0.36550060313630883</v>
      </c>
      <c r="BD34" s="13">
        <f t="shared" ref="BD34" si="377">BD33/BD29</f>
        <v>-0.36550060313630883</v>
      </c>
      <c r="BE34" s="13" t="e">
        <f t="shared" ref="BE34" si="378">BE33/BE29</f>
        <v>#DIV/0!</v>
      </c>
      <c r="BF34" s="13">
        <f t="shared" ref="BF34" si="379">BF33/BF29</f>
        <v>-0.87561134659276163</v>
      </c>
      <c r="BG34" s="13">
        <f t="shared" ref="BG34:BH34" si="380">BG33/BG29</f>
        <v>-0.34782608695652173</v>
      </c>
      <c r="BH34" s="165">
        <f t="shared" si="380"/>
        <v>-9.8080352848019303E-2</v>
      </c>
      <c r="BI34" s="46">
        <f t="shared" ref="BI34" si="381">BI33/BI29</f>
        <v>-9.4861295382451857E-3</v>
      </c>
      <c r="BJ34" s="13">
        <f t="shared" ref="BJ34:BK34" si="382">BJ33/BJ29</f>
        <v>-3.1629330736051204</v>
      </c>
      <c r="BK34" s="52">
        <f t="shared" si="382"/>
        <v>-4.5132897863913973E-2</v>
      </c>
      <c r="BM34" s="14">
        <f t="shared" ref="BM34" si="383">BM33/BM29</f>
        <v>-0.17747301266917767</v>
      </c>
    </row>
    <row r="35" spans="1:65" ht="15.75" x14ac:dyDescent="0.25">
      <c r="A35" s="130"/>
      <c r="B35" s="5" t="s">
        <v>210</v>
      </c>
      <c r="C35" s="128">
        <f>C30/C27</f>
        <v>0.25583141552233041</v>
      </c>
      <c r="D35" s="128">
        <f t="shared" ref="D35:BK35" si="384">D30/D27</f>
        <v>0.2522273443844647</v>
      </c>
      <c r="E35" s="128">
        <f t="shared" si="384"/>
        <v>1.0358978445356389E-3</v>
      </c>
      <c r="F35" s="128">
        <f t="shared" si="384"/>
        <v>0.25707099677889073</v>
      </c>
      <c r="G35" s="128">
        <f t="shared" si="384"/>
        <v>0.25477365519706363</v>
      </c>
      <c r="H35" s="128" t="e">
        <f t="shared" si="384"/>
        <v>#DIV/0!</v>
      </c>
      <c r="I35" s="128" t="e">
        <f t="shared" si="384"/>
        <v>#DIV/0!</v>
      </c>
      <c r="J35" s="128" t="e">
        <f t="shared" si="384"/>
        <v>#DIV/0!</v>
      </c>
      <c r="K35" s="128">
        <f t="shared" si="384"/>
        <v>0.58720000000000006</v>
      </c>
      <c r="L35" s="128">
        <f t="shared" si="384"/>
        <v>0.17738195615514335</v>
      </c>
      <c r="M35" s="128">
        <f t="shared" si="384"/>
        <v>4.7735765660786758E-2</v>
      </c>
      <c r="N35" s="128">
        <f t="shared" si="384"/>
        <v>1.1132940406024885E-2</v>
      </c>
      <c r="O35" s="128">
        <f t="shared" si="384"/>
        <v>0.11868583162217659</v>
      </c>
      <c r="P35" s="128">
        <f t="shared" si="384"/>
        <v>0.15551227573182247</v>
      </c>
      <c r="Q35" s="128" t="e">
        <f t="shared" si="384"/>
        <v>#DIV/0!</v>
      </c>
      <c r="R35" s="128">
        <f t="shared" si="384"/>
        <v>5.2809388335704123E-2</v>
      </c>
      <c r="S35" s="128" t="e">
        <f t="shared" si="384"/>
        <v>#DIV/0!</v>
      </c>
      <c r="T35" s="128" t="e">
        <f t="shared" si="384"/>
        <v>#DIV/0!</v>
      </c>
      <c r="U35" s="128" t="e">
        <f t="shared" si="384"/>
        <v>#DIV/0!</v>
      </c>
      <c r="V35" s="180">
        <f t="shared" si="384"/>
        <v>0</v>
      </c>
      <c r="W35" s="128" t="e">
        <f t="shared" si="384"/>
        <v>#DIV/0!</v>
      </c>
      <c r="X35" s="128" t="e">
        <f t="shared" si="384"/>
        <v>#DIV/0!</v>
      </c>
      <c r="Y35" s="128">
        <f t="shared" si="384"/>
        <v>0.22134038800705466</v>
      </c>
      <c r="Z35" s="128" t="e">
        <f t="shared" si="384"/>
        <v>#DIV/0!</v>
      </c>
      <c r="AA35" s="128">
        <f t="shared" si="384"/>
        <v>0.66666666666666663</v>
      </c>
      <c r="AB35" s="128">
        <f t="shared" ref="AB35" si="385">AB30/AB27</f>
        <v>0</v>
      </c>
      <c r="AC35" s="222">
        <f t="shared" si="384"/>
        <v>0.17269710675242619</v>
      </c>
      <c r="AD35" s="128">
        <f t="shared" si="384"/>
        <v>0.2317014851624408</v>
      </c>
      <c r="AE35" s="128">
        <f t="shared" si="384"/>
        <v>0.51886792452830188</v>
      </c>
      <c r="AF35" s="128">
        <f t="shared" si="384"/>
        <v>0.38571428571428573</v>
      </c>
      <c r="AG35" s="128">
        <f t="shared" si="384"/>
        <v>0</v>
      </c>
      <c r="AH35" s="128" t="e">
        <f t="shared" si="384"/>
        <v>#DIV/0!</v>
      </c>
      <c r="AI35" s="128" t="e">
        <f t="shared" si="384"/>
        <v>#DIV/0!</v>
      </c>
      <c r="AJ35" s="128">
        <f t="shared" si="384"/>
        <v>0.6428571428571429</v>
      </c>
      <c r="AK35" s="128">
        <f t="shared" si="384"/>
        <v>0.41412226639548244</v>
      </c>
      <c r="AL35" s="128">
        <f t="shared" si="384"/>
        <v>9.6527988882616059E-2</v>
      </c>
      <c r="AM35" s="128" t="e">
        <f t="shared" si="384"/>
        <v>#DIV/0!</v>
      </c>
      <c r="AN35" s="128" t="e">
        <f t="shared" si="384"/>
        <v>#DIV/0!</v>
      </c>
      <c r="AO35" s="180">
        <f t="shared" si="384"/>
        <v>6.9018647281921613E-2</v>
      </c>
      <c r="AP35" s="128">
        <f t="shared" si="384"/>
        <v>0.11450600028603747</v>
      </c>
      <c r="AQ35" s="222" t="e">
        <f t="shared" si="384"/>
        <v>#DIV/0!</v>
      </c>
      <c r="AR35" s="128" t="e">
        <f t="shared" si="384"/>
        <v>#DIV/0!</v>
      </c>
      <c r="AS35" s="128" t="e">
        <f t="shared" si="384"/>
        <v>#DIV/0!</v>
      </c>
      <c r="AT35" s="128" t="e">
        <f t="shared" si="384"/>
        <v>#DIV/0!</v>
      </c>
      <c r="AU35" s="128" t="e">
        <f t="shared" si="384"/>
        <v>#DIV/0!</v>
      </c>
      <c r="AV35" s="128" t="e">
        <f t="shared" si="384"/>
        <v>#DIV/0!</v>
      </c>
      <c r="AW35" s="128">
        <f t="shared" si="384"/>
        <v>0</v>
      </c>
      <c r="AX35" s="128">
        <f t="shared" si="384"/>
        <v>0</v>
      </c>
      <c r="AY35" s="128">
        <f t="shared" si="384"/>
        <v>3.7037037037037037</v>
      </c>
      <c r="AZ35" s="128" t="e">
        <f t="shared" si="384"/>
        <v>#DIV/0!</v>
      </c>
      <c r="BA35" s="128" t="e">
        <f t="shared" si="384"/>
        <v>#DIV/0!</v>
      </c>
      <c r="BB35" s="222">
        <f t="shared" si="384"/>
        <v>0.65448180776393072</v>
      </c>
      <c r="BC35" s="128">
        <f t="shared" si="384"/>
        <v>0.21843853820598005</v>
      </c>
      <c r="BD35" s="128">
        <f t="shared" si="384"/>
        <v>0.21843853820598005</v>
      </c>
      <c r="BE35" s="128" t="e">
        <f t="shared" si="384"/>
        <v>#DIV/0!</v>
      </c>
      <c r="BF35" s="128">
        <f t="shared" si="384"/>
        <v>0.10383777898747959</v>
      </c>
      <c r="BG35" s="128">
        <f t="shared" si="384"/>
        <v>5.3254437869822487E-2</v>
      </c>
      <c r="BH35" s="180">
        <f t="shared" si="384"/>
        <v>0.30493803684512089</v>
      </c>
      <c r="BI35" s="128">
        <f t="shared" si="384"/>
        <v>0.25574717364909383</v>
      </c>
      <c r="BJ35" s="128">
        <f t="shared" si="384"/>
        <v>0.24184013192694234</v>
      </c>
      <c r="BK35" s="128">
        <f t="shared" si="384"/>
        <v>0.25612430441587808</v>
      </c>
      <c r="BM35" s="128" t="e">
        <f t="shared" ref="BM35" si="386">BM30/BM27</f>
        <v>#DIV/0!</v>
      </c>
    </row>
    <row r="36" spans="1:65" s="183" customFormat="1" ht="15.75" x14ac:dyDescent="0.25">
      <c r="A36" s="130"/>
      <c r="B36" s="5" t="s">
        <v>329</v>
      </c>
      <c r="C36" s="11">
        <f>C30-C27</f>
        <v>-732407</v>
      </c>
      <c r="D36" s="11">
        <f t="shared" ref="D36:BM36" si="387">D30-D27</f>
        <v>-125225</v>
      </c>
      <c r="E36" s="11">
        <f t="shared" si="387"/>
        <v>-50146</v>
      </c>
      <c r="F36" s="11">
        <f t="shared" si="387"/>
        <v>-84185</v>
      </c>
      <c r="G36" s="11">
        <f t="shared" si="387"/>
        <v>-54210</v>
      </c>
      <c r="H36" s="11">
        <f t="shared" si="387"/>
        <v>0</v>
      </c>
      <c r="I36" s="11">
        <f t="shared" si="387"/>
        <v>0</v>
      </c>
      <c r="J36" s="11">
        <f t="shared" si="387"/>
        <v>0</v>
      </c>
      <c r="K36" s="11">
        <f t="shared" si="387"/>
        <v>-258</v>
      </c>
      <c r="L36" s="11">
        <f t="shared" si="387"/>
        <v>-7805</v>
      </c>
      <c r="M36" s="11">
        <f t="shared" si="387"/>
        <v>-23699</v>
      </c>
      <c r="N36" s="11">
        <f t="shared" si="387"/>
        <v>-1510</v>
      </c>
      <c r="O36" s="11">
        <f t="shared" si="387"/>
        <v>-2146</v>
      </c>
      <c r="P36" s="11">
        <f t="shared" si="387"/>
        <v>-14309</v>
      </c>
      <c r="Q36" s="11">
        <f t="shared" si="387"/>
        <v>0</v>
      </c>
      <c r="R36" s="11">
        <f t="shared" si="387"/>
        <v>-5327</v>
      </c>
      <c r="S36" s="11">
        <f t="shared" si="387"/>
        <v>0</v>
      </c>
      <c r="T36" s="11">
        <f t="shared" si="387"/>
        <v>0</v>
      </c>
      <c r="U36" s="11">
        <f t="shared" si="387"/>
        <v>0</v>
      </c>
      <c r="V36" s="9">
        <f t="shared" si="387"/>
        <v>-6871</v>
      </c>
      <c r="W36" s="11">
        <f t="shared" si="387"/>
        <v>0</v>
      </c>
      <c r="X36" s="11">
        <f t="shared" si="387"/>
        <v>0</v>
      </c>
      <c r="Y36" s="11">
        <f t="shared" si="387"/>
        <v>-883</v>
      </c>
      <c r="Z36" s="11">
        <f t="shared" si="387"/>
        <v>23</v>
      </c>
      <c r="AA36" s="11">
        <f t="shared" si="387"/>
        <v>-1</v>
      </c>
      <c r="AB36" s="11">
        <f t="shared" ref="AB36" si="388">AB30-AB27</f>
        <v>-1793</v>
      </c>
      <c r="AC36" s="10">
        <f t="shared" si="387"/>
        <v>-145602</v>
      </c>
      <c r="AD36" s="11">
        <f t="shared" si="387"/>
        <v>-1256354</v>
      </c>
      <c r="AE36" s="11">
        <f t="shared" si="387"/>
        <v>-204</v>
      </c>
      <c r="AF36" s="11">
        <f t="shared" si="387"/>
        <v>-215</v>
      </c>
      <c r="AG36" s="11">
        <f t="shared" si="387"/>
        <v>-247</v>
      </c>
      <c r="AH36" s="11">
        <f t="shared" si="387"/>
        <v>0</v>
      </c>
      <c r="AI36" s="11">
        <f t="shared" si="387"/>
        <v>0</v>
      </c>
      <c r="AJ36" s="11">
        <f t="shared" si="387"/>
        <v>-5</v>
      </c>
      <c r="AK36" s="11">
        <f t="shared" si="387"/>
        <v>-190695</v>
      </c>
      <c r="AL36" s="11">
        <f t="shared" si="387"/>
        <v>-83217</v>
      </c>
      <c r="AM36" s="11">
        <f t="shared" si="387"/>
        <v>0</v>
      </c>
      <c r="AN36" s="11">
        <f t="shared" si="387"/>
        <v>40</v>
      </c>
      <c r="AO36" s="9">
        <f t="shared" si="387"/>
        <v>-94260</v>
      </c>
      <c r="AP36" s="11">
        <f t="shared" si="387"/>
        <v>-136212</v>
      </c>
      <c r="AQ36" s="10">
        <f t="shared" si="387"/>
        <v>0</v>
      </c>
      <c r="AR36" s="11">
        <f t="shared" si="387"/>
        <v>0</v>
      </c>
      <c r="AS36" s="11">
        <f t="shared" si="387"/>
        <v>0</v>
      </c>
      <c r="AT36" s="11">
        <f t="shared" si="387"/>
        <v>0</v>
      </c>
      <c r="AU36" s="11">
        <f t="shared" si="387"/>
        <v>0</v>
      </c>
      <c r="AV36" s="11">
        <f t="shared" si="387"/>
        <v>0</v>
      </c>
      <c r="AW36" s="11">
        <f t="shared" si="387"/>
        <v>-839</v>
      </c>
      <c r="AX36" s="11">
        <f t="shared" si="387"/>
        <v>-72</v>
      </c>
      <c r="AY36" s="11">
        <f t="shared" si="387"/>
        <v>73</v>
      </c>
      <c r="AZ36" s="11">
        <f t="shared" si="387"/>
        <v>0</v>
      </c>
      <c r="BA36" s="11">
        <f t="shared" si="387"/>
        <v>0</v>
      </c>
      <c r="BB36" s="10">
        <f t="shared" si="387"/>
        <v>-38593</v>
      </c>
      <c r="BC36" s="11">
        <f t="shared" si="387"/>
        <v>-1882</v>
      </c>
      <c r="BD36" s="11">
        <f t="shared" si="387"/>
        <v>-1882</v>
      </c>
      <c r="BE36" s="11">
        <f t="shared" si="387"/>
        <v>0</v>
      </c>
      <c r="BF36" s="11">
        <f t="shared" si="387"/>
        <v>-6585</v>
      </c>
      <c r="BG36" s="11">
        <f t="shared" si="387"/>
        <v>-800</v>
      </c>
      <c r="BH36" s="11">
        <f t="shared" si="387"/>
        <v>-555595</v>
      </c>
      <c r="BI36" s="11">
        <f t="shared" si="387"/>
        <v>-1811949</v>
      </c>
      <c r="BJ36" s="11">
        <f t="shared" si="387"/>
        <v>-48733</v>
      </c>
      <c r="BK36" s="11">
        <f t="shared" si="387"/>
        <v>-1763216</v>
      </c>
      <c r="BL36" s="11">
        <f t="shared" si="387"/>
        <v>607091</v>
      </c>
      <c r="BM36" s="11">
        <f t="shared" si="387"/>
        <v>228206</v>
      </c>
    </row>
    <row r="37" spans="1:65" s="183" customFormat="1" ht="15.75" x14ac:dyDescent="0.2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6"/>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44"/>
      <c r="BJ37" s="5"/>
      <c r="BK37" s="50"/>
    </row>
    <row r="38" spans="1:65" ht="15.75" x14ac:dyDescent="0.25">
      <c r="A38" s="15" t="s">
        <v>138</v>
      </c>
      <c r="B38" s="229" t="s">
        <v>298</v>
      </c>
      <c r="C38" s="122">
        <v>1538528</v>
      </c>
      <c r="D38" s="122">
        <v>262226</v>
      </c>
      <c r="E38" s="122">
        <v>65242</v>
      </c>
      <c r="F38" s="122">
        <v>185619</v>
      </c>
      <c r="G38" s="122">
        <v>98410</v>
      </c>
      <c r="H38" s="122">
        <v>0</v>
      </c>
      <c r="I38" s="122">
        <v>0</v>
      </c>
      <c r="J38" s="122">
        <v>0</v>
      </c>
      <c r="K38" s="122">
        <v>1451</v>
      </c>
      <c r="L38" s="122">
        <v>40822</v>
      </c>
      <c r="M38" s="122">
        <v>57025</v>
      </c>
      <c r="N38" s="122">
        <v>209</v>
      </c>
      <c r="O38" s="122">
        <v>3360</v>
      </c>
      <c r="P38" s="122">
        <v>28074</v>
      </c>
      <c r="Q38" s="122">
        <v>0</v>
      </c>
      <c r="R38" s="122">
        <v>5083</v>
      </c>
      <c r="S38" s="122">
        <v>0</v>
      </c>
      <c r="T38" s="122">
        <v>0</v>
      </c>
      <c r="U38" s="122"/>
      <c r="V38" s="195">
        <v>332810</v>
      </c>
      <c r="W38" s="122">
        <v>0</v>
      </c>
      <c r="X38" s="122">
        <v>0</v>
      </c>
      <c r="Y38" s="122">
        <v>243</v>
      </c>
      <c r="Z38" s="122">
        <v>24</v>
      </c>
      <c r="AA38" s="122">
        <v>206</v>
      </c>
      <c r="AB38" s="122">
        <v>2808</v>
      </c>
      <c r="AC38" s="154">
        <v>1155805</v>
      </c>
      <c r="AD38" s="123">
        <f t="shared" ref="AD38:AD39" si="389">SUM(C38:AC38)</f>
        <v>3777945</v>
      </c>
      <c r="AE38" s="122">
        <v>1049</v>
      </c>
      <c r="AF38" s="122">
        <v>224</v>
      </c>
      <c r="AG38" s="122">
        <v>4618</v>
      </c>
      <c r="AH38" s="122">
        <v>0</v>
      </c>
      <c r="AI38" s="122">
        <v>0</v>
      </c>
      <c r="AJ38" s="122">
        <v>0</v>
      </c>
      <c r="AK38" s="122">
        <v>173369</v>
      </c>
      <c r="AL38" s="122">
        <v>30087</v>
      </c>
      <c r="AM38" s="122">
        <v>525</v>
      </c>
      <c r="AN38" s="122">
        <v>0</v>
      </c>
      <c r="AO38" s="195">
        <v>122676</v>
      </c>
      <c r="AP38" s="122">
        <v>-80383</v>
      </c>
      <c r="AQ38" s="154">
        <v>145520</v>
      </c>
      <c r="AR38" s="122">
        <v>0</v>
      </c>
      <c r="AS38" s="122"/>
      <c r="AT38" s="122"/>
      <c r="AU38" s="122">
        <v>0</v>
      </c>
      <c r="AV38" s="122"/>
      <c r="AW38" s="122">
        <v>0</v>
      </c>
      <c r="AX38" s="122">
        <v>0</v>
      </c>
      <c r="AY38" s="122">
        <v>169</v>
      </c>
      <c r="AZ38" s="122">
        <v>0</v>
      </c>
      <c r="BA38" s="122">
        <v>0</v>
      </c>
      <c r="BB38" s="154">
        <v>650303</v>
      </c>
      <c r="BC38" s="122">
        <v>5071</v>
      </c>
      <c r="BD38" s="122">
        <v>5071</v>
      </c>
      <c r="BE38" s="122">
        <v>0</v>
      </c>
      <c r="BF38" s="122">
        <v>11395</v>
      </c>
      <c r="BG38" s="122">
        <v>471</v>
      </c>
      <c r="BH38" s="9">
        <f>SUM(AE38:BG38)</f>
        <v>1070165</v>
      </c>
      <c r="BI38" s="127">
        <f>AD38+BH38</f>
        <v>4848110</v>
      </c>
      <c r="BJ38" s="98">
        <v>81243</v>
      </c>
      <c r="BK38" s="51">
        <f t="shared" ref="BK38:BK39" si="390">BI38-BJ38</f>
        <v>4766867</v>
      </c>
      <c r="BL38">
        <v>4</v>
      </c>
      <c r="BM38" s="30"/>
    </row>
    <row r="39" spans="1:65" s="41" customFormat="1" ht="15.75" x14ac:dyDescent="0.25">
      <c r="A39" s="136" t="s">
        <v>138</v>
      </c>
      <c r="B39" s="225" t="s">
        <v>326</v>
      </c>
      <c r="C39" s="10">
        <v>400018</v>
      </c>
      <c r="D39" s="10">
        <v>68179</v>
      </c>
      <c r="E39" s="10">
        <v>0</v>
      </c>
      <c r="F39" s="10">
        <v>48261</v>
      </c>
      <c r="G39" s="10">
        <v>25585</v>
      </c>
      <c r="H39" s="10">
        <v>0</v>
      </c>
      <c r="I39" s="10">
        <v>0</v>
      </c>
      <c r="J39" s="10">
        <v>0</v>
      </c>
      <c r="K39" s="10">
        <v>377</v>
      </c>
      <c r="L39" s="10">
        <v>10615</v>
      </c>
      <c r="M39" s="10">
        <v>14827</v>
      </c>
      <c r="N39" s="10">
        <v>55</v>
      </c>
      <c r="O39" s="10">
        <v>873</v>
      </c>
      <c r="P39" s="10">
        <v>7299</v>
      </c>
      <c r="Q39" s="10">
        <v>0</v>
      </c>
      <c r="R39" s="10">
        <v>1322</v>
      </c>
      <c r="S39" s="10">
        <v>0</v>
      </c>
      <c r="T39" s="10">
        <v>0</v>
      </c>
      <c r="U39" s="10"/>
      <c r="V39" s="10">
        <v>86531</v>
      </c>
      <c r="W39" s="10">
        <v>0</v>
      </c>
      <c r="X39" s="10">
        <v>0</v>
      </c>
      <c r="Y39" s="10">
        <v>63</v>
      </c>
      <c r="Z39" s="10">
        <v>6</v>
      </c>
      <c r="AA39" s="10">
        <v>53</v>
      </c>
      <c r="AB39" s="10">
        <v>730</v>
      </c>
      <c r="AC39" s="10">
        <v>300508</v>
      </c>
      <c r="AD39" s="123">
        <f t="shared" si="389"/>
        <v>965302</v>
      </c>
      <c r="AE39" s="10">
        <v>273</v>
      </c>
      <c r="AF39" s="10">
        <v>58</v>
      </c>
      <c r="AG39" s="10">
        <v>1200</v>
      </c>
      <c r="AH39" s="10">
        <v>0</v>
      </c>
      <c r="AI39" s="10">
        <v>0</v>
      </c>
      <c r="AJ39" s="10">
        <v>0</v>
      </c>
      <c r="AK39" s="10">
        <v>45077</v>
      </c>
      <c r="AL39" s="10">
        <v>7822</v>
      </c>
      <c r="AM39" s="10">
        <v>137</v>
      </c>
      <c r="AN39" s="10">
        <v>0</v>
      </c>
      <c r="AO39" s="10">
        <v>31896</v>
      </c>
      <c r="AP39" s="10">
        <v>-20900</v>
      </c>
      <c r="AQ39" s="9">
        <v>37836</v>
      </c>
      <c r="AR39" s="10">
        <v>0</v>
      </c>
      <c r="AS39" s="10"/>
      <c r="AT39" s="10"/>
      <c r="AU39" s="10">
        <v>0</v>
      </c>
      <c r="AV39" s="10"/>
      <c r="AW39" s="10">
        <v>0</v>
      </c>
      <c r="AX39" s="10">
        <v>0</v>
      </c>
      <c r="AY39" s="10">
        <v>45</v>
      </c>
      <c r="AZ39" s="10">
        <v>0</v>
      </c>
      <c r="BA39" s="10">
        <v>0</v>
      </c>
      <c r="BB39" s="10">
        <v>169080</v>
      </c>
      <c r="BC39" s="10">
        <v>1319</v>
      </c>
      <c r="BD39" s="10">
        <v>1289</v>
      </c>
      <c r="BE39" s="10">
        <v>0</v>
      </c>
      <c r="BF39" s="10">
        <v>2963</v>
      </c>
      <c r="BG39" s="10">
        <v>149</v>
      </c>
      <c r="BH39" s="9">
        <f>SUM(AE39:BG39)</f>
        <v>278244</v>
      </c>
      <c r="BI39" s="227">
        <f>AD39+BH39</f>
        <v>1243546</v>
      </c>
      <c r="BJ39" s="10">
        <v>20311</v>
      </c>
      <c r="BK39" s="10">
        <f t="shared" si="390"/>
        <v>1223235</v>
      </c>
      <c r="BM39" s="226"/>
    </row>
    <row r="40" spans="1:65" ht="15.75" x14ac:dyDescent="0.25">
      <c r="A40" s="130"/>
      <c r="B40" s="12" t="s">
        <v>324</v>
      </c>
      <c r="C40" s="9">
        <f>IF('Upto Month COPPY'!$E$4="",0,'Upto Month COPPY'!$E$4)</f>
        <v>388724</v>
      </c>
      <c r="D40" s="9">
        <f>IF('Upto Month COPPY'!$E$5="",0,'Upto Month COPPY'!$E$5)</f>
        <v>65431</v>
      </c>
      <c r="E40" s="9">
        <f>IF('Upto Month COPPY'!$E$6="",0,'Upto Month COPPY'!$E$6)</f>
        <v>-471</v>
      </c>
      <c r="F40" s="9">
        <f>IF('Upto Month COPPY'!$E$7="",0,'Upto Month COPPY'!$E$7)</f>
        <v>44905</v>
      </c>
      <c r="G40" s="9">
        <f>IF('Upto Month COPPY'!$E$8="",0,'Upto Month COPPY'!$E$8)</f>
        <v>22407</v>
      </c>
      <c r="H40" s="9">
        <f>IF('Upto Month COPPY'!$E$9="",0,'Upto Month COPPY'!$E$9)</f>
        <v>0</v>
      </c>
      <c r="I40" s="9">
        <f>IF('Upto Month COPPY'!$E$10="",0,'Upto Month COPPY'!$E$10)</f>
        <v>0</v>
      </c>
      <c r="J40" s="9">
        <f>IF('Upto Month COPPY'!$E$11="",0,'Upto Month COPPY'!$E$11)</f>
        <v>0</v>
      </c>
      <c r="K40" s="9">
        <f>IF('Upto Month COPPY'!$E$12="",0,'Upto Month COPPY'!$E$12)</f>
        <v>122</v>
      </c>
      <c r="L40" s="9">
        <f>IF('Upto Month COPPY'!$E$13="",0,'Upto Month COPPY'!$E$13)</f>
        <v>11117</v>
      </c>
      <c r="M40" s="9">
        <f>IF('Upto Month COPPY'!$E$14="",0,'Upto Month COPPY'!$E$14)</f>
        <v>4366</v>
      </c>
      <c r="N40" s="9">
        <f>IF('Upto Month COPPY'!$E$15="",0,'Upto Month COPPY'!$E$15)</f>
        <v>26</v>
      </c>
      <c r="O40" s="9">
        <f>IF('Upto Month COPPY'!$E$16="",0,'Upto Month COPPY'!$E$16)</f>
        <v>674</v>
      </c>
      <c r="P40" s="9">
        <f>IF('Upto Month COPPY'!$E$17="",0,'Upto Month COPPY'!$E$17)</f>
        <v>7678</v>
      </c>
      <c r="Q40" s="9">
        <f>IF('Upto Month COPPY'!$E$18="",0,'Upto Month COPPY'!$E$18)</f>
        <v>0</v>
      </c>
      <c r="R40" s="9">
        <f>IF('Upto Month COPPY'!$E$21="",0,'Upto Month COPPY'!$E$21)</f>
        <v>470</v>
      </c>
      <c r="S40" s="9">
        <f>IF('Upto Month COPPY'!$E$26="",0,'Upto Month COPPY'!$E$26)</f>
        <v>0</v>
      </c>
      <c r="T40" s="9">
        <f>IF('Upto Month COPPY'!$E$27="",0,'Upto Month COPPY'!$E$27)</f>
        <v>0</v>
      </c>
      <c r="U40" s="9">
        <f>IF('Upto Month COPPY'!$E$30="",0,'Upto Month COPPY'!$E$30)</f>
        <v>0</v>
      </c>
      <c r="V40" s="9">
        <f>IF('Upto Month COPPY'!$E$35="",0,'Upto Month COPPY'!$E$35)</f>
        <v>54173</v>
      </c>
      <c r="W40" s="9">
        <f>IF('Upto Month COPPY'!$E$39="",0,'Upto Month COPPY'!$E$39)</f>
        <v>0</v>
      </c>
      <c r="X40" s="9">
        <f>IF('Upto Month COPPY'!$E$40="",0,'Upto Month COPPY'!$E$40)</f>
        <v>0</v>
      </c>
      <c r="Y40" s="9">
        <f>IF('Upto Month COPPY'!$E$42="",0,'Upto Month COPPY'!$E$42)</f>
        <v>162</v>
      </c>
      <c r="Z40" s="9">
        <f>IF('Upto Month COPPY'!$E$43="",0,'Upto Month COPPY'!$E$43)</f>
        <v>22</v>
      </c>
      <c r="AA40" s="9">
        <f>IF('Upto Month COPPY'!$E$44="",0,'Upto Month COPPY'!$E$44)</f>
        <v>44</v>
      </c>
      <c r="AB40" s="9">
        <f>IF('Upto Month COPPY'!$E$48="",0,'Upto Month COPPY'!$E$48)</f>
        <v>0</v>
      </c>
      <c r="AC40" s="10">
        <f>IF('Upto Month COPPY'!$E$51="",0,'Upto Month COPPY'!$E$51)</f>
        <v>181902</v>
      </c>
      <c r="AD40" s="123">
        <f t="shared" ref="AD40:AD41" si="391">SUM(C40:AC40)</f>
        <v>781752</v>
      </c>
      <c r="AE40" s="9">
        <f>IF('Upto Month COPPY'!$E$19="",0,'Upto Month COPPY'!$E$19)</f>
        <v>119</v>
      </c>
      <c r="AF40" s="9">
        <f>IF('Upto Month COPPY'!$E$20="",0,'Upto Month COPPY'!$E$20)</f>
        <v>76</v>
      </c>
      <c r="AG40" s="9">
        <f>IF('Upto Month COPPY'!$E$22="",0,'Upto Month COPPY'!$E$22)</f>
        <v>3886</v>
      </c>
      <c r="AH40" s="9">
        <f>IF('Upto Month COPPY'!$E$23="",0,'Upto Month COPPY'!$E$23)</f>
        <v>0</v>
      </c>
      <c r="AI40" s="9">
        <f>IF('Upto Month COPPY'!$E$24="",0,'Upto Month COPPY'!$E$24)</f>
        <v>0</v>
      </c>
      <c r="AJ40" s="9">
        <f>IF('Upto Month COPPY'!$E$25="",0,'Upto Month COPPY'!$E$25)</f>
        <v>0</v>
      </c>
      <c r="AK40" s="9">
        <f>IF('Upto Month COPPY'!$E$28="",0,'Upto Month COPPY'!$E$28)</f>
        <v>47019</v>
      </c>
      <c r="AL40" s="9">
        <f>IF('Upto Month COPPY'!$E$29="",0,'Upto Month COPPY'!$E$29)</f>
        <v>4199</v>
      </c>
      <c r="AM40" s="9">
        <f>IF('Upto Month COPPY'!$E$31="",0,'Upto Month COPPY'!$E$31)</f>
        <v>43</v>
      </c>
      <c r="AN40" s="9">
        <f>IF('Upto Month COPPY'!$E$32="",0,'Upto Month COPPY'!$E$32)</f>
        <v>0</v>
      </c>
      <c r="AO40" s="9">
        <f>IF('Upto Month COPPY'!$E$33="",0,'Upto Month COPPY'!$E$33)</f>
        <v>56388</v>
      </c>
      <c r="AP40" s="9">
        <f>IF('Upto Month COPPY'!$E$34="",0,'Upto Month COPPY'!$E$34)</f>
        <v>-22879</v>
      </c>
      <c r="AQ40" s="10">
        <f>IF('Upto Month COPPY'!$E$36="",0,'Upto Month COPPY'!$E$36)</f>
        <v>14675</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55</v>
      </c>
      <c r="AZ40" s="9">
        <f>IF('Upto Month COPPY'!$E$49="",0,'Upto Month COPPY'!$E$49)</f>
        <v>0</v>
      </c>
      <c r="BA40" s="9">
        <f>IF('Upto Month COPPY'!$E$50="",0,'Upto Month COPPY'!$E$50)</f>
        <v>0</v>
      </c>
      <c r="BB40" s="10">
        <f>IF('Upto Month COPPY'!$E$52="",0,'Upto Month COPPY'!$E$52)</f>
        <v>101883</v>
      </c>
      <c r="BC40" s="9">
        <f>IF('Upto Month COPPY'!$E$53="",0,'Upto Month COPPY'!$E$53)</f>
        <v>1233</v>
      </c>
      <c r="BD40" s="9">
        <f>IF('Upto Month COPPY'!$E$54="",0,'Upto Month COPPY'!$E$54)</f>
        <v>1233</v>
      </c>
      <c r="BE40" s="9">
        <f>IF('Upto Month COPPY'!$E$55="",0,'Upto Month COPPY'!$E$55)</f>
        <v>0</v>
      </c>
      <c r="BF40" s="9">
        <f>IF('Upto Month COPPY'!$E$56="",0,'Upto Month COPPY'!$E$56)</f>
        <v>4475</v>
      </c>
      <c r="BG40" s="9">
        <f>IF('Upto Month COPPY'!$E$58="",0,'Upto Month COPPY'!$E$58)</f>
        <v>43</v>
      </c>
      <c r="BH40" s="9">
        <f>SUM(AE40:BG40)</f>
        <v>212448</v>
      </c>
      <c r="BI40" s="127">
        <f>AD40+BH40</f>
        <v>994200</v>
      </c>
      <c r="BJ40" s="9">
        <f>IF('Upto Month COPPY'!$E$60="",0,'Upto Month COPPY'!$E$60)</f>
        <v>961</v>
      </c>
      <c r="BK40" s="9">
        <f t="shared" ref="BK40:BK41" si="392">BI40-BJ40</f>
        <v>993239</v>
      </c>
      <c r="BL40">
        <f>'Upto Month COPPY'!$E$61</f>
        <v>993237</v>
      </c>
      <c r="BM40" s="30">
        <f t="shared" ref="BM40:BM44" si="393">BK40-AD40</f>
        <v>211487</v>
      </c>
    </row>
    <row r="41" spans="1:65" ht="15.75" x14ac:dyDescent="0.25">
      <c r="A41" s="130"/>
      <c r="B41" s="185" t="s">
        <v>325</v>
      </c>
      <c r="C41" s="9">
        <f>IF('Upto Month Current'!$E$4="",0,'Upto Month Current'!$E$4)</f>
        <v>405262</v>
      </c>
      <c r="D41" s="9">
        <f>IF('Upto Month Current'!$E$5="",0,'Upto Month Current'!$E$5)</f>
        <v>68313</v>
      </c>
      <c r="E41" s="9">
        <f>IF('Upto Month Current'!$E$6="",0,'Upto Month Current'!$E$6)</f>
        <v>169</v>
      </c>
      <c r="F41" s="9">
        <f>IF('Upto Month Current'!$E$7="",0,'Upto Month Current'!$E$7)</f>
        <v>45016</v>
      </c>
      <c r="G41" s="9">
        <f>IF('Upto Month Current'!$E$8="",0,'Upto Month Current'!$E$8)</f>
        <v>23257</v>
      </c>
      <c r="H41" s="9">
        <f>IF('Upto Month Current'!$E$9="",0,'Upto Month Current'!$E$9)</f>
        <v>0</v>
      </c>
      <c r="I41" s="9">
        <f>IF('Upto Month Current'!$E$10="",0,'Upto Month Current'!$E$10)</f>
        <v>0</v>
      </c>
      <c r="J41" s="9">
        <f>IF('Upto Month Current'!$E$11="",0,'Upto Month Current'!$E$11)</f>
        <v>0</v>
      </c>
      <c r="K41" s="9">
        <f>IF('Upto Month Current'!$E$12="",0,'Upto Month Current'!$E$12)</f>
        <v>85</v>
      </c>
      <c r="L41" s="9">
        <f>IF('Upto Month Current'!$E$13="",0,'Upto Month Current'!$E$13)</f>
        <v>6979</v>
      </c>
      <c r="M41" s="9">
        <f>IF('Upto Month Current'!$E$14="",0,'Upto Month Current'!$E$14)</f>
        <v>4436</v>
      </c>
      <c r="N41" s="9">
        <f>IF('Upto Month Current'!$E$15="",0,'Upto Month Current'!$E$15)</f>
        <v>48</v>
      </c>
      <c r="O41" s="9">
        <f>IF('Upto Month Current'!$E$16="",0,'Upto Month Current'!$E$16)</f>
        <v>776</v>
      </c>
      <c r="P41" s="9">
        <f>IF('Upto Month Current'!$E$17="",0,'Upto Month Current'!$E$17)</f>
        <v>8862</v>
      </c>
      <c r="Q41" s="9">
        <f>IF('Upto Month Current'!$E$18="",0,'Upto Month Current'!$E$18)</f>
        <v>0</v>
      </c>
      <c r="R41" s="9">
        <f>IF('Upto Month Current'!$E$21="",0,'Upto Month Current'!$E$21)</f>
        <v>624</v>
      </c>
      <c r="S41" s="9">
        <f>IF('Upto Month Current'!$E$26="",0,'Upto Month Current'!$E$26)</f>
        <v>0</v>
      </c>
      <c r="T41" s="9">
        <f>IF('Upto Month Current'!$E$27="",0,'Upto Month Current'!$E$27)</f>
        <v>0</v>
      </c>
      <c r="U41" s="9">
        <f>IF('Upto Month Current'!$E$30="",0,'Upto Month Current'!$E$30)</f>
        <v>0</v>
      </c>
      <c r="V41" s="9">
        <f>IF('Upto Month Current'!$E$35="",0,'Upto Month Current'!$E$35)</f>
        <v>78458</v>
      </c>
      <c r="W41" s="9">
        <f>IF('Upto Month Current'!$E$39="",0,'Upto Month Current'!$E$39)</f>
        <v>0</v>
      </c>
      <c r="X41" s="9">
        <f>IF('Upto Month Current'!$E$40="",0,'Upto Month Current'!$E$40)</f>
        <v>0</v>
      </c>
      <c r="Y41" s="9">
        <f>IF('Upto Month Current'!$E$42="",0,'Upto Month Current'!$E$42)</f>
        <v>3406</v>
      </c>
      <c r="Z41" s="9">
        <f>IF('Upto Month Current'!$E$43="",0,'Upto Month Current'!$E$43)</f>
        <v>318</v>
      </c>
      <c r="AA41" s="9">
        <f>IF('Upto Month Current'!$E$44="",0,'Upto Month Current'!$E$44)</f>
        <v>341</v>
      </c>
      <c r="AB41" s="9">
        <f>IF('Upto Month Current'!$E$48="",0,'Upto Month Current'!$E$48)</f>
        <v>54</v>
      </c>
      <c r="AC41" s="10">
        <f>IF('Upto Month Current'!$E$51="",0,'Upto Month Current'!$E$51)</f>
        <v>330665</v>
      </c>
      <c r="AD41" s="123">
        <f t="shared" si="391"/>
        <v>977069</v>
      </c>
      <c r="AE41" s="9">
        <f>IF('Upto Month Current'!$E$19="",0,'Upto Month Current'!$E$19)</f>
        <v>64</v>
      </c>
      <c r="AF41" s="9">
        <f>IF('Upto Month Current'!$E$20="",0,'Upto Month Current'!$E$20)</f>
        <v>16</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78956</v>
      </c>
      <c r="AL41" s="9">
        <f>IF('Upto Month Current'!$E$29="",0,'Upto Month Current'!$E$29)</f>
        <v>2474</v>
      </c>
      <c r="AM41" s="9">
        <f>IF('Upto Month Current'!$E$31="",0,'Upto Month Current'!$E$31)</f>
        <v>18</v>
      </c>
      <c r="AN41" s="9">
        <f>IF('Upto Month Current'!$E$32="",0,'Upto Month Current'!$E$32)</f>
        <v>0</v>
      </c>
      <c r="AO41" s="9">
        <f>IF('Upto Month Current'!$E$33="",0,'Upto Month Current'!$E$33)</f>
        <v>27893</v>
      </c>
      <c r="AP41" s="9">
        <f>IF('Upto Month Current'!$E$34="",0,'Upto Month Current'!$E$34)</f>
        <v>-8909</v>
      </c>
      <c r="AQ41" s="10">
        <f>IF('Upto Month Current'!$E$36="",0,'Upto Month Current'!$E$36)</f>
        <v>60886</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129</v>
      </c>
      <c r="AZ41" s="9">
        <f>IF('Upto Month Current'!$E$49="",0,'Upto Month Current'!$E$49)</f>
        <v>0</v>
      </c>
      <c r="BA41" s="9">
        <f>IF('Upto Month Current'!$E$50="",0,'Upto Month Current'!$E$50)</f>
        <v>0</v>
      </c>
      <c r="BB41" s="10">
        <f>IF('Upto Month Current'!$E$52="",0,'Upto Month Current'!$E$52)</f>
        <v>288766</v>
      </c>
      <c r="BC41" s="9">
        <f>IF('Upto Month Current'!$E$53="",0,'Upto Month Current'!$E$53)</f>
        <v>738</v>
      </c>
      <c r="BD41" s="9">
        <f>IF('Upto Month Current'!$E$54="",0,'Upto Month Current'!$E$54)</f>
        <v>738</v>
      </c>
      <c r="BE41" s="9">
        <f>IF('Upto Month Current'!$E$55="",0,'Upto Month Current'!$E$55)</f>
        <v>0</v>
      </c>
      <c r="BF41" s="9">
        <f>IF('Upto Month Current'!$E$56="",0,'Upto Month Current'!$E$56)</f>
        <v>3233</v>
      </c>
      <c r="BG41" s="9">
        <f>IF('Upto Month Current'!$E$58="",0,'Upto Month Current'!$E$58)</f>
        <v>3</v>
      </c>
      <c r="BH41" s="9">
        <f>SUM(AE41:BG41)</f>
        <v>455005</v>
      </c>
      <c r="BI41" s="127">
        <f>AD41+BH41</f>
        <v>1432074</v>
      </c>
      <c r="BJ41" s="9">
        <f>IF('Upto Month Current'!$E$60="",0,'Upto Month Current'!$E$60)</f>
        <v>6224</v>
      </c>
      <c r="BK41" s="51">
        <f t="shared" si="392"/>
        <v>1425850</v>
      </c>
      <c r="BL41">
        <f>'Upto Month Current'!$E$61</f>
        <v>1425851</v>
      </c>
      <c r="BM41" s="30">
        <f t="shared" si="393"/>
        <v>448781</v>
      </c>
    </row>
    <row r="42" spans="1:65" ht="15.75" x14ac:dyDescent="0.25">
      <c r="A42" s="130"/>
      <c r="B42" s="5" t="s">
        <v>132</v>
      </c>
      <c r="C42" s="11">
        <f>C41-C39</f>
        <v>5244</v>
      </c>
      <c r="D42" s="11">
        <f t="shared" ref="D42" si="394">D41-D39</f>
        <v>134</v>
      </c>
      <c r="E42" s="11">
        <f t="shared" ref="E42" si="395">E41-E39</f>
        <v>169</v>
      </c>
      <c r="F42" s="11">
        <f t="shared" ref="F42" si="396">F41-F39</f>
        <v>-3245</v>
      </c>
      <c r="G42" s="11">
        <f t="shared" ref="G42" si="397">G41-G39</f>
        <v>-2328</v>
      </c>
      <c r="H42" s="11">
        <f t="shared" ref="H42" si="398">H41-H39</f>
        <v>0</v>
      </c>
      <c r="I42" s="11">
        <f t="shared" ref="I42" si="399">I41-I39</f>
        <v>0</v>
      </c>
      <c r="J42" s="11">
        <f t="shared" ref="J42" si="400">J41-J39</f>
        <v>0</v>
      </c>
      <c r="K42" s="11">
        <f t="shared" ref="K42" si="401">K41-K39</f>
        <v>-292</v>
      </c>
      <c r="L42" s="11">
        <f t="shared" ref="L42" si="402">L41-L39</f>
        <v>-3636</v>
      </c>
      <c r="M42" s="11">
        <f t="shared" ref="M42" si="403">M41-M39</f>
        <v>-10391</v>
      </c>
      <c r="N42" s="11">
        <f t="shared" ref="N42" si="404">N41-N39</f>
        <v>-7</v>
      </c>
      <c r="O42" s="11">
        <f t="shared" ref="O42" si="405">O41-O39</f>
        <v>-97</v>
      </c>
      <c r="P42" s="11">
        <f t="shared" ref="P42" si="406">P41-P39</f>
        <v>1563</v>
      </c>
      <c r="Q42" s="11">
        <f t="shared" ref="Q42" si="407">Q41-Q39</f>
        <v>0</v>
      </c>
      <c r="R42" s="11">
        <f t="shared" ref="R42" si="408">R41-R39</f>
        <v>-698</v>
      </c>
      <c r="S42" s="11">
        <f t="shared" ref="S42" si="409">S41-S39</f>
        <v>0</v>
      </c>
      <c r="T42" s="11">
        <f t="shared" ref="T42:U42" si="410">T41-T39</f>
        <v>0</v>
      </c>
      <c r="U42" s="11">
        <f t="shared" si="410"/>
        <v>0</v>
      </c>
      <c r="V42" s="9">
        <f t="shared" ref="V42" si="411">V41-V39</f>
        <v>-8073</v>
      </c>
      <c r="W42" s="11">
        <f t="shared" ref="W42" si="412">W41-W39</f>
        <v>0</v>
      </c>
      <c r="X42" s="11">
        <f t="shared" ref="X42" si="413">X41-X39</f>
        <v>0</v>
      </c>
      <c r="Y42" s="11">
        <f t="shared" ref="Y42" si="414">Y41-Y39</f>
        <v>3343</v>
      </c>
      <c r="Z42" s="11">
        <f t="shared" ref="Z42" si="415">Z41-Z39</f>
        <v>312</v>
      </c>
      <c r="AA42" s="11">
        <f t="shared" ref="AA42:AD42" si="416">AA41-AA39</f>
        <v>288</v>
      </c>
      <c r="AB42" s="11">
        <f t="shared" si="416"/>
        <v>-676</v>
      </c>
      <c r="AC42" s="10">
        <f t="shared" si="416"/>
        <v>30157</v>
      </c>
      <c r="AD42" s="11">
        <f t="shared" si="416"/>
        <v>11767</v>
      </c>
      <c r="AE42" s="11">
        <f t="shared" ref="AE42" si="417">AE41-AE39</f>
        <v>-209</v>
      </c>
      <c r="AF42" s="11">
        <f t="shared" ref="AF42" si="418">AF41-AF39</f>
        <v>-42</v>
      </c>
      <c r="AG42" s="11">
        <f t="shared" ref="AG42" si="419">AG41-AG39</f>
        <v>-1200</v>
      </c>
      <c r="AH42" s="11">
        <f t="shared" ref="AH42" si="420">AH41-AH39</f>
        <v>0</v>
      </c>
      <c r="AI42" s="11">
        <f t="shared" ref="AI42" si="421">AI41-AI39</f>
        <v>0</v>
      </c>
      <c r="AJ42" s="11">
        <f t="shared" ref="AJ42" si="422">AJ41-AJ39</f>
        <v>0</v>
      </c>
      <c r="AK42" s="11">
        <f t="shared" ref="AK42" si="423">AK41-AK39</f>
        <v>33879</v>
      </c>
      <c r="AL42" s="11">
        <f t="shared" ref="AL42" si="424">AL41-AL39</f>
        <v>-5348</v>
      </c>
      <c r="AM42" s="11">
        <f t="shared" ref="AM42" si="425">AM41-AM39</f>
        <v>-119</v>
      </c>
      <c r="AN42" s="11">
        <f t="shared" ref="AN42" si="426">AN41-AN39</f>
        <v>0</v>
      </c>
      <c r="AO42" s="9">
        <f t="shared" ref="AO42" si="427">AO41-AO39</f>
        <v>-4003</v>
      </c>
      <c r="AP42" s="11">
        <f t="shared" ref="AP42" si="428">AP41-AP39</f>
        <v>11991</v>
      </c>
      <c r="AQ42" s="10">
        <f t="shared" ref="AQ42" si="429">AQ41-AQ39</f>
        <v>23050</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84</v>
      </c>
      <c r="AZ42" s="11">
        <f t="shared" ref="AZ42" si="438">AZ41-AZ39</f>
        <v>0</v>
      </c>
      <c r="BA42" s="11">
        <f t="shared" ref="BA42" si="439">BA41-BA39</f>
        <v>0</v>
      </c>
      <c r="BB42" s="10">
        <f t="shared" ref="BB42" si="440">BB41-BB39</f>
        <v>119686</v>
      </c>
      <c r="BC42" s="11">
        <f t="shared" ref="BC42" si="441">BC41-BC39</f>
        <v>-581</v>
      </c>
      <c r="BD42" s="11">
        <f t="shared" ref="BD42" si="442">BD41-BD39</f>
        <v>-551</v>
      </c>
      <c r="BE42" s="11">
        <f t="shared" ref="BE42" si="443">BE41-BE39</f>
        <v>0</v>
      </c>
      <c r="BF42" s="11">
        <f t="shared" ref="BF42" si="444">BF41-BF39</f>
        <v>270</v>
      </c>
      <c r="BG42" s="11">
        <f t="shared" ref="BG42:BH42" si="445">BG41-BG39</f>
        <v>-146</v>
      </c>
      <c r="BH42" s="9">
        <f t="shared" si="445"/>
        <v>176761</v>
      </c>
      <c r="BI42" s="45">
        <f t="shared" ref="BI42" si="446">BI41-BI39</f>
        <v>188528</v>
      </c>
      <c r="BJ42" s="11">
        <f t="shared" ref="BJ42:BK42" si="447">BJ41-BJ39</f>
        <v>-14087</v>
      </c>
      <c r="BK42" s="51">
        <f t="shared" si="447"/>
        <v>202615</v>
      </c>
      <c r="BM42" s="30">
        <f t="shared" si="393"/>
        <v>190848</v>
      </c>
    </row>
    <row r="43" spans="1:65" ht="15.75" x14ac:dyDescent="0.25">
      <c r="A43" s="130"/>
      <c r="B43" s="5" t="s">
        <v>133</v>
      </c>
      <c r="C43" s="13">
        <f>C42/C39</f>
        <v>1.3109410076546556E-2</v>
      </c>
      <c r="D43" s="13">
        <f t="shared" ref="D43" si="448">D42/D39</f>
        <v>1.9654145704689125E-3</v>
      </c>
      <c r="E43" s="13" t="e">
        <f t="shared" ref="E43" si="449">E42/E39</f>
        <v>#DIV/0!</v>
      </c>
      <c r="F43" s="13">
        <f t="shared" ref="F43" si="450">F42/F39</f>
        <v>-6.723855701290897E-2</v>
      </c>
      <c r="G43" s="13">
        <f t="shared" ref="G43" si="451">G42/G39</f>
        <v>-9.0990814930623415E-2</v>
      </c>
      <c r="H43" s="13" t="e">
        <f t="shared" ref="H43" si="452">H42/H39</f>
        <v>#DIV/0!</v>
      </c>
      <c r="I43" s="13" t="e">
        <f t="shared" ref="I43" si="453">I42/I39</f>
        <v>#DIV/0!</v>
      </c>
      <c r="J43" s="13" t="e">
        <f t="shared" ref="J43" si="454">J42/J39</f>
        <v>#DIV/0!</v>
      </c>
      <c r="K43" s="13">
        <f t="shared" ref="K43" si="455">K42/K39</f>
        <v>-0.77453580901856767</v>
      </c>
      <c r="L43" s="13">
        <f t="shared" ref="L43" si="456">L42/L39</f>
        <v>-0.34253414978803581</v>
      </c>
      <c r="M43" s="13">
        <f t="shared" ref="M43" si="457">M42/M39</f>
        <v>-0.70081607877520735</v>
      </c>
      <c r="N43" s="13">
        <f t="shared" ref="N43" si="458">N42/N39</f>
        <v>-0.12727272727272726</v>
      </c>
      <c r="O43" s="13">
        <f t="shared" ref="O43" si="459">O42/O39</f>
        <v>-0.1111111111111111</v>
      </c>
      <c r="P43" s="13">
        <f t="shared" ref="P43" si="460">P42/P39</f>
        <v>0.21413892314015617</v>
      </c>
      <c r="Q43" s="13" t="e">
        <f t="shared" ref="Q43" si="461">Q42/Q39</f>
        <v>#DIV/0!</v>
      </c>
      <c r="R43" s="13">
        <f t="shared" ref="R43" si="462">R42/R39</f>
        <v>-0.52798789712556737</v>
      </c>
      <c r="S43" s="13" t="e">
        <f t="shared" ref="S43" si="463">S42/S39</f>
        <v>#DIV/0!</v>
      </c>
      <c r="T43" s="13" t="e">
        <f t="shared" ref="T43:U43" si="464">T42/T39</f>
        <v>#DIV/0!</v>
      </c>
      <c r="U43" s="13" t="e">
        <f t="shared" si="464"/>
        <v>#DIV/0!</v>
      </c>
      <c r="V43" s="165">
        <f t="shared" ref="V43" si="465">V42/V39</f>
        <v>-9.3296044192254804E-2</v>
      </c>
      <c r="W43" s="13" t="e">
        <f t="shared" ref="W43" si="466">W42/W39</f>
        <v>#DIV/0!</v>
      </c>
      <c r="X43" s="13" t="e">
        <f t="shared" ref="X43" si="467">X42/X39</f>
        <v>#DIV/0!</v>
      </c>
      <c r="Y43" s="13">
        <f t="shared" ref="Y43" si="468">Y42/Y39</f>
        <v>53.063492063492063</v>
      </c>
      <c r="Z43" s="13">
        <f t="shared" ref="Z43" si="469">Z42/Z39</f>
        <v>52</v>
      </c>
      <c r="AA43" s="13">
        <f t="shared" ref="AA43:AD43" si="470">AA42/AA39</f>
        <v>5.4339622641509431</v>
      </c>
      <c r="AB43" s="13">
        <f t="shared" si="470"/>
        <v>-0.92602739726027394</v>
      </c>
      <c r="AC43" s="14">
        <f t="shared" si="470"/>
        <v>0.10035340157333582</v>
      </c>
      <c r="AD43" s="13">
        <f t="shared" si="470"/>
        <v>1.2189967492038762E-2</v>
      </c>
      <c r="AE43" s="13">
        <f t="shared" ref="AE43" si="471">AE42/AE39</f>
        <v>-0.76556776556776551</v>
      </c>
      <c r="AF43" s="13">
        <f t="shared" ref="AF43" si="472">AF42/AF39</f>
        <v>-0.72413793103448276</v>
      </c>
      <c r="AG43" s="13">
        <f t="shared" ref="AG43" si="473">AG42/AG39</f>
        <v>-1</v>
      </c>
      <c r="AH43" s="13" t="e">
        <f t="shared" ref="AH43" si="474">AH42/AH39</f>
        <v>#DIV/0!</v>
      </c>
      <c r="AI43" s="13" t="e">
        <f t="shared" ref="AI43" si="475">AI42/AI39</f>
        <v>#DIV/0!</v>
      </c>
      <c r="AJ43" s="13" t="e">
        <f t="shared" ref="AJ43" si="476">AJ42/AJ39</f>
        <v>#DIV/0!</v>
      </c>
      <c r="AK43" s="13">
        <f t="shared" ref="AK43" si="477">AK42/AK39</f>
        <v>0.75158062870199882</v>
      </c>
      <c r="AL43" s="13">
        <f t="shared" ref="AL43" si="478">AL42/AL39</f>
        <v>-0.68371260547174639</v>
      </c>
      <c r="AM43" s="13">
        <f t="shared" ref="AM43" si="479">AM42/AM39</f>
        <v>-0.86861313868613144</v>
      </c>
      <c r="AN43" s="13" t="e">
        <f t="shared" ref="AN43" si="480">AN42/AN39</f>
        <v>#DIV/0!</v>
      </c>
      <c r="AO43" s="165">
        <f t="shared" ref="AO43" si="481">AO42/AO39</f>
        <v>-0.12550163029847003</v>
      </c>
      <c r="AP43" s="13">
        <f t="shared" ref="AP43" si="482">AP42/AP39</f>
        <v>-0.57373205741626798</v>
      </c>
      <c r="AQ43" s="14">
        <f t="shared" ref="AQ43" si="483">AQ42/AQ39</f>
        <v>0.60920816153927482</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f t="shared" ref="AY43" si="491">AY42/AY39</f>
        <v>1.8666666666666667</v>
      </c>
      <c r="AZ43" s="13" t="e">
        <f t="shared" ref="AZ43" si="492">AZ42/AZ39</f>
        <v>#DIV/0!</v>
      </c>
      <c r="BA43" s="13" t="e">
        <f t="shared" ref="BA43" si="493">BA42/BA39</f>
        <v>#DIV/0!</v>
      </c>
      <c r="BB43" s="14">
        <f t="shared" ref="BB43" si="494">BB42/BB39</f>
        <v>0.70786609888810026</v>
      </c>
      <c r="BC43" s="13">
        <f t="shared" ref="BC43" si="495">BC42/BC39</f>
        <v>-0.4404852160727824</v>
      </c>
      <c r="BD43" s="13">
        <f t="shared" ref="BD43" si="496">BD42/BD39</f>
        <v>-0.42746314972847166</v>
      </c>
      <c r="BE43" s="13" t="e">
        <f t="shared" ref="BE43" si="497">BE42/BE39</f>
        <v>#DIV/0!</v>
      </c>
      <c r="BF43" s="13">
        <f t="shared" ref="BF43" si="498">BF42/BF39</f>
        <v>9.1123860951738106E-2</v>
      </c>
      <c r="BG43" s="13">
        <f t="shared" ref="BG43:BH43" si="499">BG42/BG39</f>
        <v>-0.97986577181208057</v>
      </c>
      <c r="BH43" s="165">
        <f t="shared" si="499"/>
        <v>0.63527335719728006</v>
      </c>
      <c r="BI43" s="46">
        <f t="shared" ref="BI43" si="500">BI42/BI39</f>
        <v>0.15160516780239733</v>
      </c>
      <c r="BJ43" s="13">
        <f t="shared" ref="BJ43:BK43" si="501">BJ42/BJ39</f>
        <v>-0.69356506326621048</v>
      </c>
      <c r="BK43" s="52">
        <f t="shared" si="501"/>
        <v>0.16563865487825316</v>
      </c>
      <c r="BM43" s="165" t="e">
        <f t="shared" ref="BM43" si="502">BM42/BM39</f>
        <v>#DIV/0!</v>
      </c>
    </row>
    <row r="44" spans="1:65" ht="15.75" x14ac:dyDescent="0.25">
      <c r="A44" s="130"/>
      <c r="B44" s="5" t="s">
        <v>134</v>
      </c>
      <c r="C44" s="11">
        <f>C41-C40</f>
        <v>16538</v>
      </c>
      <c r="D44" s="11">
        <f t="shared" ref="D44:BK44" si="503">D41-D40</f>
        <v>2882</v>
      </c>
      <c r="E44" s="11">
        <f t="shared" si="503"/>
        <v>640</v>
      </c>
      <c r="F44" s="11">
        <f t="shared" si="503"/>
        <v>111</v>
      </c>
      <c r="G44" s="11">
        <f t="shared" si="503"/>
        <v>850</v>
      </c>
      <c r="H44" s="11">
        <f t="shared" si="503"/>
        <v>0</v>
      </c>
      <c r="I44" s="11">
        <f t="shared" si="503"/>
        <v>0</v>
      </c>
      <c r="J44" s="11">
        <f t="shared" si="503"/>
        <v>0</v>
      </c>
      <c r="K44" s="11">
        <f t="shared" si="503"/>
        <v>-37</v>
      </c>
      <c r="L44" s="11">
        <f t="shared" si="503"/>
        <v>-4138</v>
      </c>
      <c r="M44" s="11">
        <f t="shared" si="503"/>
        <v>70</v>
      </c>
      <c r="N44" s="11">
        <f t="shared" si="503"/>
        <v>22</v>
      </c>
      <c r="O44" s="11">
        <f t="shared" si="503"/>
        <v>102</v>
      </c>
      <c r="P44" s="11">
        <f t="shared" si="503"/>
        <v>1184</v>
      </c>
      <c r="Q44" s="11">
        <f t="shared" si="503"/>
        <v>0</v>
      </c>
      <c r="R44" s="11">
        <f t="shared" si="503"/>
        <v>154</v>
      </c>
      <c r="S44" s="11">
        <f t="shared" si="503"/>
        <v>0</v>
      </c>
      <c r="T44" s="11">
        <f t="shared" si="503"/>
        <v>0</v>
      </c>
      <c r="U44" s="11">
        <f t="shared" ref="U44" si="504">U41-U40</f>
        <v>0</v>
      </c>
      <c r="V44" s="9">
        <f t="shared" si="503"/>
        <v>24285</v>
      </c>
      <c r="W44" s="11">
        <f t="shared" si="503"/>
        <v>0</v>
      </c>
      <c r="X44" s="11">
        <f t="shared" si="503"/>
        <v>0</v>
      </c>
      <c r="Y44" s="11">
        <f t="shared" si="503"/>
        <v>3244</v>
      </c>
      <c r="Z44" s="11">
        <f t="shared" si="503"/>
        <v>296</v>
      </c>
      <c r="AA44" s="11">
        <f t="shared" si="503"/>
        <v>297</v>
      </c>
      <c r="AB44" s="11">
        <f t="shared" ref="AB44" si="505">AB41-AB40</f>
        <v>54</v>
      </c>
      <c r="AC44" s="10">
        <f t="shared" ref="AC44:AD44" si="506">AC41-AC40</f>
        <v>148763</v>
      </c>
      <c r="AD44" s="11">
        <f t="shared" si="506"/>
        <v>195317</v>
      </c>
      <c r="AE44" s="11">
        <f t="shared" si="503"/>
        <v>-55</v>
      </c>
      <c r="AF44" s="11">
        <f t="shared" si="503"/>
        <v>-60</v>
      </c>
      <c r="AG44" s="11">
        <f t="shared" si="503"/>
        <v>-3886</v>
      </c>
      <c r="AH44" s="11">
        <f t="shared" si="503"/>
        <v>0</v>
      </c>
      <c r="AI44" s="11">
        <f t="shared" si="503"/>
        <v>0</v>
      </c>
      <c r="AJ44" s="11">
        <f t="shared" si="503"/>
        <v>0</v>
      </c>
      <c r="AK44" s="11">
        <f t="shared" si="503"/>
        <v>31937</v>
      </c>
      <c r="AL44" s="11">
        <f t="shared" si="503"/>
        <v>-1725</v>
      </c>
      <c r="AM44" s="11">
        <f t="shared" si="503"/>
        <v>-25</v>
      </c>
      <c r="AN44" s="11">
        <f t="shared" si="503"/>
        <v>0</v>
      </c>
      <c r="AO44" s="9">
        <f t="shared" si="503"/>
        <v>-28495</v>
      </c>
      <c r="AP44" s="11">
        <f t="shared" si="503"/>
        <v>13970</v>
      </c>
      <c r="AQ44" s="10">
        <f t="shared" si="503"/>
        <v>46211</v>
      </c>
      <c r="AR44" s="11">
        <f t="shared" si="503"/>
        <v>0</v>
      </c>
      <c r="AS44" s="11">
        <f t="shared" si="503"/>
        <v>0</v>
      </c>
      <c r="AT44" s="11">
        <f t="shared" si="503"/>
        <v>0</v>
      </c>
      <c r="AU44" s="11">
        <f t="shared" si="503"/>
        <v>0</v>
      </c>
      <c r="AV44" s="11">
        <f t="shared" si="503"/>
        <v>0</v>
      </c>
      <c r="AW44" s="11">
        <f t="shared" si="503"/>
        <v>0</v>
      </c>
      <c r="AX44" s="11">
        <f t="shared" si="503"/>
        <v>0</v>
      </c>
      <c r="AY44" s="11">
        <f t="shared" si="503"/>
        <v>74</v>
      </c>
      <c r="AZ44" s="11">
        <f t="shared" si="503"/>
        <v>0</v>
      </c>
      <c r="BA44" s="11">
        <f t="shared" si="503"/>
        <v>0</v>
      </c>
      <c r="BB44" s="10">
        <f t="shared" si="503"/>
        <v>186883</v>
      </c>
      <c r="BC44" s="11">
        <f t="shared" si="503"/>
        <v>-495</v>
      </c>
      <c r="BD44" s="11">
        <f t="shared" si="503"/>
        <v>-495</v>
      </c>
      <c r="BE44" s="11">
        <f t="shared" si="503"/>
        <v>0</v>
      </c>
      <c r="BF44" s="11">
        <f t="shared" si="503"/>
        <v>-1242</v>
      </c>
      <c r="BG44" s="11">
        <f t="shared" si="503"/>
        <v>-40</v>
      </c>
      <c r="BH44" s="9">
        <f t="shared" si="503"/>
        <v>242557</v>
      </c>
      <c r="BI44" s="45">
        <f t="shared" si="503"/>
        <v>437874</v>
      </c>
      <c r="BJ44" s="11">
        <f t="shared" si="503"/>
        <v>5263</v>
      </c>
      <c r="BK44" s="51">
        <f t="shared" si="503"/>
        <v>432611</v>
      </c>
      <c r="BM44" s="30">
        <f t="shared" si="393"/>
        <v>237294</v>
      </c>
    </row>
    <row r="45" spans="1:65" ht="15.75" x14ac:dyDescent="0.25">
      <c r="A45" s="130"/>
      <c r="B45" s="5" t="s">
        <v>135</v>
      </c>
      <c r="C45" s="13">
        <f>C44/C40</f>
        <v>4.2544324507877054E-2</v>
      </c>
      <c r="D45" s="13">
        <f t="shared" ref="D45" si="507">D44/D40</f>
        <v>4.4046400024453237E-2</v>
      </c>
      <c r="E45" s="13">
        <f t="shared" ref="E45" si="508">E44/E40</f>
        <v>-1.3588110403397027</v>
      </c>
      <c r="F45" s="13">
        <f t="shared" ref="F45" si="509">F44/F40</f>
        <v>2.471885090747133E-3</v>
      </c>
      <c r="G45" s="13">
        <f t="shared" ref="G45" si="510">G44/G40</f>
        <v>3.7934574017048243E-2</v>
      </c>
      <c r="H45" s="13" t="e">
        <f t="shared" ref="H45" si="511">H44/H40</f>
        <v>#DIV/0!</v>
      </c>
      <c r="I45" s="13" t="e">
        <f t="shared" ref="I45" si="512">I44/I40</f>
        <v>#DIV/0!</v>
      </c>
      <c r="J45" s="13" t="e">
        <f t="shared" ref="J45" si="513">J44/J40</f>
        <v>#DIV/0!</v>
      </c>
      <c r="K45" s="13">
        <f t="shared" ref="K45" si="514">K44/K40</f>
        <v>-0.30327868852459017</v>
      </c>
      <c r="L45" s="13">
        <f t="shared" ref="L45" si="515">L44/L40</f>
        <v>-0.37222272195736261</v>
      </c>
      <c r="M45" s="13">
        <f t="shared" ref="M45" si="516">M44/M40</f>
        <v>1.6032982134677048E-2</v>
      </c>
      <c r="N45" s="13">
        <f t="shared" ref="N45" si="517">N44/N40</f>
        <v>0.84615384615384615</v>
      </c>
      <c r="O45" s="13">
        <f t="shared" ref="O45" si="518">O44/O40</f>
        <v>0.1513353115727003</v>
      </c>
      <c r="P45" s="13">
        <f t="shared" ref="P45" si="519">P44/P40</f>
        <v>0.15420682469393071</v>
      </c>
      <c r="Q45" s="13" t="e">
        <f t="shared" ref="Q45" si="520">Q44/Q40</f>
        <v>#DIV/0!</v>
      </c>
      <c r="R45" s="13">
        <f t="shared" ref="R45" si="521">R44/R40</f>
        <v>0.32765957446808508</v>
      </c>
      <c r="S45" s="13" t="e">
        <f t="shared" ref="S45" si="522">S44/S40</f>
        <v>#DIV/0!</v>
      </c>
      <c r="T45" s="13" t="e">
        <f t="shared" ref="T45:U45" si="523">T44/T40</f>
        <v>#DIV/0!</v>
      </c>
      <c r="U45" s="13" t="e">
        <f t="shared" si="523"/>
        <v>#DIV/0!</v>
      </c>
      <c r="V45" s="165">
        <f t="shared" ref="V45" si="524">V44/V40</f>
        <v>0.44828604655455667</v>
      </c>
      <c r="W45" s="13" t="e">
        <f t="shared" ref="W45" si="525">W44/W40</f>
        <v>#DIV/0!</v>
      </c>
      <c r="X45" s="13" t="e">
        <f t="shared" ref="X45" si="526">X44/X40</f>
        <v>#DIV/0!</v>
      </c>
      <c r="Y45" s="13">
        <f t="shared" ref="Y45" si="527">Y44/Y40</f>
        <v>20.02469135802469</v>
      </c>
      <c r="Z45" s="13">
        <f t="shared" ref="Z45" si="528">Z44/Z40</f>
        <v>13.454545454545455</v>
      </c>
      <c r="AA45" s="13">
        <f t="shared" ref="AA45:AD45" si="529">AA44/AA40</f>
        <v>6.75</v>
      </c>
      <c r="AB45" s="13" t="e">
        <f t="shared" ref="AB45" si="530">AB44/AB40</f>
        <v>#DIV/0!</v>
      </c>
      <c r="AC45" s="14">
        <f t="shared" si="529"/>
        <v>0.81781948521731485</v>
      </c>
      <c r="AD45" s="13">
        <f t="shared" si="529"/>
        <v>0.2498452194557865</v>
      </c>
      <c r="AE45" s="13">
        <f t="shared" ref="AE45" si="531">AE44/AE40</f>
        <v>-0.46218487394957986</v>
      </c>
      <c r="AF45" s="13">
        <f t="shared" ref="AF45" si="532">AF44/AF40</f>
        <v>-0.78947368421052633</v>
      </c>
      <c r="AG45" s="13">
        <f t="shared" ref="AG45" si="533">AG44/AG40</f>
        <v>-1</v>
      </c>
      <c r="AH45" s="13" t="e">
        <f t="shared" ref="AH45" si="534">AH44/AH40</f>
        <v>#DIV/0!</v>
      </c>
      <c r="AI45" s="13" t="e">
        <f t="shared" ref="AI45" si="535">AI44/AI40</f>
        <v>#DIV/0!</v>
      </c>
      <c r="AJ45" s="13" t="e">
        <f t="shared" ref="AJ45" si="536">AJ44/AJ40</f>
        <v>#DIV/0!</v>
      </c>
      <c r="AK45" s="13">
        <f t="shared" ref="AK45" si="537">AK44/AK40</f>
        <v>0.67923605351028304</v>
      </c>
      <c r="AL45" s="13">
        <f t="shared" ref="AL45" si="538">AL44/AL40</f>
        <v>-0.41081209811859964</v>
      </c>
      <c r="AM45" s="13">
        <f t="shared" ref="AM45" si="539">AM44/AM40</f>
        <v>-0.58139534883720934</v>
      </c>
      <c r="AN45" s="13" t="e">
        <f t="shared" ref="AN45" si="540">AN44/AN40</f>
        <v>#DIV/0!</v>
      </c>
      <c r="AO45" s="165">
        <f t="shared" ref="AO45" si="541">AO44/AO40</f>
        <v>-0.50533801518053489</v>
      </c>
      <c r="AP45" s="13">
        <f t="shared" ref="AP45" si="542">AP44/AP40</f>
        <v>-0.61060361029765287</v>
      </c>
      <c r="AQ45" s="14">
        <f t="shared" ref="AQ45" si="543">AQ44/AQ40</f>
        <v>3.1489608177172062</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t="e">
        <f t="shared" ref="AX45" si="550">AX44/AX40</f>
        <v>#DIV/0!</v>
      </c>
      <c r="AY45" s="13">
        <f t="shared" ref="AY45" si="551">AY44/AY40</f>
        <v>1.3454545454545455</v>
      </c>
      <c r="AZ45" s="13" t="e">
        <f t="shared" ref="AZ45" si="552">AZ44/AZ40</f>
        <v>#DIV/0!</v>
      </c>
      <c r="BA45" s="13" t="e">
        <f t="shared" ref="BA45" si="553">BA44/BA40</f>
        <v>#DIV/0!</v>
      </c>
      <c r="BB45" s="14">
        <f t="shared" ref="BB45" si="554">BB44/BB40</f>
        <v>1.8342903133987025</v>
      </c>
      <c r="BC45" s="13">
        <f t="shared" ref="BC45" si="555">BC44/BC40</f>
        <v>-0.40145985401459855</v>
      </c>
      <c r="BD45" s="13">
        <f t="shared" ref="BD45" si="556">BD44/BD40</f>
        <v>-0.40145985401459855</v>
      </c>
      <c r="BE45" s="13" t="e">
        <f t="shared" ref="BE45" si="557">BE44/BE40</f>
        <v>#DIV/0!</v>
      </c>
      <c r="BF45" s="13">
        <f t="shared" ref="BF45" si="558">BF44/BF40</f>
        <v>-0.27754189944134078</v>
      </c>
      <c r="BG45" s="13">
        <f t="shared" ref="BG45:BH45" si="559">BG44/BG40</f>
        <v>-0.93023255813953487</v>
      </c>
      <c r="BH45" s="165">
        <f t="shared" si="559"/>
        <v>1.1417240924838079</v>
      </c>
      <c r="BI45" s="46">
        <f t="shared" ref="BI45" si="560">BI44/BI40</f>
        <v>0.4404284852142426</v>
      </c>
      <c r="BJ45" s="13">
        <f t="shared" ref="BJ45:BK45" si="561">BJ44/BJ40</f>
        <v>5.4765868886576481</v>
      </c>
      <c r="BK45" s="52">
        <f t="shared" si="561"/>
        <v>0.43555579271454303</v>
      </c>
      <c r="BM45" s="14">
        <f t="shared" ref="BM45" si="562">BM44/BM40</f>
        <v>1.12202641297101</v>
      </c>
    </row>
    <row r="46" spans="1:65" ht="15.75" x14ac:dyDescent="0.25">
      <c r="A46" s="130"/>
      <c r="B46" s="5" t="s">
        <v>210</v>
      </c>
      <c r="C46" s="128">
        <f>C41/C38</f>
        <v>0.26340892073462424</v>
      </c>
      <c r="D46" s="128">
        <f t="shared" ref="D46:BK46" si="563">D41/D38</f>
        <v>0.26051192482820162</v>
      </c>
      <c r="E46" s="128">
        <f t="shared" si="563"/>
        <v>2.5903559057049142E-3</v>
      </c>
      <c r="F46" s="128">
        <f t="shared" si="563"/>
        <v>0.24251827668503764</v>
      </c>
      <c r="G46" s="128">
        <f t="shared" si="563"/>
        <v>0.23632760898282695</v>
      </c>
      <c r="H46" s="128" t="e">
        <f t="shared" si="563"/>
        <v>#DIV/0!</v>
      </c>
      <c r="I46" s="128" t="e">
        <f t="shared" si="563"/>
        <v>#DIV/0!</v>
      </c>
      <c r="J46" s="128" t="e">
        <f t="shared" si="563"/>
        <v>#DIV/0!</v>
      </c>
      <c r="K46" s="128">
        <f t="shared" si="563"/>
        <v>5.8580289455547899E-2</v>
      </c>
      <c r="L46" s="128">
        <f t="shared" si="563"/>
        <v>0.17096173631865172</v>
      </c>
      <c r="M46" s="128">
        <f t="shared" si="563"/>
        <v>7.7790442788250772E-2</v>
      </c>
      <c r="N46" s="128">
        <f t="shared" si="563"/>
        <v>0.22966507177033493</v>
      </c>
      <c r="O46" s="128">
        <f t="shared" si="563"/>
        <v>0.23095238095238096</v>
      </c>
      <c r="P46" s="128">
        <f t="shared" si="563"/>
        <v>0.31566574054285101</v>
      </c>
      <c r="Q46" s="128" t="e">
        <f t="shared" si="563"/>
        <v>#DIV/0!</v>
      </c>
      <c r="R46" s="128">
        <f t="shared" si="563"/>
        <v>0.12276214833759591</v>
      </c>
      <c r="S46" s="128" t="e">
        <f t="shared" si="563"/>
        <v>#DIV/0!</v>
      </c>
      <c r="T46" s="128" t="e">
        <f t="shared" si="563"/>
        <v>#DIV/0!</v>
      </c>
      <c r="U46" s="128" t="e">
        <f t="shared" si="563"/>
        <v>#DIV/0!</v>
      </c>
      <c r="V46" s="180">
        <f t="shared" si="563"/>
        <v>0.23574411826567712</v>
      </c>
      <c r="W46" s="128" t="e">
        <f t="shared" si="563"/>
        <v>#DIV/0!</v>
      </c>
      <c r="X46" s="128" t="e">
        <f t="shared" si="563"/>
        <v>#DIV/0!</v>
      </c>
      <c r="Y46" s="128">
        <f t="shared" si="563"/>
        <v>14.016460905349794</v>
      </c>
      <c r="Z46" s="128">
        <f t="shared" si="563"/>
        <v>13.25</v>
      </c>
      <c r="AA46" s="128">
        <f t="shared" si="563"/>
        <v>1.6553398058252426</v>
      </c>
      <c r="AB46" s="128">
        <f t="shared" ref="AB46" si="564">AB41/AB38</f>
        <v>1.9230769230769232E-2</v>
      </c>
      <c r="AC46" s="222">
        <f t="shared" si="563"/>
        <v>0.28609064677865209</v>
      </c>
      <c r="AD46" s="128">
        <f t="shared" si="563"/>
        <v>0.25862446382888049</v>
      </c>
      <c r="AE46" s="128">
        <f t="shared" si="563"/>
        <v>6.1010486177311724E-2</v>
      </c>
      <c r="AF46" s="128">
        <f t="shared" si="563"/>
        <v>7.1428571428571425E-2</v>
      </c>
      <c r="AG46" s="128">
        <f t="shared" si="563"/>
        <v>0</v>
      </c>
      <c r="AH46" s="128" t="e">
        <f t="shared" si="563"/>
        <v>#DIV/0!</v>
      </c>
      <c r="AI46" s="128" t="e">
        <f t="shared" si="563"/>
        <v>#DIV/0!</v>
      </c>
      <c r="AJ46" s="128" t="e">
        <f t="shared" si="563"/>
        <v>#DIV/0!</v>
      </c>
      <c r="AK46" s="128">
        <f t="shared" si="563"/>
        <v>0.45542167284808704</v>
      </c>
      <c r="AL46" s="128">
        <f t="shared" si="563"/>
        <v>8.2228204872536306E-2</v>
      </c>
      <c r="AM46" s="128">
        <f t="shared" si="563"/>
        <v>3.4285714285714287E-2</v>
      </c>
      <c r="AN46" s="128" t="e">
        <f t="shared" si="563"/>
        <v>#DIV/0!</v>
      </c>
      <c r="AO46" s="180">
        <f t="shared" si="563"/>
        <v>0.22737128696729597</v>
      </c>
      <c r="AP46" s="128">
        <f t="shared" si="563"/>
        <v>0.11083189231553936</v>
      </c>
      <c r="AQ46" s="222">
        <f t="shared" si="563"/>
        <v>0.41840296866410115</v>
      </c>
      <c r="AR46" s="128" t="e">
        <f t="shared" si="563"/>
        <v>#DIV/0!</v>
      </c>
      <c r="AS46" s="128" t="e">
        <f t="shared" si="563"/>
        <v>#DIV/0!</v>
      </c>
      <c r="AT46" s="128" t="e">
        <f t="shared" si="563"/>
        <v>#DIV/0!</v>
      </c>
      <c r="AU46" s="128" t="e">
        <f t="shared" si="563"/>
        <v>#DIV/0!</v>
      </c>
      <c r="AV46" s="128" t="e">
        <f t="shared" si="563"/>
        <v>#DIV/0!</v>
      </c>
      <c r="AW46" s="128" t="e">
        <f t="shared" si="563"/>
        <v>#DIV/0!</v>
      </c>
      <c r="AX46" s="128" t="e">
        <f t="shared" si="563"/>
        <v>#DIV/0!</v>
      </c>
      <c r="AY46" s="128">
        <f t="shared" si="563"/>
        <v>0.76331360946745563</v>
      </c>
      <c r="AZ46" s="128" t="e">
        <f t="shared" si="563"/>
        <v>#DIV/0!</v>
      </c>
      <c r="BA46" s="128" t="e">
        <f t="shared" si="563"/>
        <v>#DIV/0!</v>
      </c>
      <c r="BB46" s="222">
        <f t="shared" si="563"/>
        <v>0.44404838975062394</v>
      </c>
      <c r="BC46" s="128">
        <f t="shared" si="563"/>
        <v>0.14553342535988956</v>
      </c>
      <c r="BD46" s="128">
        <f t="shared" si="563"/>
        <v>0.14553342535988956</v>
      </c>
      <c r="BE46" s="128" t="e">
        <f t="shared" si="563"/>
        <v>#DIV/0!</v>
      </c>
      <c r="BF46" s="128">
        <f t="shared" si="563"/>
        <v>0.28372093023255812</v>
      </c>
      <c r="BG46" s="128">
        <f t="shared" si="563"/>
        <v>6.369426751592357E-3</v>
      </c>
      <c r="BH46" s="180">
        <f t="shared" si="563"/>
        <v>0.42517275373423724</v>
      </c>
      <c r="BI46" s="128">
        <f t="shared" si="563"/>
        <v>0.2953880996924575</v>
      </c>
      <c r="BJ46" s="128">
        <f t="shared" si="563"/>
        <v>7.6609677141415256E-2</v>
      </c>
      <c r="BK46" s="128">
        <f t="shared" si="563"/>
        <v>0.29911679935689417</v>
      </c>
      <c r="BM46" s="128" t="e">
        <f t="shared" ref="BM46" si="565">BM41/BM38</f>
        <v>#DIV/0!</v>
      </c>
    </row>
    <row r="47" spans="1:65" s="183" customFormat="1" ht="15.75" x14ac:dyDescent="0.25">
      <c r="A47" s="130"/>
      <c r="B47" s="5" t="s">
        <v>329</v>
      </c>
      <c r="C47" s="11">
        <f>C41-C38</f>
        <v>-1133266</v>
      </c>
      <c r="D47" s="11">
        <f t="shared" ref="D47:BM47" si="566">D41-D38</f>
        <v>-193913</v>
      </c>
      <c r="E47" s="11">
        <f t="shared" si="566"/>
        <v>-65073</v>
      </c>
      <c r="F47" s="11">
        <f t="shared" si="566"/>
        <v>-140603</v>
      </c>
      <c r="G47" s="11">
        <f t="shared" si="566"/>
        <v>-75153</v>
      </c>
      <c r="H47" s="11">
        <f t="shared" si="566"/>
        <v>0</v>
      </c>
      <c r="I47" s="11">
        <f t="shared" si="566"/>
        <v>0</v>
      </c>
      <c r="J47" s="11">
        <f t="shared" si="566"/>
        <v>0</v>
      </c>
      <c r="K47" s="11">
        <f t="shared" si="566"/>
        <v>-1366</v>
      </c>
      <c r="L47" s="11">
        <f t="shared" si="566"/>
        <v>-33843</v>
      </c>
      <c r="M47" s="11">
        <f t="shared" si="566"/>
        <v>-52589</v>
      </c>
      <c r="N47" s="11">
        <f t="shared" si="566"/>
        <v>-161</v>
      </c>
      <c r="O47" s="11">
        <f t="shared" si="566"/>
        <v>-2584</v>
      </c>
      <c r="P47" s="11">
        <f t="shared" si="566"/>
        <v>-19212</v>
      </c>
      <c r="Q47" s="11">
        <f t="shared" si="566"/>
        <v>0</v>
      </c>
      <c r="R47" s="11">
        <f t="shared" si="566"/>
        <v>-4459</v>
      </c>
      <c r="S47" s="11">
        <f t="shared" si="566"/>
        <v>0</v>
      </c>
      <c r="T47" s="11">
        <f t="shared" si="566"/>
        <v>0</v>
      </c>
      <c r="U47" s="11">
        <f t="shared" si="566"/>
        <v>0</v>
      </c>
      <c r="V47" s="9">
        <f t="shared" si="566"/>
        <v>-254352</v>
      </c>
      <c r="W47" s="11">
        <f t="shared" si="566"/>
        <v>0</v>
      </c>
      <c r="X47" s="11">
        <f t="shared" si="566"/>
        <v>0</v>
      </c>
      <c r="Y47" s="11">
        <f t="shared" si="566"/>
        <v>3163</v>
      </c>
      <c r="Z47" s="11">
        <f t="shared" si="566"/>
        <v>294</v>
      </c>
      <c r="AA47" s="11">
        <f t="shared" si="566"/>
        <v>135</v>
      </c>
      <c r="AB47" s="11">
        <f t="shared" ref="AB47" si="567">AB41-AB38</f>
        <v>-2754</v>
      </c>
      <c r="AC47" s="10">
        <f t="shared" si="566"/>
        <v>-825140</v>
      </c>
      <c r="AD47" s="11">
        <f t="shared" si="566"/>
        <v>-2800876</v>
      </c>
      <c r="AE47" s="11">
        <f t="shared" si="566"/>
        <v>-985</v>
      </c>
      <c r="AF47" s="11">
        <f t="shared" si="566"/>
        <v>-208</v>
      </c>
      <c r="AG47" s="11">
        <f t="shared" si="566"/>
        <v>-4618</v>
      </c>
      <c r="AH47" s="11">
        <f t="shared" si="566"/>
        <v>0</v>
      </c>
      <c r="AI47" s="11">
        <f t="shared" si="566"/>
        <v>0</v>
      </c>
      <c r="AJ47" s="11">
        <f t="shared" si="566"/>
        <v>0</v>
      </c>
      <c r="AK47" s="11">
        <f t="shared" si="566"/>
        <v>-94413</v>
      </c>
      <c r="AL47" s="11">
        <f t="shared" si="566"/>
        <v>-27613</v>
      </c>
      <c r="AM47" s="11">
        <f t="shared" si="566"/>
        <v>-507</v>
      </c>
      <c r="AN47" s="11">
        <f t="shared" si="566"/>
        <v>0</v>
      </c>
      <c r="AO47" s="9">
        <f t="shared" si="566"/>
        <v>-94783</v>
      </c>
      <c r="AP47" s="11">
        <f t="shared" si="566"/>
        <v>71474</v>
      </c>
      <c r="AQ47" s="10">
        <f t="shared" si="566"/>
        <v>-84634</v>
      </c>
      <c r="AR47" s="11">
        <f t="shared" si="566"/>
        <v>0</v>
      </c>
      <c r="AS47" s="11">
        <f t="shared" si="566"/>
        <v>0</v>
      </c>
      <c r="AT47" s="11">
        <f t="shared" si="566"/>
        <v>0</v>
      </c>
      <c r="AU47" s="11">
        <f t="shared" si="566"/>
        <v>0</v>
      </c>
      <c r="AV47" s="11">
        <f t="shared" si="566"/>
        <v>0</v>
      </c>
      <c r="AW47" s="11">
        <f t="shared" si="566"/>
        <v>0</v>
      </c>
      <c r="AX47" s="11">
        <f t="shared" si="566"/>
        <v>0</v>
      </c>
      <c r="AY47" s="11">
        <f t="shared" si="566"/>
        <v>-40</v>
      </c>
      <c r="AZ47" s="11">
        <f t="shared" si="566"/>
        <v>0</v>
      </c>
      <c r="BA47" s="11">
        <f t="shared" si="566"/>
        <v>0</v>
      </c>
      <c r="BB47" s="10">
        <f t="shared" si="566"/>
        <v>-361537</v>
      </c>
      <c r="BC47" s="11">
        <f t="shared" si="566"/>
        <v>-4333</v>
      </c>
      <c r="BD47" s="11">
        <f t="shared" si="566"/>
        <v>-4333</v>
      </c>
      <c r="BE47" s="11">
        <f t="shared" si="566"/>
        <v>0</v>
      </c>
      <c r="BF47" s="11">
        <f t="shared" si="566"/>
        <v>-8162</v>
      </c>
      <c r="BG47" s="11">
        <f t="shared" si="566"/>
        <v>-468</v>
      </c>
      <c r="BH47" s="11">
        <f t="shared" si="566"/>
        <v>-615160</v>
      </c>
      <c r="BI47" s="11">
        <f t="shared" si="566"/>
        <v>-3416036</v>
      </c>
      <c r="BJ47" s="11">
        <f t="shared" si="566"/>
        <v>-75019</v>
      </c>
      <c r="BK47" s="11">
        <f t="shared" si="566"/>
        <v>-3341017</v>
      </c>
      <c r="BL47" s="11">
        <f t="shared" si="566"/>
        <v>1425847</v>
      </c>
      <c r="BM47" s="11">
        <f t="shared" si="566"/>
        <v>448781</v>
      </c>
    </row>
    <row r="48" spans="1:65" s="183" customFormat="1" ht="15.75" x14ac:dyDescent="0.2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6"/>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44"/>
      <c r="BJ48" s="5"/>
      <c r="BK48" s="50"/>
    </row>
    <row r="49" spans="1:65" ht="15.75" x14ac:dyDescent="0.25">
      <c r="A49" s="15" t="s">
        <v>139</v>
      </c>
      <c r="B49" s="229" t="s">
        <v>298</v>
      </c>
      <c r="C49" s="122">
        <v>2439676</v>
      </c>
      <c r="D49" s="122">
        <v>414772</v>
      </c>
      <c r="E49" s="122">
        <v>118279</v>
      </c>
      <c r="F49" s="122">
        <v>213447</v>
      </c>
      <c r="G49" s="122">
        <v>149563</v>
      </c>
      <c r="H49" s="122">
        <v>0</v>
      </c>
      <c r="I49" s="122">
        <v>0</v>
      </c>
      <c r="J49" s="122">
        <v>2914</v>
      </c>
      <c r="K49" s="122">
        <v>1403</v>
      </c>
      <c r="L49" s="122">
        <v>36420</v>
      </c>
      <c r="M49" s="122">
        <v>81055</v>
      </c>
      <c r="N49" s="122">
        <v>225</v>
      </c>
      <c r="O49" s="122">
        <v>11691</v>
      </c>
      <c r="P49" s="122">
        <v>180354</v>
      </c>
      <c r="Q49" s="122">
        <v>0</v>
      </c>
      <c r="R49" s="122">
        <v>8728</v>
      </c>
      <c r="S49" s="122">
        <v>0</v>
      </c>
      <c r="T49" s="122">
        <v>0</v>
      </c>
      <c r="U49" s="122"/>
      <c r="V49" s="195">
        <v>5305</v>
      </c>
      <c r="W49" s="122">
        <v>0</v>
      </c>
      <c r="X49" s="122">
        <v>0</v>
      </c>
      <c r="Y49" s="122">
        <v>4708</v>
      </c>
      <c r="Z49" s="122">
        <v>482</v>
      </c>
      <c r="AA49" s="122">
        <v>686</v>
      </c>
      <c r="AB49" s="122">
        <v>4441</v>
      </c>
      <c r="AC49" s="154">
        <v>0</v>
      </c>
      <c r="AD49" s="123">
        <f t="shared" ref="AD49:AD50" si="568">SUM(C49:AC49)</f>
        <v>3674149</v>
      </c>
      <c r="AE49" s="122">
        <v>3034</v>
      </c>
      <c r="AF49" s="122">
        <v>24936</v>
      </c>
      <c r="AG49" s="122">
        <v>3185</v>
      </c>
      <c r="AH49" s="122">
        <v>0</v>
      </c>
      <c r="AI49" s="122">
        <v>0</v>
      </c>
      <c r="AJ49" s="122">
        <v>86</v>
      </c>
      <c r="AK49" s="122">
        <v>300181</v>
      </c>
      <c r="AL49" s="122">
        <v>325010</v>
      </c>
      <c r="AM49" s="122">
        <v>0</v>
      </c>
      <c r="AN49" s="122">
        <v>15163</v>
      </c>
      <c r="AO49" s="195">
        <v>624905</v>
      </c>
      <c r="AP49" s="122">
        <v>81947</v>
      </c>
      <c r="AQ49" s="154">
        <v>460</v>
      </c>
      <c r="AR49" s="122">
        <v>0</v>
      </c>
      <c r="AS49" s="122"/>
      <c r="AT49" s="122"/>
      <c r="AU49" s="122">
        <v>0</v>
      </c>
      <c r="AV49" s="122"/>
      <c r="AW49" s="122">
        <v>8</v>
      </c>
      <c r="AX49" s="122">
        <v>86</v>
      </c>
      <c r="AY49" s="122">
        <v>0</v>
      </c>
      <c r="AZ49" s="122">
        <v>0</v>
      </c>
      <c r="BA49" s="122">
        <v>0</v>
      </c>
      <c r="BB49" s="154">
        <v>0</v>
      </c>
      <c r="BC49" s="122">
        <v>26354</v>
      </c>
      <c r="BD49" s="122">
        <v>26352</v>
      </c>
      <c r="BE49" s="122">
        <v>0</v>
      </c>
      <c r="BF49" s="122">
        <v>47587</v>
      </c>
      <c r="BG49" s="122">
        <v>278892</v>
      </c>
      <c r="BH49" s="9">
        <f>SUM(AE49:BG49)</f>
        <v>1758186</v>
      </c>
      <c r="BI49" s="127">
        <f>AD49+BH49</f>
        <v>5432335</v>
      </c>
      <c r="BJ49" s="98">
        <v>85761</v>
      </c>
      <c r="BK49" s="51">
        <f t="shared" ref="BK49:BK50" si="569">BI49-BJ49</f>
        <v>5346574</v>
      </c>
      <c r="BL49">
        <v>5</v>
      </c>
      <c r="BM49" s="30"/>
    </row>
    <row r="50" spans="1:65" s="41" customFormat="1" ht="15.75" x14ac:dyDescent="0.25">
      <c r="A50" s="136" t="s">
        <v>139</v>
      </c>
      <c r="B50" s="225" t="s">
        <v>326</v>
      </c>
      <c r="C50" s="10">
        <v>634315</v>
      </c>
      <c r="D50" s="10">
        <v>107840</v>
      </c>
      <c r="E50" s="10">
        <v>0</v>
      </c>
      <c r="F50" s="10">
        <v>55496</v>
      </c>
      <c r="G50" s="10">
        <v>38883</v>
      </c>
      <c r="H50" s="10">
        <v>0</v>
      </c>
      <c r="I50" s="10">
        <v>0</v>
      </c>
      <c r="J50" s="10">
        <v>758</v>
      </c>
      <c r="K50" s="10">
        <v>365</v>
      </c>
      <c r="L50" s="10">
        <v>9472</v>
      </c>
      <c r="M50" s="10">
        <v>21074</v>
      </c>
      <c r="N50" s="10">
        <v>59</v>
      </c>
      <c r="O50" s="10">
        <v>3038</v>
      </c>
      <c r="P50" s="10">
        <v>46894</v>
      </c>
      <c r="Q50" s="10">
        <v>0</v>
      </c>
      <c r="R50" s="10">
        <v>2268</v>
      </c>
      <c r="S50" s="10">
        <v>0</v>
      </c>
      <c r="T50" s="10">
        <v>0</v>
      </c>
      <c r="U50" s="10"/>
      <c r="V50" s="10">
        <v>1379</v>
      </c>
      <c r="W50" s="10">
        <v>0</v>
      </c>
      <c r="X50" s="10">
        <v>0</v>
      </c>
      <c r="Y50" s="10">
        <v>1224</v>
      </c>
      <c r="Z50" s="10">
        <v>126</v>
      </c>
      <c r="AA50" s="10">
        <v>179</v>
      </c>
      <c r="AB50" s="10">
        <v>1154</v>
      </c>
      <c r="AC50" s="9">
        <v>0</v>
      </c>
      <c r="AD50" s="123">
        <f t="shared" si="568"/>
        <v>924524</v>
      </c>
      <c r="AE50" s="10">
        <v>789</v>
      </c>
      <c r="AF50" s="10">
        <v>6482</v>
      </c>
      <c r="AG50" s="10">
        <v>829</v>
      </c>
      <c r="AH50" s="10">
        <v>0</v>
      </c>
      <c r="AI50" s="10">
        <v>0</v>
      </c>
      <c r="AJ50" s="10">
        <v>22</v>
      </c>
      <c r="AK50" s="10">
        <v>78047</v>
      </c>
      <c r="AL50" s="10">
        <v>84503</v>
      </c>
      <c r="AM50" s="10">
        <v>0</v>
      </c>
      <c r="AN50" s="10">
        <v>3942</v>
      </c>
      <c r="AO50" s="10">
        <v>162477</v>
      </c>
      <c r="AP50" s="10">
        <v>21306</v>
      </c>
      <c r="AQ50" s="10">
        <v>120</v>
      </c>
      <c r="AR50" s="10">
        <v>0</v>
      </c>
      <c r="AS50" s="10"/>
      <c r="AT50" s="10"/>
      <c r="AU50" s="10">
        <v>0</v>
      </c>
      <c r="AV50" s="10"/>
      <c r="AW50" s="10">
        <v>2</v>
      </c>
      <c r="AX50" s="10">
        <v>22</v>
      </c>
      <c r="AY50" s="10">
        <v>0</v>
      </c>
      <c r="AZ50" s="10">
        <v>0</v>
      </c>
      <c r="BA50" s="10">
        <v>0</v>
      </c>
      <c r="BB50" s="10">
        <v>0</v>
      </c>
      <c r="BC50" s="10">
        <v>6852</v>
      </c>
      <c r="BD50" s="10">
        <v>6851</v>
      </c>
      <c r="BE50" s="10">
        <v>0</v>
      </c>
      <c r="BF50" s="10">
        <v>12373</v>
      </c>
      <c r="BG50" s="10">
        <v>72514</v>
      </c>
      <c r="BH50" s="9">
        <f>SUM(AE50:BG50)</f>
        <v>457131</v>
      </c>
      <c r="BI50" s="227">
        <f>AD50+BH50</f>
        <v>1381655</v>
      </c>
      <c r="BJ50" s="10">
        <v>21441</v>
      </c>
      <c r="BK50" s="10">
        <f t="shared" si="569"/>
        <v>1360214</v>
      </c>
      <c r="BM50" s="226"/>
    </row>
    <row r="51" spans="1:65" ht="15.75" x14ac:dyDescent="0.25">
      <c r="A51" s="130"/>
      <c r="B51" s="12" t="s">
        <v>324</v>
      </c>
      <c r="C51" s="9">
        <f>IF('Upto Month COPPY'!$F$4="",0,'Upto Month COPPY'!$F$4)</f>
        <v>607744</v>
      </c>
      <c r="D51" s="9">
        <f>IF('Upto Month COPPY'!$F$5="",0,'Upto Month COPPY'!$F$5)</f>
        <v>101097</v>
      </c>
      <c r="E51" s="9">
        <f>IF('Upto Month COPPY'!$F$6="",0,'Upto Month COPPY'!$F$6)</f>
        <v>263</v>
      </c>
      <c r="F51" s="9">
        <f>IF('Upto Month COPPY'!$F$7="",0,'Upto Month COPPY'!$F$7)</f>
        <v>48219</v>
      </c>
      <c r="G51" s="9">
        <f>IF('Upto Month COPPY'!$F$8="",0,'Upto Month COPPY'!$F$8)</f>
        <v>33395</v>
      </c>
      <c r="H51" s="9">
        <f>IF('Upto Month COPPY'!$F$9="",0,'Upto Month COPPY'!$F$9)</f>
        <v>0</v>
      </c>
      <c r="I51" s="9">
        <f>IF('Upto Month COPPY'!$F$10="",0,'Upto Month COPPY'!$F$10)</f>
        <v>0</v>
      </c>
      <c r="J51" s="9">
        <f>IF('Upto Month COPPY'!$F$11="",0,'Upto Month COPPY'!$F$11)</f>
        <v>1599</v>
      </c>
      <c r="K51" s="9">
        <f>IF('Upto Month COPPY'!$F$12="",0,'Upto Month COPPY'!$F$12)</f>
        <v>13</v>
      </c>
      <c r="L51" s="9">
        <f>IF('Upto Month COPPY'!$F$13="",0,'Upto Month COPPY'!$F$13)</f>
        <v>9686</v>
      </c>
      <c r="M51" s="9">
        <f>IF('Upto Month COPPY'!$F$14="",0,'Upto Month COPPY'!$F$14)</f>
        <v>10208</v>
      </c>
      <c r="N51" s="9">
        <f>IF('Upto Month COPPY'!$F$15="",0,'Upto Month COPPY'!$F$15)</f>
        <v>18</v>
      </c>
      <c r="O51" s="9">
        <f>IF('Upto Month COPPY'!$F$16="",0,'Upto Month COPPY'!$F$16)</f>
        <v>1536</v>
      </c>
      <c r="P51" s="9">
        <f>IF('Upto Month COPPY'!$F$17="",0,'Upto Month COPPY'!$F$17)</f>
        <v>57011</v>
      </c>
      <c r="Q51" s="9">
        <f>IF('Upto Month COPPY'!$F$18="",0,'Upto Month COPPY'!$F$18)</f>
        <v>0</v>
      </c>
      <c r="R51" s="9">
        <f>IF('Upto Month COPPY'!$F$21="",0,'Upto Month COPPY'!$F$21)</f>
        <v>611</v>
      </c>
      <c r="S51" s="9">
        <f>IF('Upto Month COPPY'!$F$26="",0,'Upto Month COPPY'!$F$26)</f>
        <v>0</v>
      </c>
      <c r="T51" s="9">
        <f>IF('Upto Month COPPY'!$F$27="",0,'Upto Month COPPY'!$F$27)</f>
        <v>0</v>
      </c>
      <c r="U51" s="9">
        <f>IF('Upto Month COPPY'!$F$30="",0,'Upto Month COPPY'!$F$30)</f>
        <v>0</v>
      </c>
      <c r="V51" s="9">
        <f>IF('Upto Month COPPY'!$F$35="",0,'Upto Month COPPY'!$F$35)</f>
        <v>76428</v>
      </c>
      <c r="W51" s="9">
        <f>IF('Upto Month COPPY'!$F$39="",0,'Upto Month COPPY'!$F$39)</f>
        <v>0</v>
      </c>
      <c r="X51" s="9">
        <f>IF('Upto Month COPPY'!$F$40="",0,'Upto Month COPPY'!$F$40)</f>
        <v>0</v>
      </c>
      <c r="Y51" s="9">
        <f>IF('Upto Month COPPY'!$F$42="",0,'Upto Month COPPY'!$F$42)</f>
        <v>2301</v>
      </c>
      <c r="Z51" s="9">
        <f>IF('Upto Month COPPY'!$F$43="",0,'Upto Month COPPY'!$F$43)</f>
        <v>116</v>
      </c>
      <c r="AA51" s="9">
        <f>IF('Upto Month COPPY'!$F$44="",0,'Upto Month COPPY'!$F$44)</f>
        <v>163</v>
      </c>
      <c r="AB51" s="9">
        <f>IF('Upto Month COPPY'!$F$48="",0,'Upto Month COPPY'!$F$48)</f>
        <v>0</v>
      </c>
      <c r="AC51" s="10">
        <f>IF('Upto Month COPPY'!$F$51="",0,'Upto Month COPPY'!$F$51)</f>
        <v>0</v>
      </c>
      <c r="AD51" s="123">
        <f t="shared" ref="AD51:AD52" si="570">SUM(C51:AC51)</f>
        <v>950408</v>
      </c>
      <c r="AE51" s="9">
        <f>IF('Upto Month COPPY'!$F$19="",0,'Upto Month COPPY'!$F$19)</f>
        <v>600</v>
      </c>
      <c r="AF51" s="9">
        <f>IF('Upto Month COPPY'!$F$20="",0,'Upto Month COPPY'!$F$20)</f>
        <v>20364</v>
      </c>
      <c r="AG51" s="9">
        <f>IF('Upto Month COPPY'!$F$22="",0,'Upto Month COPPY'!$F$22)</f>
        <v>2106</v>
      </c>
      <c r="AH51" s="9">
        <f>IF('Upto Month COPPY'!$F$23="",0,'Upto Month COPPY'!$F$23)</f>
        <v>18</v>
      </c>
      <c r="AI51" s="9">
        <f>IF('Upto Month COPPY'!$F$24="",0,'Upto Month COPPY'!$F$24)</f>
        <v>0</v>
      </c>
      <c r="AJ51" s="9">
        <f>IF('Upto Month COPPY'!$F$25="",0,'Upto Month COPPY'!$F$25)</f>
        <v>0</v>
      </c>
      <c r="AK51" s="9">
        <f>IF('Upto Month COPPY'!$F$28="",0,'Upto Month COPPY'!$F$28)</f>
        <v>-60933</v>
      </c>
      <c r="AL51" s="9">
        <f>IF('Upto Month COPPY'!$F$29="",0,'Upto Month COPPY'!$F$29)</f>
        <v>87980</v>
      </c>
      <c r="AM51" s="9">
        <f>IF('Upto Month COPPY'!$F$31="",0,'Upto Month COPPY'!$F$31)</f>
        <v>0</v>
      </c>
      <c r="AN51" s="9">
        <f>IF('Upto Month COPPY'!$F$32="",0,'Upto Month COPPY'!$F$32)</f>
        <v>581</v>
      </c>
      <c r="AO51" s="9">
        <f>IF('Upto Month COPPY'!$F$33="",0,'Upto Month COPPY'!$F$33)</f>
        <v>181753</v>
      </c>
      <c r="AP51" s="9">
        <f>IF('Upto Month COPPY'!$F$34="",0,'Upto Month COPPY'!$F$34)</f>
        <v>-13944</v>
      </c>
      <c r="AQ51" s="10">
        <f>IF('Upto Month COPPY'!$F$36="",0,'Upto Month COPPY'!$F$36)</f>
        <v>17736</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7195</v>
      </c>
      <c r="BD51" s="9">
        <f>IF('Upto Month COPPY'!$F$54="",0,'Upto Month COPPY'!$F$54)</f>
        <v>7195</v>
      </c>
      <c r="BE51" s="9">
        <f>IF('Upto Month COPPY'!$F$55="",0,'Upto Month COPPY'!$F$55)</f>
        <v>0</v>
      </c>
      <c r="BF51" s="9">
        <f>IF('Upto Month COPPY'!$F$56="",0,'Upto Month COPPY'!$F$56)</f>
        <v>16679</v>
      </c>
      <c r="BG51" s="9">
        <f>IF('Upto Month COPPY'!$F$58="",0,'Upto Month COPPY'!$F$58)</f>
        <v>87236</v>
      </c>
      <c r="BH51" s="9">
        <f>SUM(AE51:BG51)</f>
        <v>354566</v>
      </c>
      <c r="BI51" s="127">
        <f>AD51+BH51</f>
        <v>1304974</v>
      </c>
      <c r="BJ51" s="9">
        <f>IF('Upto Month COPPY'!$F$60="",0,'Upto Month COPPY'!$F$60)</f>
        <v>1603</v>
      </c>
      <c r="BK51" s="51">
        <f t="shared" ref="BK51:BK52" si="571">BI51-BJ51</f>
        <v>1303371</v>
      </c>
      <c r="BL51">
        <f>'Upto Month COPPY'!$F$61</f>
        <v>1303370</v>
      </c>
      <c r="BM51" s="30">
        <f t="shared" ref="BM51:BM55" si="572">BK51-AD51</f>
        <v>352963</v>
      </c>
    </row>
    <row r="52" spans="1:65" ht="15.75" x14ac:dyDescent="0.25">
      <c r="A52" s="130"/>
      <c r="B52" s="185" t="s">
        <v>325</v>
      </c>
      <c r="C52" s="9">
        <f>IF('Upto Month Current'!$F$4="",0,'Upto Month Current'!$F$4)</f>
        <v>588497</v>
      </c>
      <c r="D52" s="9">
        <f>IF('Upto Month Current'!$F$5="",0,'Upto Month Current'!$F$5)</f>
        <v>99288</v>
      </c>
      <c r="E52" s="9">
        <f>IF('Upto Month Current'!$F$6="",0,'Upto Month Current'!$F$6)</f>
        <v>177</v>
      </c>
      <c r="F52" s="9">
        <f>IF('Upto Month Current'!$F$7="",0,'Upto Month Current'!$F$7)</f>
        <v>47421</v>
      </c>
      <c r="G52" s="9">
        <f>IF('Upto Month Current'!$F$8="",0,'Upto Month Current'!$F$8)</f>
        <v>32746</v>
      </c>
      <c r="H52" s="9">
        <f>IF('Upto Month Current'!$F$9="",0,'Upto Month Current'!$F$9)</f>
        <v>0</v>
      </c>
      <c r="I52" s="9">
        <f>IF('Upto Month Current'!$F$10="",0,'Upto Month Current'!$F$10)</f>
        <v>0</v>
      </c>
      <c r="J52" s="9">
        <f>IF('Upto Month Current'!$F$11="",0,'Upto Month Current'!$F$11)</f>
        <v>603</v>
      </c>
      <c r="K52" s="9">
        <f>IF('Upto Month Current'!$F$12="",0,'Upto Month Current'!$F$12)</f>
        <v>159</v>
      </c>
      <c r="L52" s="9">
        <f>IF('Upto Month Current'!$F$13="",0,'Upto Month Current'!$F$13)</f>
        <v>6575</v>
      </c>
      <c r="M52" s="9">
        <f>IF('Upto Month Current'!$F$14="",0,'Upto Month Current'!$F$14)</f>
        <v>6269</v>
      </c>
      <c r="N52" s="9">
        <f>IF('Upto Month Current'!$F$15="",0,'Upto Month Current'!$F$15)</f>
        <v>28</v>
      </c>
      <c r="O52" s="9">
        <f>IF('Upto Month Current'!$F$16="",0,'Upto Month Current'!$F$16)</f>
        <v>1024</v>
      </c>
      <c r="P52" s="9">
        <f>IF('Upto Month Current'!$F$17="",0,'Upto Month Current'!$F$17)</f>
        <v>62765</v>
      </c>
      <c r="Q52" s="9">
        <f>IF('Upto Month Current'!$F$18="",0,'Upto Month Current'!$F$18)</f>
        <v>0</v>
      </c>
      <c r="R52" s="9">
        <f>IF('Upto Month Current'!$F$21="",0,'Upto Month Current'!$F$21)</f>
        <v>1385</v>
      </c>
      <c r="S52" s="9">
        <f>IF('Upto Month Current'!$F$26="",0,'Upto Month Current'!$F$26)</f>
        <v>0</v>
      </c>
      <c r="T52" s="9">
        <f>IF('Upto Month Current'!$F$27="",0,'Upto Month Current'!$F$27)</f>
        <v>0</v>
      </c>
      <c r="U52" s="9">
        <f>IF('Upto Month Current'!$F$30="",0,'Upto Month Current'!$F$30)</f>
        <v>0</v>
      </c>
      <c r="V52" s="9">
        <f>IF('Upto Month Current'!$F$35="",0,'Upto Month Current'!$F$35)</f>
        <v>4605</v>
      </c>
      <c r="W52" s="9">
        <f>IF('Upto Month Current'!$F$39="",0,'Upto Month Current'!$F$39)</f>
        <v>0</v>
      </c>
      <c r="X52" s="9">
        <f>IF('Upto Month Current'!$F$40="",0,'Upto Month Current'!$F$40)</f>
        <v>0</v>
      </c>
      <c r="Y52" s="9">
        <f>IF('Upto Month Current'!$F$42="",0,'Upto Month Current'!$F$42)</f>
        <v>7027</v>
      </c>
      <c r="Z52" s="9">
        <f>IF('Upto Month Current'!$F$43="",0,'Upto Month Current'!$F$43)</f>
        <v>699</v>
      </c>
      <c r="AA52" s="9">
        <f>IF('Upto Month Current'!$F$44="",0,'Upto Month Current'!$F$44)</f>
        <v>467</v>
      </c>
      <c r="AB52" s="9">
        <f>IF('Upto Month Current'!$F$48="",0,'Upto Month Current'!$F$48)</f>
        <v>0</v>
      </c>
      <c r="AC52" s="10">
        <f>IF('Upto Month Current'!$F$51="",0,'Upto Month Current'!$F$51)</f>
        <v>0</v>
      </c>
      <c r="AD52" s="123">
        <f t="shared" si="570"/>
        <v>859735</v>
      </c>
      <c r="AE52" s="9">
        <f>IF('Upto Month Current'!$F$19="",0,'Upto Month Current'!$F$19)</f>
        <v>655</v>
      </c>
      <c r="AF52" s="9">
        <f>IF('Upto Month Current'!$F$20="",0,'Upto Month Current'!$F$20)</f>
        <v>3903</v>
      </c>
      <c r="AG52" s="9">
        <f>IF('Upto Month Current'!$F$22="",0,'Upto Month Current'!$F$22)</f>
        <v>1444</v>
      </c>
      <c r="AH52" s="9">
        <f>IF('Upto Month Current'!$F$23="",0,'Upto Month Current'!$F$23)</f>
        <v>0</v>
      </c>
      <c r="AI52" s="9">
        <f>IF('Upto Month Current'!$F$24="",0,'Upto Month Current'!$F$24)</f>
        <v>0</v>
      </c>
      <c r="AJ52" s="9">
        <f>IF('Upto Month Current'!$F$25="",0,'Upto Month Current'!$F$25)</f>
        <v>222</v>
      </c>
      <c r="AK52" s="9">
        <f>IF('Upto Month Current'!$F$28="",0,'Upto Month Current'!$F$28)</f>
        <v>91583</v>
      </c>
      <c r="AL52" s="9">
        <f>IF('Upto Month Current'!$F$29="",0,'Upto Month Current'!$F$29)</f>
        <v>46111</v>
      </c>
      <c r="AM52" s="9">
        <f>IF('Upto Month Current'!$F$31="",0,'Upto Month Current'!$F$31)</f>
        <v>0</v>
      </c>
      <c r="AN52" s="9">
        <f>IF('Upto Month Current'!$F$32="",0,'Upto Month Current'!$F$32)</f>
        <v>505</v>
      </c>
      <c r="AO52" s="9">
        <f>IF('Upto Month Current'!$F$33="",0,'Upto Month Current'!$F$33)</f>
        <v>204516</v>
      </c>
      <c r="AP52" s="9">
        <f>IF('Upto Month Current'!$F$34="",0,'Upto Month Current'!$F$34)</f>
        <v>11667</v>
      </c>
      <c r="AQ52" s="10">
        <f>IF('Upto Month Current'!$F$36="",0,'Upto Month Current'!$F$36)</f>
        <v>14667</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6373</v>
      </c>
      <c r="BD52" s="9">
        <f>IF('Upto Month Current'!$F$54="",0,'Upto Month Current'!$F$54)</f>
        <v>6373</v>
      </c>
      <c r="BE52" s="9">
        <f>IF('Upto Month Current'!$F$55="",0,'Upto Month Current'!$F$55)</f>
        <v>0</v>
      </c>
      <c r="BF52" s="9">
        <f>IF('Upto Month Current'!$F$56="",0,'Upto Month Current'!$F$56)</f>
        <v>20843</v>
      </c>
      <c r="BG52" s="9">
        <f>IF('Upto Month Current'!$F$58="",0,'Upto Month Current'!$F$58)</f>
        <v>41908</v>
      </c>
      <c r="BH52" s="9">
        <f>SUM(AE52:BG52)</f>
        <v>450770</v>
      </c>
      <c r="BI52" s="127">
        <f>AD52+BH52</f>
        <v>1310505</v>
      </c>
      <c r="BJ52" s="9">
        <f>IF('Upto Month Current'!$F$60="",0,'Upto Month Current'!$F$60)</f>
        <v>16398</v>
      </c>
      <c r="BK52" s="51">
        <f t="shared" si="571"/>
        <v>1294107</v>
      </c>
      <c r="BL52">
        <f>'Upto Month Current'!$F$61</f>
        <v>1294106</v>
      </c>
      <c r="BM52" s="30">
        <f t="shared" si="572"/>
        <v>434372</v>
      </c>
    </row>
    <row r="53" spans="1:65" ht="15.75" x14ac:dyDescent="0.25">
      <c r="A53" s="130"/>
      <c r="B53" s="5" t="s">
        <v>132</v>
      </c>
      <c r="C53" s="11">
        <f>C52-C50</f>
        <v>-45818</v>
      </c>
      <c r="D53" s="11">
        <f t="shared" ref="D53" si="573">D52-D50</f>
        <v>-8552</v>
      </c>
      <c r="E53" s="11">
        <f t="shared" ref="E53" si="574">E52-E50</f>
        <v>177</v>
      </c>
      <c r="F53" s="11">
        <f t="shared" ref="F53" si="575">F52-F50</f>
        <v>-8075</v>
      </c>
      <c r="G53" s="11">
        <f t="shared" ref="G53" si="576">G52-G50</f>
        <v>-6137</v>
      </c>
      <c r="H53" s="11">
        <f t="shared" ref="H53" si="577">H52-H50</f>
        <v>0</v>
      </c>
      <c r="I53" s="11">
        <f t="shared" ref="I53" si="578">I52-I50</f>
        <v>0</v>
      </c>
      <c r="J53" s="11">
        <f t="shared" ref="J53" si="579">J52-J50</f>
        <v>-155</v>
      </c>
      <c r="K53" s="11">
        <f t="shared" ref="K53" si="580">K52-K50</f>
        <v>-206</v>
      </c>
      <c r="L53" s="11">
        <f t="shared" ref="L53" si="581">L52-L50</f>
        <v>-2897</v>
      </c>
      <c r="M53" s="11">
        <f t="shared" ref="M53" si="582">M52-M50</f>
        <v>-14805</v>
      </c>
      <c r="N53" s="11">
        <f t="shared" ref="N53" si="583">N52-N50</f>
        <v>-31</v>
      </c>
      <c r="O53" s="11">
        <f t="shared" ref="O53" si="584">O52-O50</f>
        <v>-2014</v>
      </c>
      <c r="P53" s="11">
        <f t="shared" ref="P53" si="585">P52-P50</f>
        <v>15871</v>
      </c>
      <c r="Q53" s="11">
        <f t="shared" ref="Q53" si="586">Q52-Q50</f>
        <v>0</v>
      </c>
      <c r="R53" s="11">
        <f t="shared" ref="R53" si="587">R52-R50</f>
        <v>-883</v>
      </c>
      <c r="S53" s="11">
        <f t="shared" ref="S53" si="588">S52-S50</f>
        <v>0</v>
      </c>
      <c r="T53" s="11">
        <f t="shared" ref="T53:U53" si="589">T52-T50</f>
        <v>0</v>
      </c>
      <c r="U53" s="11">
        <f t="shared" si="589"/>
        <v>0</v>
      </c>
      <c r="V53" s="9">
        <f t="shared" ref="V53" si="590">V52-V50</f>
        <v>3226</v>
      </c>
      <c r="W53" s="11">
        <f t="shared" ref="W53" si="591">W52-W50</f>
        <v>0</v>
      </c>
      <c r="X53" s="11">
        <f t="shared" ref="X53" si="592">X52-X50</f>
        <v>0</v>
      </c>
      <c r="Y53" s="11">
        <f t="shared" ref="Y53" si="593">Y52-Y50</f>
        <v>5803</v>
      </c>
      <c r="Z53" s="11">
        <f t="shared" ref="Z53" si="594">Z52-Z50</f>
        <v>573</v>
      </c>
      <c r="AA53" s="11">
        <f t="shared" ref="AA53:AD53" si="595">AA52-AA50</f>
        <v>288</v>
      </c>
      <c r="AB53" s="11">
        <f t="shared" ref="AB53" si="596">AB52-AB50</f>
        <v>-1154</v>
      </c>
      <c r="AC53" s="10">
        <f t="shared" si="595"/>
        <v>0</v>
      </c>
      <c r="AD53" s="11">
        <f t="shared" si="595"/>
        <v>-64789</v>
      </c>
      <c r="AE53" s="11">
        <f t="shared" ref="AE53" si="597">AE52-AE50</f>
        <v>-134</v>
      </c>
      <c r="AF53" s="11">
        <f t="shared" ref="AF53" si="598">AF52-AF50</f>
        <v>-2579</v>
      </c>
      <c r="AG53" s="11">
        <f t="shared" ref="AG53" si="599">AG52-AG50</f>
        <v>615</v>
      </c>
      <c r="AH53" s="11">
        <f t="shared" ref="AH53" si="600">AH52-AH50</f>
        <v>0</v>
      </c>
      <c r="AI53" s="11">
        <f t="shared" ref="AI53" si="601">AI52-AI50</f>
        <v>0</v>
      </c>
      <c r="AJ53" s="11">
        <f t="shared" ref="AJ53" si="602">AJ52-AJ50</f>
        <v>200</v>
      </c>
      <c r="AK53" s="11">
        <f t="shared" ref="AK53" si="603">AK52-AK50</f>
        <v>13536</v>
      </c>
      <c r="AL53" s="11">
        <f t="shared" ref="AL53" si="604">AL52-AL50</f>
        <v>-38392</v>
      </c>
      <c r="AM53" s="11">
        <f t="shared" ref="AM53" si="605">AM52-AM50</f>
        <v>0</v>
      </c>
      <c r="AN53" s="11">
        <f t="shared" ref="AN53" si="606">AN52-AN50</f>
        <v>-3437</v>
      </c>
      <c r="AO53" s="9">
        <f t="shared" ref="AO53" si="607">AO52-AO50</f>
        <v>42039</v>
      </c>
      <c r="AP53" s="11">
        <f t="shared" ref="AP53" si="608">AP52-AP50</f>
        <v>-9639</v>
      </c>
      <c r="AQ53" s="10">
        <f t="shared" ref="AQ53" si="609">AQ52-AQ50</f>
        <v>14547</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-2</v>
      </c>
      <c r="AX53" s="11">
        <f t="shared" ref="AX53" si="616">AX52-AX50</f>
        <v>-22</v>
      </c>
      <c r="AY53" s="11">
        <f t="shared" ref="AY53" si="617">AY52-AY50</f>
        <v>0</v>
      </c>
      <c r="AZ53" s="11">
        <f t="shared" ref="AZ53" si="618">AZ52-AZ50</f>
        <v>0</v>
      </c>
      <c r="BA53" s="11">
        <f t="shared" ref="BA53" si="619">BA52-BA50</f>
        <v>0</v>
      </c>
      <c r="BB53" s="10">
        <f t="shared" ref="BB53" si="620">BB52-BB50</f>
        <v>0</v>
      </c>
      <c r="BC53" s="11">
        <f t="shared" ref="BC53" si="621">BC52-BC50</f>
        <v>-479</v>
      </c>
      <c r="BD53" s="11">
        <f t="shared" ref="BD53" si="622">BD52-BD50</f>
        <v>-478</v>
      </c>
      <c r="BE53" s="11">
        <f t="shared" ref="BE53" si="623">BE52-BE50</f>
        <v>0</v>
      </c>
      <c r="BF53" s="11">
        <f t="shared" ref="BF53" si="624">BF52-BF50</f>
        <v>8470</v>
      </c>
      <c r="BG53" s="11">
        <f t="shared" ref="BG53:BH53" si="625">BG52-BG50</f>
        <v>-30606</v>
      </c>
      <c r="BH53" s="9">
        <f t="shared" si="625"/>
        <v>-6361</v>
      </c>
      <c r="BI53" s="45">
        <f t="shared" ref="BI53" si="626">BI52-BI50</f>
        <v>-71150</v>
      </c>
      <c r="BJ53" s="11">
        <f t="shared" ref="BJ53:BK53" si="627">BJ52-BJ50</f>
        <v>-5043</v>
      </c>
      <c r="BK53" s="51">
        <f t="shared" si="627"/>
        <v>-66107</v>
      </c>
      <c r="BM53" s="30">
        <f t="shared" si="572"/>
        <v>-1318</v>
      </c>
    </row>
    <row r="54" spans="1:65" ht="15.75" x14ac:dyDescent="0.25">
      <c r="A54" s="130"/>
      <c r="B54" s="5" t="s">
        <v>133</v>
      </c>
      <c r="C54" s="13">
        <f>C53/C50</f>
        <v>-7.2232250537981921E-2</v>
      </c>
      <c r="D54" s="13">
        <f t="shared" ref="D54" si="628">D53/D50</f>
        <v>-7.9302670623145402E-2</v>
      </c>
      <c r="E54" s="13" t="e">
        <f t="shared" ref="E54" si="629">E53/E50</f>
        <v>#DIV/0!</v>
      </c>
      <c r="F54" s="13">
        <f t="shared" ref="F54" si="630">F53/F50</f>
        <v>-0.14550598241314688</v>
      </c>
      <c r="G54" s="13">
        <f t="shared" ref="G54" si="631">G53/G50</f>
        <v>-0.15783247177429724</v>
      </c>
      <c r="H54" s="13" t="e">
        <f t="shared" ref="H54" si="632">H53/H50</f>
        <v>#DIV/0!</v>
      </c>
      <c r="I54" s="13" t="e">
        <f t="shared" ref="I54" si="633">I53/I50</f>
        <v>#DIV/0!</v>
      </c>
      <c r="J54" s="13">
        <f t="shared" ref="J54" si="634">J53/J50</f>
        <v>-0.20448548812664907</v>
      </c>
      <c r="K54" s="13">
        <f t="shared" ref="K54" si="635">K53/K50</f>
        <v>-0.56438356164383563</v>
      </c>
      <c r="L54" s="13">
        <f t="shared" ref="L54" si="636">L53/L50</f>
        <v>-0.30584881756756754</v>
      </c>
      <c r="M54" s="13">
        <f t="shared" ref="M54" si="637">M53/M50</f>
        <v>-0.7025244376957388</v>
      </c>
      <c r="N54" s="13">
        <f t="shared" ref="N54" si="638">N53/N50</f>
        <v>-0.52542372881355937</v>
      </c>
      <c r="O54" s="13">
        <f t="shared" ref="O54" si="639">O53/O50</f>
        <v>-0.66293614219881503</v>
      </c>
      <c r="P54" s="13">
        <f t="shared" ref="P54" si="640">P53/P50</f>
        <v>0.33844415063760824</v>
      </c>
      <c r="Q54" s="13" t="e">
        <f t="shared" ref="Q54" si="641">Q53/Q50</f>
        <v>#DIV/0!</v>
      </c>
      <c r="R54" s="13">
        <f t="shared" ref="R54" si="642">R53/R50</f>
        <v>-0.38932980599647266</v>
      </c>
      <c r="S54" s="13" t="e">
        <f t="shared" ref="S54" si="643">S53/S50</f>
        <v>#DIV/0!</v>
      </c>
      <c r="T54" s="13" t="e">
        <f t="shared" ref="T54:U54" si="644">T53/T50</f>
        <v>#DIV/0!</v>
      </c>
      <c r="U54" s="13" t="e">
        <f t="shared" si="644"/>
        <v>#DIV/0!</v>
      </c>
      <c r="V54" s="165">
        <f t="shared" ref="V54" si="645">V53/V50</f>
        <v>2.3393763596809283</v>
      </c>
      <c r="W54" s="13" t="e">
        <f t="shared" ref="W54" si="646">W53/W50</f>
        <v>#DIV/0!</v>
      </c>
      <c r="X54" s="13" t="e">
        <f t="shared" ref="X54" si="647">X53/X50</f>
        <v>#DIV/0!</v>
      </c>
      <c r="Y54" s="13">
        <f t="shared" ref="Y54" si="648">Y53/Y50</f>
        <v>4.7410130718954244</v>
      </c>
      <c r="Z54" s="13">
        <f t="shared" ref="Z54" si="649">Z53/Z50</f>
        <v>4.5476190476190474</v>
      </c>
      <c r="AA54" s="13">
        <f t="shared" ref="AA54:AD54" si="650">AA53/AA50</f>
        <v>1.6089385474860336</v>
      </c>
      <c r="AB54" s="13">
        <f t="shared" ref="AB54" si="651">AB53/AB50</f>
        <v>-1</v>
      </c>
      <c r="AC54" s="14" t="e">
        <f t="shared" si="650"/>
        <v>#DIV/0!</v>
      </c>
      <c r="AD54" s="13">
        <f t="shared" si="650"/>
        <v>-7.007822403745062E-2</v>
      </c>
      <c r="AE54" s="13">
        <f t="shared" ref="AE54" si="652">AE53/AE50</f>
        <v>-0.16983523447401774</v>
      </c>
      <c r="AF54" s="13">
        <f t="shared" ref="AF54" si="653">AF53/AF50</f>
        <v>-0.39787102746066028</v>
      </c>
      <c r="AG54" s="13">
        <f t="shared" ref="AG54" si="654">AG53/AG50</f>
        <v>0.74185765983112184</v>
      </c>
      <c r="AH54" s="13" t="e">
        <f t="shared" ref="AH54" si="655">AH53/AH50</f>
        <v>#DIV/0!</v>
      </c>
      <c r="AI54" s="13" t="e">
        <f t="shared" ref="AI54" si="656">AI53/AI50</f>
        <v>#DIV/0!</v>
      </c>
      <c r="AJ54" s="13">
        <f t="shared" ref="AJ54" si="657">AJ53/AJ50</f>
        <v>9.0909090909090917</v>
      </c>
      <c r="AK54" s="13">
        <f t="shared" ref="AK54" si="658">AK53/AK50</f>
        <v>0.17343395646213181</v>
      </c>
      <c r="AL54" s="13">
        <f t="shared" ref="AL54" si="659">AL53/AL50</f>
        <v>-0.45432706531129075</v>
      </c>
      <c r="AM54" s="13" t="e">
        <f t="shared" ref="AM54" si="660">AM53/AM50</f>
        <v>#DIV/0!</v>
      </c>
      <c r="AN54" s="13">
        <f t="shared" ref="AN54" si="661">AN53/AN50</f>
        <v>-0.87189244038559111</v>
      </c>
      <c r="AO54" s="165">
        <f t="shared" ref="AO54" si="662">AO53/AO50</f>
        <v>0.25873815986262672</v>
      </c>
      <c r="AP54" s="13">
        <f t="shared" ref="AP54" si="663">AP53/AP50</f>
        <v>-0.45240777245846242</v>
      </c>
      <c r="AQ54" s="14">
        <f t="shared" ref="AQ54" si="664">AQ53/AQ50</f>
        <v>121.22499999999999</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-1</v>
      </c>
      <c r="AX54" s="13">
        <f t="shared" ref="AX54" si="671">AX53/AX50</f>
        <v>-1</v>
      </c>
      <c r="AY54" s="13" t="e">
        <f t="shared" ref="AY54" si="672">AY53/AY50</f>
        <v>#DIV/0!</v>
      </c>
      <c r="AZ54" s="13" t="e">
        <f t="shared" ref="AZ54" si="673">AZ53/AZ50</f>
        <v>#DIV/0!</v>
      </c>
      <c r="BA54" s="13" t="e">
        <f t="shared" ref="BA54" si="674">BA53/BA50</f>
        <v>#DIV/0!</v>
      </c>
      <c r="BB54" s="14" t="e">
        <f t="shared" ref="BB54" si="675">BB53/BB50</f>
        <v>#DIV/0!</v>
      </c>
      <c r="BC54" s="13">
        <f t="shared" ref="BC54" si="676">BC53/BC50</f>
        <v>-6.9906596614127264E-2</v>
      </c>
      <c r="BD54" s="13">
        <f t="shared" ref="BD54" si="677">BD53/BD50</f>
        <v>-6.9770836374251938E-2</v>
      </c>
      <c r="BE54" s="13" t="e">
        <f t="shared" ref="BE54" si="678">BE53/BE50</f>
        <v>#DIV/0!</v>
      </c>
      <c r="BF54" s="13">
        <f t="shared" ref="BF54" si="679">BF53/BF50</f>
        <v>0.68455507960882567</v>
      </c>
      <c r="BG54" s="13">
        <f t="shared" ref="BG54:BH54" si="680">BG53/BG50</f>
        <v>-0.42207022092285629</v>
      </c>
      <c r="BH54" s="165">
        <f t="shared" si="680"/>
        <v>-1.3915048421568434E-2</v>
      </c>
      <c r="BI54" s="46">
        <f t="shared" ref="BI54" si="681">BI53/BI50</f>
        <v>-5.1496212875138871E-2</v>
      </c>
      <c r="BJ54" s="13">
        <f t="shared" ref="BJ54:BK54" si="682">BJ53/BJ50</f>
        <v>-0.23520358192248497</v>
      </c>
      <c r="BK54" s="52">
        <f t="shared" si="682"/>
        <v>-4.8600440812989719E-2</v>
      </c>
      <c r="BM54" s="165" t="e">
        <f t="shared" ref="BM54" si="683">BM53/BM50</f>
        <v>#DIV/0!</v>
      </c>
    </row>
    <row r="55" spans="1:65" ht="15.75" x14ac:dyDescent="0.25">
      <c r="A55" s="130"/>
      <c r="B55" s="5" t="s">
        <v>134</v>
      </c>
      <c r="C55" s="11">
        <f>C52-C51</f>
        <v>-19247</v>
      </c>
      <c r="D55" s="11">
        <f t="shared" ref="D55:BK55" si="684">D52-D51</f>
        <v>-1809</v>
      </c>
      <c r="E55" s="11">
        <f t="shared" si="684"/>
        <v>-86</v>
      </c>
      <c r="F55" s="11">
        <f t="shared" si="684"/>
        <v>-798</v>
      </c>
      <c r="G55" s="11">
        <f t="shared" si="684"/>
        <v>-649</v>
      </c>
      <c r="H55" s="11">
        <f t="shared" si="684"/>
        <v>0</v>
      </c>
      <c r="I55" s="11">
        <f t="shared" si="684"/>
        <v>0</v>
      </c>
      <c r="J55" s="11">
        <f t="shared" si="684"/>
        <v>-996</v>
      </c>
      <c r="K55" s="11">
        <f t="shared" si="684"/>
        <v>146</v>
      </c>
      <c r="L55" s="11">
        <f t="shared" si="684"/>
        <v>-3111</v>
      </c>
      <c r="M55" s="11">
        <f t="shared" si="684"/>
        <v>-3939</v>
      </c>
      <c r="N55" s="11">
        <f t="shared" si="684"/>
        <v>10</v>
      </c>
      <c r="O55" s="11">
        <f t="shared" si="684"/>
        <v>-512</v>
      </c>
      <c r="P55" s="11">
        <f t="shared" si="684"/>
        <v>5754</v>
      </c>
      <c r="Q55" s="11">
        <f t="shared" si="684"/>
        <v>0</v>
      </c>
      <c r="R55" s="11">
        <f t="shared" si="684"/>
        <v>774</v>
      </c>
      <c r="S55" s="11">
        <f t="shared" si="684"/>
        <v>0</v>
      </c>
      <c r="T55" s="11">
        <f t="shared" si="684"/>
        <v>0</v>
      </c>
      <c r="U55" s="11">
        <f t="shared" ref="U55" si="685">U52-U51</f>
        <v>0</v>
      </c>
      <c r="V55" s="9">
        <f t="shared" si="684"/>
        <v>-71823</v>
      </c>
      <c r="W55" s="11">
        <f t="shared" si="684"/>
        <v>0</v>
      </c>
      <c r="X55" s="11">
        <f t="shared" si="684"/>
        <v>0</v>
      </c>
      <c r="Y55" s="11">
        <f t="shared" si="684"/>
        <v>4726</v>
      </c>
      <c r="Z55" s="11">
        <f t="shared" si="684"/>
        <v>583</v>
      </c>
      <c r="AA55" s="11">
        <f t="shared" si="684"/>
        <v>304</v>
      </c>
      <c r="AB55" s="11">
        <f t="shared" ref="AB55" si="686">AB52-AB51</f>
        <v>0</v>
      </c>
      <c r="AC55" s="10">
        <f t="shared" ref="AC55:AD55" si="687">AC52-AC51</f>
        <v>0</v>
      </c>
      <c r="AD55" s="11">
        <f t="shared" si="687"/>
        <v>-90673</v>
      </c>
      <c r="AE55" s="11">
        <f t="shared" si="684"/>
        <v>55</v>
      </c>
      <c r="AF55" s="11">
        <f t="shared" si="684"/>
        <v>-16461</v>
      </c>
      <c r="AG55" s="11">
        <f t="shared" si="684"/>
        <v>-662</v>
      </c>
      <c r="AH55" s="11">
        <f t="shared" si="684"/>
        <v>-18</v>
      </c>
      <c r="AI55" s="11">
        <f t="shared" si="684"/>
        <v>0</v>
      </c>
      <c r="AJ55" s="11">
        <f t="shared" si="684"/>
        <v>222</v>
      </c>
      <c r="AK55" s="11">
        <f t="shared" si="684"/>
        <v>152516</v>
      </c>
      <c r="AL55" s="11">
        <f t="shared" si="684"/>
        <v>-41869</v>
      </c>
      <c r="AM55" s="11">
        <f t="shared" si="684"/>
        <v>0</v>
      </c>
      <c r="AN55" s="11">
        <f t="shared" si="684"/>
        <v>-76</v>
      </c>
      <c r="AO55" s="9">
        <f t="shared" si="684"/>
        <v>22763</v>
      </c>
      <c r="AP55" s="11">
        <f t="shared" si="684"/>
        <v>25611</v>
      </c>
      <c r="AQ55" s="10">
        <f t="shared" si="684"/>
        <v>-3069</v>
      </c>
      <c r="AR55" s="11">
        <f t="shared" si="684"/>
        <v>0</v>
      </c>
      <c r="AS55" s="11">
        <f t="shared" si="684"/>
        <v>0</v>
      </c>
      <c r="AT55" s="11">
        <f t="shared" si="684"/>
        <v>0</v>
      </c>
      <c r="AU55" s="11">
        <f t="shared" si="684"/>
        <v>0</v>
      </c>
      <c r="AV55" s="11">
        <f t="shared" si="684"/>
        <v>0</v>
      </c>
      <c r="AW55" s="11">
        <f t="shared" si="684"/>
        <v>0</v>
      </c>
      <c r="AX55" s="11">
        <f t="shared" si="684"/>
        <v>0</v>
      </c>
      <c r="AY55" s="11">
        <f t="shared" si="684"/>
        <v>0</v>
      </c>
      <c r="AZ55" s="11">
        <f t="shared" si="684"/>
        <v>0</v>
      </c>
      <c r="BA55" s="11">
        <f t="shared" si="684"/>
        <v>0</v>
      </c>
      <c r="BB55" s="10">
        <f t="shared" si="684"/>
        <v>0</v>
      </c>
      <c r="BC55" s="11">
        <f t="shared" si="684"/>
        <v>-822</v>
      </c>
      <c r="BD55" s="11">
        <f t="shared" si="684"/>
        <v>-822</v>
      </c>
      <c r="BE55" s="11">
        <f t="shared" si="684"/>
        <v>0</v>
      </c>
      <c r="BF55" s="11">
        <f t="shared" si="684"/>
        <v>4164</v>
      </c>
      <c r="BG55" s="11">
        <f t="shared" si="684"/>
        <v>-45328</v>
      </c>
      <c r="BH55" s="9">
        <f t="shared" si="684"/>
        <v>96204</v>
      </c>
      <c r="BI55" s="45">
        <f t="shared" si="684"/>
        <v>5531</v>
      </c>
      <c r="BJ55" s="11">
        <f t="shared" si="684"/>
        <v>14795</v>
      </c>
      <c r="BK55" s="51">
        <f t="shared" si="684"/>
        <v>-9264</v>
      </c>
      <c r="BM55" s="30">
        <f t="shared" si="572"/>
        <v>81409</v>
      </c>
    </row>
    <row r="56" spans="1:65" ht="15.75" x14ac:dyDescent="0.25">
      <c r="A56" s="130"/>
      <c r="B56" s="5" t="s">
        <v>135</v>
      </c>
      <c r="C56" s="13">
        <f>C55/C51</f>
        <v>-3.1669584561920809E-2</v>
      </c>
      <c r="D56" s="13">
        <f t="shared" ref="D56" si="688">D55/D51</f>
        <v>-1.7893706044689754E-2</v>
      </c>
      <c r="E56" s="13">
        <f t="shared" ref="E56" si="689">E55/E51</f>
        <v>-0.3269961977186312</v>
      </c>
      <c r="F56" s="13">
        <f t="shared" ref="F56" si="690">F55/F51</f>
        <v>-1.654949293846824E-2</v>
      </c>
      <c r="G56" s="13">
        <f t="shared" ref="G56" si="691">G55/G51</f>
        <v>-1.9434047013025903E-2</v>
      </c>
      <c r="H56" s="13" t="e">
        <f t="shared" ref="H56" si="692">H55/H51</f>
        <v>#DIV/0!</v>
      </c>
      <c r="I56" s="13" t="e">
        <f t="shared" ref="I56" si="693">I55/I51</f>
        <v>#DIV/0!</v>
      </c>
      <c r="J56" s="13">
        <f t="shared" ref="J56" si="694">J55/J51</f>
        <v>-0.62288930581613511</v>
      </c>
      <c r="K56" s="13">
        <f t="shared" ref="K56" si="695">K55/K51</f>
        <v>11.23076923076923</v>
      </c>
      <c r="L56" s="13">
        <f t="shared" ref="L56" si="696">L55/L51</f>
        <v>-0.32118521577534587</v>
      </c>
      <c r="M56" s="13">
        <f t="shared" ref="M56" si="697">M55/M51</f>
        <v>-0.38587382445141066</v>
      </c>
      <c r="N56" s="13">
        <f t="shared" ref="N56" si="698">N55/N51</f>
        <v>0.55555555555555558</v>
      </c>
      <c r="O56" s="13">
        <f t="shared" ref="O56" si="699">O55/O51</f>
        <v>-0.33333333333333331</v>
      </c>
      <c r="P56" s="13">
        <f t="shared" ref="P56" si="700">P55/P51</f>
        <v>0.1009278911087334</v>
      </c>
      <c r="Q56" s="13" t="e">
        <f t="shared" ref="Q56" si="701">Q55/Q51</f>
        <v>#DIV/0!</v>
      </c>
      <c r="R56" s="13">
        <f t="shared" ref="R56" si="702">R55/R51</f>
        <v>1.2667757774140753</v>
      </c>
      <c r="S56" s="13" t="e">
        <f t="shared" ref="S56" si="703">S55/S51</f>
        <v>#DIV/0!</v>
      </c>
      <c r="T56" s="13" t="e">
        <f t="shared" ref="T56:U56" si="704">T55/T51</f>
        <v>#DIV/0!</v>
      </c>
      <c r="U56" s="13" t="e">
        <f t="shared" si="704"/>
        <v>#DIV/0!</v>
      </c>
      <c r="V56" s="165">
        <f t="shared" ref="V56" si="705">V55/V51</f>
        <v>-0.93974721306327524</v>
      </c>
      <c r="W56" s="13" t="e">
        <f t="shared" ref="W56" si="706">W55/W51</f>
        <v>#DIV/0!</v>
      </c>
      <c r="X56" s="13" t="e">
        <f t="shared" ref="X56" si="707">X55/X51</f>
        <v>#DIV/0!</v>
      </c>
      <c r="Y56" s="13">
        <f t="shared" ref="Y56" si="708">Y55/Y51</f>
        <v>2.0538896132116471</v>
      </c>
      <c r="Z56" s="13">
        <f t="shared" ref="Z56" si="709">Z55/Z51</f>
        <v>5.0258620689655169</v>
      </c>
      <c r="AA56" s="13">
        <f t="shared" ref="AA56:AD56" si="710">AA55/AA51</f>
        <v>1.8650306748466257</v>
      </c>
      <c r="AB56" s="13" t="e">
        <f t="shared" ref="AB56" si="711">AB55/AB51</f>
        <v>#DIV/0!</v>
      </c>
      <c r="AC56" s="14" t="e">
        <f t="shared" si="710"/>
        <v>#DIV/0!</v>
      </c>
      <c r="AD56" s="13">
        <f t="shared" si="710"/>
        <v>-9.5404289526182434E-2</v>
      </c>
      <c r="AE56" s="13">
        <f t="shared" ref="AE56" si="712">AE55/AE51</f>
        <v>9.166666666666666E-2</v>
      </c>
      <c r="AF56" s="13">
        <f t="shared" ref="AF56" si="713">AF55/AF51</f>
        <v>-0.80833824395992926</v>
      </c>
      <c r="AG56" s="13">
        <f t="shared" ref="AG56" si="714">AG55/AG51</f>
        <v>-0.31433998100664767</v>
      </c>
      <c r="AH56" s="13">
        <f t="shared" ref="AH56" si="715">AH55/AH51</f>
        <v>-1</v>
      </c>
      <c r="AI56" s="13" t="e">
        <f t="shared" ref="AI56" si="716">AI55/AI51</f>
        <v>#DIV/0!</v>
      </c>
      <c r="AJ56" s="13" t="e">
        <f t="shared" ref="AJ56" si="717">AJ55/AJ51</f>
        <v>#DIV/0!</v>
      </c>
      <c r="AK56" s="13">
        <f t="shared" ref="AK56" si="718">AK55/AK51</f>
        <v>-2.5030115044393022</v>
      </c>
      <c r="AL56" s="13">
        <f t="shared" ref="AL56" si="719">AL55/AL51</f>
        <v>-0.47589224823823595</v>
      </c>
      <c r="AM56" s="13" t="e">
        <f t="shared" ref="AM56" si="720">AM55/AM51</f>
        <v>#DIV/0!</v>
      </c>
      <c r="AN56" s="13">
        <f t="shared" ref="AN56" si="721">AN55/AN51</f>
        <v>-0.13080895008605853</v>
      </c>
      <c r="AO56" s="165">
        <f t="shared" ref="AO56" si="722">AO55/AO51</f>
        <v>0.1252413990415564</v>
      </c>
      <c r="AP56" s="13">
        <f t="shared" ref="AP56" si="723">AP55/AP51</f>
        <v>-1.8367039586919105</v>
      </c>
      <c r="AQ56" s="14">
        <f t="shared" ref="AQ56" si="724">AQ55/AQ51</f>
        <v>-0.17303788903924222</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t="e">
        <f t="shared" ref="AX56" si="731">AX55/AX51</f>
        <v>#DIV/0!</v>
      </c>
      <c r="AY56" s="13" t="e">
        <f t="shared" ref="AY56" si="732">AY55/AY51</f>
        <v>#DIV/0!</v>
      </c>
      <c r="AZ56" s="13" t="e">
        <f t="shared" ref="AZ56" si="733">AZ55/AZ51</f>
        <v>#DIV/0!</v>
      </c>
      <c r="BA56" s="13" t="e">
        <f t="shared" ref="BA56" si="734">BA55/BA51</f>
        <v>#DIV/0!</v>
      </c>
      <c r="BB56" s="14" t="e">
        <f t="shared" ref="BB56" si="735">BB55/BB51</f>
        <v>#DIV/0!</v>
      </c>
      <c r="BC56" s="13">
        <f t="shared" ref="BC56" si="736">BC55/BC51</f>
        <v>-0.1142460041695622</v>
      </c>
      <c r="BD56" s="13">
        <f t="shared" ref="BD56" si="737">BD55/BD51</f>
        <v>-0.1142460041695622</v>
      </c>
      <c r="BE56" s="13" t="e">
        <f t="shared" ref="BE56" si="738">BE55/BE51</f>
        <v>#DIV/0!</v>
      </c>
      <c r="BF56" s="13">
        <f t="shared" ref="BF56" si="739">BF55/BF51</f>
        <v>0.24965525511121769</v>
      </c>
      <c r="BG56" s="13">
        <f t="shared" ref="BG56:BH56" si="740">BG55/BG51</f>
        <v>-0.51960199917465266</v>
      </c>
      <c r="BH56" s="165">
        <f t="shared" si="740"/>
        <v>0.27132889222316858</v>
      </c>
      <c r="BI56" s="46">
        <f t="shared" ref="BI56" si="741">BI55/BI51</f>
        <v>4.2383986194360962E-3</v>
      </c>
      <c r="BJ56" s="13">
        <f t="shared" ref="BJ56:BK56" si="742">BJ55/BJ51</f>
        <v>9.2295695570804739</v>
      </c>
      <c r="BK56" s="52">
        <f t="shared" si="742"/>
        <v>-7.1077229737350305E-3</v>
      </c>
      <c r="BM56" s="14">
        <f t="shared" ref="BM56" si="743">BM55/BM51</f>
        <v>0.23064457181064305</v>
      </c>
    </row>
    <row r="57" spans="1:65" ht="15.75" x14ac:dyDescent="0.25">
      <c r="A57" s="130"/>
      <c r="B57" s="5" t="s">
        <v>210</v>
      </c>
      <c r="C57" s="128">
        <f>C52/C49</f>
        <v>0.24121932584490727</v>
      </c>
      <c r="D57" s="128">
        <f t="shared" ref="D57:BK57" si="744">D52/D49</f>
        <v>0.23937970740551434</v>
      </c>
      <c r="E57" s="128">
        <f t="shared" si="744"/>
        <v>1.4964617556793682E-3</v>
      </c>
      <c r="F57" s="128">
        <f t="shared" si="744"/>
        <v>0.22216756384488889</v>
      </c>
      <c r="G57" s="128">
        <f t="shared" si="744"/>
        <v>0.21894452504964462</v>
      </c>
      <c r="H57" s="128" t="e">
        <f t="shared" si="744"/>
        <v>#DIV/0!</v>
      </c>
      <c r="I57" s="128" t="e">
        <f t="shared" si="744"/>
        <v>#DIV/0!</v>
      </c>
      <c r="J57" s="128">
        <f t="shared" si="744"/>
        <v>0.20693205216197666</v>
      </c>
      <c r="K57" s="128">
        <f t="shared" si="744"/>
        <v>0.11332858161083392</v>
      </c>
      <c r="L57" s="128">
        <f t="shared" si="744"/>
        <v>0.18053267435475015</v>
      </c>
      <c r="M57" s="128">
        <f t="shared" si="744"/>
        <v>7.7342545185367956E-2</v>
      </c>
      <c r="N57" s="128">
        <f t="shared" si="744"/>
        <v>0.12444444444444444</v>
      </c>
      <c r="O57" s="128">
        <f t="shared" si="744"/>
        <v>8.7588743477888975E-2</v>
      </c>
      <c r="P57" s="128">
        <f t="shared" si="744"/>
        <v>0.34801002472914377</v>
      </c>
      <c r="Q57" s="128" t="e">
        <f t="shared" si="744"/>
        <v>#DIV/0!</v>
      </c>
      <c r="R57" s="128">
        <f t="shared" si="744"/>
        <v>0.15868469294225482</v>
      </c>
      <c r="S57" s="128" t="e">
        <f t="shared" si="744"/>
        <v>#DIV/0!</v>
      </c>
      <c r="T57" s="128" t="e">
        <f t="shared" si="744"/>
        <v>#DIV/0!</v>
      </c>
      <c r="U57" s="128" t="e">
        <f t="shared" si="744"/>
        <v>#DIV/0!</v>
      </c>
      <c r="V57" s="180">
        <f t="shared" si="744"/>
        <v>0.86804901036757776</v>
      </c>
      <c r="W57" s="128" t="e">
        <f t="shared" si="744"/>
        <v>#DIV/0!</v>
      </c>
      <c r="X57" s="128" t="e">
        <f t="shared" si="744"/>
        <v>#DIV/0!</v>
      </c>
      <c r="Y57" s="128">
        <f t="shared" si="744"/>
        <v>1.4925658453695836</v>
      </c>
      <c r="Z57" s="128">
        <f t="shared" si="744"/>
        <v>1.450207468879668</v>
      </c>
      <c r="AA57" s="128">
        <f t="shared" si="744"/>
        <v>0.68075801749271136</v>
      </c>
      <c r="AB57" s="128">
        <f t="shared" ref="AB57" si="745">AB52/AB49</f>
        <v>0</v>
      </c>
      <c r="AC57" s="222" t="e">
        <f t="shared" si="744"/>
        <v>#DIV/0!</v>
      </c>
      <c r="AD57" s="128">
        <f t="shared" si="744"/>
        <v>0.23399568172112781</v>
      </c>
      <c r="AE57" s="128">
        <f t="shared" si="744"/>
        <v>0.21588661832564271</v>
      </c>
      <c r="AF57" s="128">
        <f t="shared" si="744"/>
        <v>0.15652069297401347</v>
      </c>
      <c r="AG57" s="128">
        <f t="shared" si="744"/>
        <v>0.45337519623233907</v>
      </c>
      <c r="AH57" s="128" t="e">
        <f t="shared" si="744"/>
        <v>#DIV/0!</v>
      </c>
      <c r="AI57" s="128" t="e">
        <f t="shared" si="744"/>
        <v>#DIV/0!</v>
      </c>
      <c r="AJ57" s="128">
        <f t="shared" si="744"/>
        <v>2.5813953488372094</v>
      </c>
      <c r="AK57" s="128">
        <f t="shared" si="744"/>
        <v>0.30509259413487194</v>
      </c>
      <c r="AL57" s="128">
        <f t="shared" si="744"/>
        <v>0.14187563459585859</v>
      </c>
      <c r="AM57" s="128" t="e">
        <f t="shared" si="744"/>
        <v>#DIV/0!</v>
      </c>
      <c r="AN57" s="128">
        <f t="shared" si="744"/>
        <v>3.3304754995713247E-2</v>
      </c>
      <c r="AO57" s="180">
        <f t="shared" si="744"/>
        <v>0.32727534585256957</v>
      </c>
      <c r="AP57" s="128">
        <f t="shared" si="744"/>
        <v>0.14237250906073437</v>
      </c>
      <c r="AQ57" s="222">
        <f t="shared" si="744"/>
        <v>31.884782608695652</v>
      </c>
      <c r="AR57" s="128" t="e">
        <f t="shared" si="744"/>
        <v>#DIV/0!</v>
      </c>
      <c r="AS57" s="128" t="e">
        <f t="shared" si="744"/>
        <v>#DIV/0!</v>
      </c>
      <c r="AT57" s="128" t="e">
        <f t="shared" si="744"/>
        <v>#DIV/0!</v>
      </c>
      <c r="AU57" s="128" t="e">
        <f t="shared" si="744"/>
        <v>#DIV/0!</v>
      </c>
      <c r="AV57" s="128" t="e">
        <f t="shared" si="744"/>
        <v>#DIV/0!</v>
      </c>
      <c r="AW57" s="128">
        <f t="shared" si="744"/>
        <v>0</v>
      </c>
      <c r="AX57" s="128">
        <f t="shared" si="744"/>
        <v>0</v>
      </c>
      <c r="AY57" s="128" t="e">
        <f t="shared" si="744"/>
        <v>#DIV/0!</v>
      </c>
      <c r="AZ57" s="128" t="e">
        <f t="shared" si="744"/>
        <v>#DIV/0!</v>
      </c>
      <c r="BA57" s="128" t="e">
        <f t="shared" si="744"/>
        <v>#DIV/0!</v>
      </c>
      <c r="BB57" s="222" t="e">
        <f t="shared" si="744"/>
        <v>#DIV/0!</v>
      </c>
      <c r="BC57" s="128">
        <f t="shared" si="744"/>
        <v>0.24182287318813084</v>
      </c>
      <c r="BD57" s="128">
        <f t="shared" si="744"/>
        <v>0.24184122647237402</v>
      </c>
      <c r="BE57" s="128" t="e">
        <f t="shared" si="744"/>
        <v>#DIV/0!</v>
      </c>
      <c r="BF57" s="128">
        <f t="shared" si="744"/>
        <v>0.43799777250089311</v>
      </c>
      <c r="BG57" s="128">
        <f t="shared" si="744"/>
        <v>0.15026605280897265</v>
      </c>
      <c r="BH57" s="180">
        <f t="shared" si="744"/>
        <v>0.25638356806390222</v>
      </c>
      <c r="BI57" s="128">
        <f t="shared" si="744"/>
        <v>0.24124156555146176</v>
      </c>
      <c r="BJ57" s="128">
        <f t="shared" si="744"/>
        <v>0.19120579284290062</v>
      </c>
      <c r="BK57" s="128">
        <f t="shared" si="744"/>
        <v>0.24204415762318074</v>
      </c>
      <c r="BM57" s="128" t="e">
        <f t="shared" ref="BM57" si="746">BM52/BM49</f>
        <v>#DIV/0!</v>
      </c>
    </row>
    <row r="58" spans="1:65" s="183" customFormat="1" ht="15.75" x14ac:dyDescent="0.25">
      <c r="A58" s="130"/>
      <c r="B58" s="5" t="s">
        <v>329</v>
      </c>
      <c r="C58" s="11">
        <f>C52-C49</f>
        <v>-1851179</v>
      </c>
      <c r="D58" s="11">
        <f t="shared" ref="D58:BM58" si="747">D52-D49</f>
        <v>-315484</v>
      </c>
      <c r="E58" s="11">
        <f t="shared" si="747"/>
        <v>-118102</v>
      </c>
      <c r="F58" s="11">
        <f t="shared" si="747"/>
        <v>-166026</v>
      </c>
      <c r="G58" s="11">
        <f t="shared" si="747"/>
        <v>-116817</v>
      </c>
      <c r="H58" s="11">
        <f t="shared" si="747"/>
        <v>0</v>
      </c>
      <c r="I58" s="11">
        <f t="shared" si="747"/>
        <v>0</v>
      </c>
      <c r="J58" s="11">
        <f t="shared" si="747"/>
        <v>-2311</v>
      </c>
      <c r="K58" s="11">
        <f t="shared" si="747"/>
        <v>-1244</v>
      </c>
      <c r="L58" s="11">
        <f t="shared" si="747"/>
        <v>-29845</v>
      </c>
      <c r="M58" s="11">
        <f t="shared" si="747"/>
        <v>-74786</v>
      </c>
      <c r="N58" s="11">
        <f t="shared" si="747"/>
        <v>-197</v>
      </c>
      <c r="O58" s="11">
        <f t="shared" si="747"/>
        <v>-10667</v>
      </c>
      <c r="P58" s="11">
        <f t="shared" si="747"/>
        <v>-117589</v>
      </c>
      <c r="Q58" s="11">
        <f t="shared" si="747"/>
        <v>0</v>
      </c>
      <c r="R58" s="11">
        <f t="shared" si="747"/>
        <v>-7343</v>
      </c>
      <c r="S58" s="11">
        <f t="shared" si="747"/>
        <v>0</v>
      </c>
      <c r="T58" s="11">
        <f t="shared" si="747"/>
        <v>0</v>
      </c>
      <c r="U58" s="11">
        <f t="shared" si="747"/>
        <v>0</v>
      </c>
      <c r="V58" s="9">
        <f t="shared" si="747"/>
        <v>-700</v>
      </c>
      <c r="W58" s="11">
        <f t="shared" si="747"/>
        <v>0</v>
      </c>
      <c r="X58" s="11">
        <f t="shared" si="747"/>
        <v>0</v>
      </c>
      <c r="Y58" s="11">
        <f t="shared" si="747"/>
        <v>2319</v>
      </c>
      <c r="Z58" s="11">
        <f t="shared" si="747"/>
        <v>217</v>
      </c>
      <c r="AA58" s="11">
        <f t="shared" si="747"/>
        <v>-219</v>
      </c>
      <c r="AB58" s="11">
        <f t="shared" ref="AB58" si="748">AB52-AB49</f>
        <v>-4441</v>
      </c>
      <c r="AC58" s="10">
        <f t="shared" si="747"/>
        <v>0</v>
      </c>
      <c r="AD58" s="11">
        <f t="shared" si="747"/>
        <v>-2814414</v>
      </c>
      <c r="AE58" s="11">
        <f t="shared" si="747"/>
        <v>-2379</v>
      </c>
      <c r="AF58" s="11">
        <f t="shared" si="747"/>
        <v>-21033</v>
      </c>
      <c r="AG58" s="11">
        <f t="shared" si="747"/>
        <v>-1741</v>
      </c>
      <c r="AH58" s="11">
        <f t="shared" si="747"/>
        <v>0</v>
      </c>
      <c r="AI58" s="11">
        <f t="shared" si="747"/>
        <v>0</v>
      </c>
      <c r="AJ58" s="11">
        <f t="shared" si="747"/>
        <v>136</v>
      </c>
      <c r="AK58" s="11">
        <f t="shared" si="747"/>
        <v>-208598</v>
      </c>
      <c r="AL58" s="11">
        <f t="shared" si="747"/>
        <v>-278899</v>
      </c>
      <c r="AM58" s="11">
        <f t="shared" si="747"/>
        <v>0</v>
      </c>
      <c r="AN58" s="11">
        <f t="shared" si="747"/>
        <v>-14658</v>
      </c>
      <c r="AO58" s="9">
        <f t="shared" si="747"/>
        <v>-420389</v>
      </c>
      <c r="AP58" s="11">
        <f t="shared" si="747"/>
        <v>-70280</v>
      </c>
      <c r="AQ58" s="10">
        <f t="shared" si="747"/>
        <v>14207</v>
      </c>
      <c r="AR58" s="11">
        <f t="shared" si="747"/>
        <v>0</v>
      </c>
      <c r="AS58" s="11">
        <f t="shared" si="747"/>
        <v>0</v>
      </c>
      <c r="AT58" s="11">
        <f t="shared" si="747"/>
        <v>0</v>
      </c>
      <c r="AU58" s="11">
        <f t="shared" si="747"/>
        <v>0</v>
      </c>
      <c r="AV58" s="11">
        <f t="shared" si="747"/>
        <v>0</v>
      </c>
      <c r="AW58" s="11">
        <f t="shared" si="747"/>
        <v>-8</v>
      </c>
      <c r="AX58" s="11">
        <f t="shared" si="747"/>
        <v>-86</v>
      </c>
      <c r="AY58" s="11">
        <f t="shared" si="747"/>
        <v>0</v>
      </c>
      <c r="AZ58" s="11">
        <f t="shared" si="747"/>
        <v>0</v>
      </c>
      <c r="BA58" s="11">
        <f t="shared" si="747"/>
        <v>0</v>
      </c>
      <c r="BB58" s="10">
        <f t="shared" si="747"/>
        <v>0</v>
      </c>
      <c r="BC58" s="11">
        <f t="shared" si="747"/>
        <v>-19981</v>
      </c>
      <c r="BD58" s="11">
        <f t="shared" si="747"/>
        <v>-19979</v>
      </c>
      <c r="BE58" s="11">
        <f t="shared" si="747"/>
        <v>0</v>
      </c>
      <c r="BF58" s="11">
        <f t="shared" si="747"/>
        <v>-26744</v>
      </c>
      <c r="BG58" s="11">
        <f t="shared" si="747"/>
        <v>-236984</v>
      </c>
      <c r="BH58" s="11">
        <f t="shared" si="747"/>
        <v>-1307416</v>
      </c>
      <c r="BI58" s="11">
        <f t="shared" si="747"/>
        <v>-4121830</v>
      </c>
      <c r="BJ58" s="11">
        <f t="shared" si="747"/>
        <v>-69363</v>
      </c>
      <c r="BK58" s="11">
        <f t="shared" si="747"/>
        <v>-4052467</v>
      </c>
      <c r="BL58" s="11">
        <f t="shared" si="747"/>
        <v>1294101</v>
      </c>
      <c r="BM58" s="11">
        <f t="shared" si="747"/>
        <v>434372</v>
      </c>
    </row>
    <row r="59" spans="1:65" s="183" customFormat="1" ht="15.75" x14ac:dyDescent="0.2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6"/>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44"/>
      <c r="BJ59" s="5"/>
      <c r="BK59" s="50"/>
    </row>
    <row r="60" spans="1:65" ht="15.75" x14ac:dyDescent="0.25">
      <c r="A60" s="15" t="s">
        <v>140</v>
      </c>
      <c r="B60" s="229" t="s">
        <v>298</v>
      </c>
      <c r="C60" s="122">
        <v>4471179</v>
      </c>
      <c r="D60" s="122">
        <v>951403</v>
      </c>
      <c r="E60" s="122">
        <v>127709</v>
      </c>
      <c r="F60" s="122">
        <v>762898</v>
      </c>
      <c r="G60" s="122">
        <v>258171</v>
      </c>
      <c r="H60" s="122">
        <v>0</v>
      </c>
      <c r="I60" s="122">
        <v>0</v>
      </c>
      <c r="J60" s="122">
        <v>1423981</v>
      </c>
      <c r="K60" s="122">
        <v>51942</v>
      </c>
      <c r="L60" s="122">
        <v>150905</v>
      </c>
      <c r="M60" s="122">
        <v>308464</v>
      </c>
      <c r="N60" s="122">
        <v>645</v>
      </c>
      <c r="O60" s="122">
        <v>7105</v>
      </c>
      <c r="P60" s="122">
        <v>13288</v>
      </c>
      <c r="Q60" s="122">
        <v>0</v>
      </c>
      <c r="R60" s="122">
        <v>8777</v>
      </c>
      <c r="S60" s="122">
        <v>0</v>
      </c>
      <c r="T60" s="122">
        <v>0</v>
      </c>
      <c r="U60" s="122"/>
      <c r="V60" s="195">
        <v>0</v>
      </c>
      <c r="W60" s="122">
        <v>0</v>
      </c>
      <c r="X60" s="122">
        <v>0</v>
      </c>
      <c r="Y60" s="122">
        <v>764</v>
      </c>
      <c r="Z60" s="122">
        <v>248</v>
      </c>
      <c r="AA60" s="122">
        <v>4112</v>
      </c>
      <c r="AB60" s="122">
        <v>8148</v>
      </c>
      <c r="AC60" s="154">
        <v>0</v>
      </c>
      <c r="AD60" s="123">
        <f t="shared" ref="AD60:AD61" si="749">SUM(C60:AC60)</f>
        <v>8549739</v>
      </c>
      <c r="AE60" s="122">
        <v>2890</v>
      </c>
      <c r="AF60" s="122">
        <v>48</v>
      </c>
      <c r="AG60" s="122">
        <v>3914</v>
      </c>
      <c r="AH60" s="122">
        <v>0</v>
      </c>
      <c r="AI60" s="122">
        <v>0</v>
      </c>
      <c r="AJ60" s="122">
        <v>344</v>
      </c>
      <c r="AK60" s="122">
        <v>89585</v>
      </c>
      <c r="AL60" s="122">
        <v>59416</v>
      </c>
      <c r="AM60" s="122">
        <v>678059</v>
      </c>
      <c r="AN60" s="122">
        <v>14635</v>
      </c>
      <c r="AO60" s="195">
        <v>454981</v>
      </c>
      <c r="AP60" s="122">
        <v>1440</v>
      </c>
      <c r="AQ60" s="154">
        <v>0</v>
      </c>
      <c r="AR60" s="122">
        <v>0</v>
      </c>
      <c r="AS60" s="122"/>
      <c r="AT60" s="122"/>
      <c r="AU60" s="122">
        <v>0</v>
      </c>
      <c r="AV60" s="122"/>
      <c r="AW60" s="122">
        <v>1252</v>
      </c>
      <c r="AX60" s="122">
        <v>448</v>
      </c>
      <c r="AY60" s="122">
        <v>0</v>
      </c>
      <c r="AZ60" s="122">
        <v>0</v>
      </c>
      <c r="BA60" s="122">
        <v>0</v>
      </c>
      <c r="BB60" s="154">
        <v>0</v>
      </c>
      <c r="BC60" s="122">
        <v>21909</v>
      </c>
      <c r="BD60" s="122">
        <v>21909</v>
      </c>
      <c r="BE60" s="122">
        <v>0</v>
      </c>
      <c r="BF60" s="122">
        <v>22869</v>
      </c>
      <c r="BG60" s="122">
        <v>2</v>
      </c>
      <c r="BH60" s="9">
        <f>SUM(AE60:BG60)</f>
        <v>1373701</v>
      </c>
      <c r="BI60" s="127">
        <f>AD60+BH60</f>
        <v>9923440</v>
      </c>
      <c r="BJ60" s="98">
        <v>27610</v>
      </c>
      <c r="BK60" s="51">
        <f t="shared" ref="BK60:BK61" si="750">BI60-BJ60</f>
        <v>9895830</v>
      </c>
      <c r="BL60">
        <v>6</v>
      </c>
      <c r="BM60" s="30"/>
    </row>
    <row r="61" spans="1:65" s="41" customFormat="1" ht="15.75" x14ac:dyDescent="0.25">
      <c r="A61" s="136" t="s">
        <v>140</v>
      </c>
      <c r="B61" s="225" t="s">
        <v>326</v>
      </c>
      <c r="C61" s="10">
        <v>1162507</v>
      </c>
      <c r="D61" s="10">
        <v>247364</v>
      </c>
      <c r="E61" s="10">
        <v>0</v>
      </c>
      <c r="F61" s="10">
        <v>198353</v>
      </c>
      <c r="G61" s="10">
        <v>67123</v>
      </c>
      <c r="H61" s="10">
        <v>0</v>
      </c>
      <c r="I61" s="10">
        <v>0</v>
      </c>
      <c r="J61" s="10">
        <v>370237</v>
      </c>
      <c r="K61" s="10">
        <v>13505</v>
      </c>
      <c r="L61" s="10">
        <v>39235</v>
      </c>
      <c r="M61" s="10">
        <v>80203</v>
      </c>
      <c r="N61" s="10">
        <v>168</v>
      </c>
      <c r="O61" s="10">
        <v>1847</v>
      </c>
      <c r="P61" s="10">
        <v>3454</v>
      </c>
      <c r="Q61" s="10">
        <v>0</v>
      </c>
      <c r="R61" s="10">
        <v>2283</v>
      </c>
      <c r="S61" s="10">
        <v>0</v>
      </c>
      <c r="T61" s="10">
        <v>0</v>
      </c>
      <c r="U61" s="10"/>
      <c r="V61" s="10">
        <v>0</v>
      </c>
      <c r="W61" s="10">
        <v>0</v>
      </c>
      <c r="X61" s="10">
        <v>0</v>
      </c>
      <c r="Y61" s="10">
        <v>198</v>
      </c>
      <c r="Z61" s="10">
        <v>65</v>
      </c>
      <c r="AA61" s="10">
        <v>1070</v>
      </c>
      <c r="AB61" s="10">
        <v>2119</v>
      </c>
      <c r="AC61" s="9">
        <v>0</v>
      </c>
      <c r="AD61" s="123">
        <f t="shared" si="749"/>
        <v>2189731</v>
      </c>
      <c r="AE61" s="10">
        <v>751</v>
      </c>
      <c r="AF61" s="10">
        <v>12</v>
      </c>
      <c r="AG61" s="10">
        <v>1396</v>
      </c>
      <c r="AH61" s="10">
        <v>0</v>
      </c>
      <c r="AI61" s="10">
        <v>0</v>
      </c>
      <c r="AJ61" s="10">
        <v>90</v>
      </c>
      <c r="AK61" s="10">
        <v>23292</v>
      </c>
      <c r="AL61" s="10">
        <v>15449</v>
      </c>
      <c r="AM61" s="10">
        <v>176296</v>
      </c>
      <c r="AN61" s="10">
        <v>3805</v>
      </c>
      <c r="AO61" s="10">
        <v>118295</v>
      </c>
      <c r="AP61" s="10">
        <v>374</v>
      </c>
      <c r="AQ61" s="9">
        <v>0</v>
      </c>
      <c r="AR61" s="10">
        <v>0</v>
      </c>
      <c r="AS61" s="10"/>
      <c r="AT61" s="10"/>
      <c r="AU61" s="10">
        <v>0</v>
      </c>
      <c r="AV61" s="10"/>
      <c r="AW61" s="10">
        <v>325</v>
      </c>
      <c r="AX61" s="10">
        <v>117</v>
      </c>
      <c r="AY61" s="10">
        <v>0</v>
      </c>
      <c r="AZ61" s="10">
        <v>0</v>
      </c>
      <c r="BA61" s="10">
        <v>0</v>
      </c>
      <c r="BB61" s="10">
        <v>0</v>
      </c>
      <c r="BC61" s="10">
        <v>5697</v>
      </c>
      <c r="BD61" s="10">
        <v>5697</v>
      </c>
      <c r="BE61" s="10">
        <v>0</v>
      </c>
      <c r="BF61" s="10">
        <v>5946</v>
      </c>
      <c r="BG61" s="10">
        <v>-382</v>
      </c>
      <c r="BH61" s="9">
        <f>SUM(AE61:BG61)</f>
        <v>357160</v>
      </c>
      <c r="BI61" s="227">
        <f>AD61+BH61</f>
        <v>2546891</v>
      </c>
      <c r="BJ61" s="10">
        <v>6903</v>
      </c>
      <c r="BK61" s="10">
        <f t="shared" si="750"/>
        <v>2539988</v>
      </c>
      <c r="BM61" s="226"/>
    </row>
    <row r="62" spans="1:65" ht="15.75" x14ac:dyDescent="0.25">
      <c r="A62" s="130"/>
      <c r="B62" s="12" t="s">
        <v>324</v>
      </c>
      <c r="C62" s="9">
        <f>IF('Upto Month COPPY'!$G$4="",0,'Upto Month COPPY'!$G$4)</f>
        <v>1107962</v>
      </c>
      <c r="D62" s="9">
        <f>IF('Upto Month COPPY'!$G$5="",0,'Upto Month COPPY'!$G$5)</f>
        <v>227878</v>
      </c>
      <c r="E62" s="9">
        <f>IF('Upto Month COPPY'!$G$6="",0,'Upto Month COPPY'!$G$6)</f>
        <v>129</v>
      </c>
      <c r="F62" s="9">
        <f>IF('Upto Month COPPY'!$G$7="",0,'Upto Month COPPY'!$G$7)</f>
        <v>168038</v>
      </c>
      <c r="G62" s="9">
        <f>IF('Upto Month COPPY'!$G$8="",0,'Upto Month COPPY'!$G$8)</f>
        <v>58123</v>
      </c>
      <c r="H62" s="9">
        <f>IF('Upto Month COPPY'!$G$9="",0,'Upto Month COPPY'!$G$9)</f>
        <v>0</v>
      </c>
      <c r="I62" s="9">
        <f>IF('Upto Month COPPY'!$G$10="",0,'Upto Month COPPY'!$G$10)</f>
        <v>0</v>
      </c>
      <c r="J62" s="9">
        <f>IF('Upto Month COPPY'!$G$11="",0,'Upto Month COPPY'!$G$11)</f>
        <v>320554</v>
      </c>
      <c r="K62" s="9">
        <f>IF('Upto Month COPPY'!$G$12="",0,'Upto Month COPPY'!$G$12)</f>
        <v>11684</v>
      </c>
      <c r="L62" s="9">
        <f>IF('Upto Month COPPY'!$G$13="",0,'Upto Month COPPY'!$G$13)</f>
        <v>45501</v>
      </c>
      <c r="M62" s="9">
        <f>IF('Upto Month COPPY'!$G$14="",0,'Upto Month COPPY'!$G$14)</f>
        <v>54470</v>
      </c>
      <c r="N62" s="9">
        <f>IF('Upto Month COPPY'!$G$15="",0,'Upto Month COPPY'!$G$15)</f>
        <v>42</v>
      </c>
      <c r="O62" s="9">
        <f>IF('Upto Month COPPY'!$G$16="",0,'Upto Month COPPY'!$G$16)</f>
        <v>1526</v>
      </c>
      <c r="P62" s="9">
        <f>IF('Upto Month COPPY'!$G$17="",0,'Upto Month COPPY'!$G$17)</f>
        <v>2911</v>
      </c>
      <c r="Q62" s="9">
        <f>IF('Upto Month COPPY'!$G$18="",0,'Upto Month COPPY'!$G$18)</f>
        <v>0</v>
      </c>
      <c r="R62" s="9">
        <f>IF('Upto Month COPPY'!$G$21="",0,'Upto Month COPPY'!$G$21)</f>
        <v>774</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136</v>
      </c>
      <c r="Z62" s="9">
        <f>IF('Upto Month COPPY'!$G$43="",0,'Upto Month COPPY'!$G$43)</f>
        <v>31</v>
      </c>
      <c r="AA62" s="9">
        <f>IF('Upto Month COPPY'!$G$44="",0,'Upto Month COPPY'!$G$44)</f>
        <v>30</v>
      </c>
      <c r="AB62" s="9">
        <f>IF('Upto Month COPPY'!$G$48="",0,'Upto Month COPPY'!$G$48)</f>
        <v>0</v>
      </c>
      <c r="AC62" s="10">
        <f>IF('Upto Month COPPY'!$G$51="",0,'Upto Month COPPY'!$G$51)</f>
        <v>0</v>
      </c>
      <c r="AD62" s="123">
        <f t="shared" ref="AD62:AD63" si="751">SUM(C62:AC62)</f>
        <v>1999789</v>
      </c>
      <c r="AE62" s="9">
        <f>IF('Upto Month COPPY'!$G$19="",0,'Upto Month COPPY'!$G$19)</f>
        <v>703</v>
      </c>
      <c r="AF62" s="9">
        <f>IF('Upto Month COPPY'!$G$20="",0,'Upto Month COPPY'!$G$20)</f>
        <v>888</v>
      </c>
      <c r="AG62" s="9">
        <f>IF('Upto Month COPPY'!$G$22="",0,'Upto Month COPPY'!$G$22)</f>
        <v>2671</v>
      </c>
      <c r="AH62" s="9">
        <f>IF('Upto Month COPPY'!$G$23="",0,'Upto Month COPPY'!$G$23)</f>
        <v>0</v>
      </c>
      <c r="AI62" s="9">
        <f>IF('Upto Month COPPY'!$G$24="",0,'Upto Month COPPY'!$G$24)</f>
        <v>0</v>
      </c>
      <c r="AJ62" s="9">
        <f>IF('Upto Month COPPY'!$G$25="",0,'Upto Month COPPY'!$G$25)</f>
        <v>195</v>
      </c>
      <c r="AK62" s="9">
        <f>IF('Upto Month COPPY'!$G$28="",0,'Upto Month COPPY'!$G$28)</f>
        <v>35588</v>
      </c>
      <c r="AL62" s="9">
        <f>IF('Upto Month COPPY'!$G$29="",0,'Upto Month COPPY'!$G$29)</f>
        <v>7056</v>
      </c>
      <c r="AM62" s="9">
        <f>IF('Upto Month COPPY'!$G$31="",0,'Upto Month COPPY'!$G$31)</f>
        <v>101674</v>
      </c>
      <c r="AN62" s="9">
        <f>IF('Upto Month COPPY'!$G$32="",0,'Upto Month COPPY'!$G$32)</f>
        <v>51528</v>
      </c>
      <c r="AO62" s="9">
        <f>IF('Upto Month COPPY'!$G$33="",0,'Upto Month COPPY'!$G$33)</f>
        <v>155673</v>
      </c>
      <c r="AP62" s="9">
        <f>IF('Upto Month COPPY'!$G$34="",0,'Upto Month COPPY'!$G$34)</f>
        <v>238</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6176</v>
      </c>
      <c r="BD62" s="9">
        <f>IF('Upto Month COPPY'!$G$54="",0,'Upto Month COPPY'!$G$54)</f>
        <v>6176</v>
      </c>
      <c r="BE62" s="9">
        <f>IF('Upto Month COPPY'!$G$55="",0,'Upto Month COPPY'!$G$55)</f>
        <v>0</v>
      </c>
      <c r="BF62" s="9">
        <f>IF('Upto Month COPPY'!$G$56="",0,'Upto Month COPPY'!$G$56)</f>
        <v>10644</v>
      </c>
      <c r="BG62" s="9">
        <f>IF('Upto Month COPPY'!$G$58="",0,'Upto Month COPPY'!$G$58)</f>
        <v>214</v>
      </c>
      <c r="BH62" s="9">
        <f>SUM(AE62:BG62)</f>
        <v>379424</v>
      </c>
      <c r="BI62" s="127">
        <f>AD62+BH62</f>
        <v>2379213</v>
      </c>
      <c r="BJ62" s="9">
        <f>IF('Upto Month COPPY'!$G$60="",0,'Upto Month COPPY'!$G$60)</f>
        <v>4492</v>
      </c>
      <c r="BK62" s="51">
        <f t="shared" ref="BK62:BK63" si="752">BI62-BJ62</f>
        <v>2374721</v>
      </c>
      <c r="BL62">
        <f>'Upto Month COPPY'!$G$61</f>
        <v>2374720</v>
      </c>
      <c r="BM62" s="30">
        <f t="shared" ref="BM62:BM66" si="753">BK62-AD62</f>
        <v>374932</v>
      </c>
    </row>
    <row r="63" spans="1:65" ht="15.75" x14ac:dyDescent="0.25">
      <c r="A63" s="130"/>
      <c r="B63" s="185" t="s">
        <v>325</v>
      </c>
      <c r="C63" s="9">
        <f>IF('Upto Month Current'!$G$4="",0,'Upto Month Current'!$G$4)</f>
        <v>1233761</v>
      </c>
      <c r="D63" s="9">
        <f>IF('Upto Month Current'!$G$5="",0,'Upto Month Current'!$G$5)</f>
        <v>255917</v>
      </c>
      <c r="E63" s="9">
        <f>IF('Upto Month Current'!$G$6="",0,'Upto Month Current'!$G$6)</f>
        <v>326</v>
      </c>
      <c r="F63" s="9">
        <f>IF('Upto Month Current'!$G$7="",0,'Upto Month Current'!$G$7)</f>
        <v>188186</v>
      </c>
      <c r="G63" s="9">
        <f>IF('Upto Month Current'!$G$8="",0,'Upto Month Current'!$G$8)</f>
        <v>64357</v>
      </c>
      <c r="H63" s="9">
        <f>IF('Upto Month Current'!$G$9="",0,'Upto Month Current'!$G$9)</f>
        <v>0</v>
      </c>
      <c r="I63" s="9">
        <f>IF('Upto Month Current'!$G$10="",0,'Upto Month Current'!$G$10)</f>
        <v>0</v>
      </c>
      <c r="J63" s="9">
        <f>IF('Upto Month Current'!$G$11="",0,'Upto Month Current'!$G$11)</f>
        <v>374122</v>
      </c>
      <c r="K63" s="9">
        <f>IF('Upto Month Current'!$G$12="",0,'Upto Month Current'!$G$12)</f>
        <v>930</v>
      </c>
      <c r="L63" s="9">
        <f>IF('Upto Month Current'!$G$13="",0,'Upto Month Current'!$G$13)</f>
        <v>21047</v>
      </c>
      <c r="M63" s="9">
        <f>IF('Upto Month Current'!$G$14="",0,'Upto Month Current'!$G$14)</f>
        <v>69332</v>
      </c>
      <c r="N63" s="9">
        <f>IF('Upto Month Current'!$G$15="",0,'Upto Month Current'!$G$15)</f>
        <v>48</v>
      </c>
      <c r="O63" s="9">
        <f>IF('Upto Month Current'!$G$16="",0,'Upto Month Current'!$G$16)</f>
        <v>1510</v>
      </c>
      <c r="P63" s="9">
        <f>IF('Upto Month Current'!$G$17="",0,'Upto Month Current'!$G$17)</f>
        <v>4796</v>
      </c>
      <c r="Q63" s="9">
        <f>IF('Upto Month Current'!$G$18="",0,'Upto Month Current'!$G$18)</f>
        <v>0</v>
      </c>
      <c r="R63" s="9">
        <f>IF('Upto Month Current'!$G$21="",0,'Upto Month Current'!$G$21)</f>
        <v>2245</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3249</v>
      </c>
      <c r="Z63" s="9">
        <f>IF('Upto Month Current'!$G$43="",0,'Upto Month Current'!$G$43)</f>
        <v>407</v>
      </c>
      <c r="AA63" s="9">
        <f>IF('Upto Month Current'!$G$44="",0,'Upto Month Current'!$G$44)</f>
        <v>725</v>
      </c>
      <c r="AB63" s="9">
        <f>IF('Upto Month Current'!$G$48="",0,'Upto Month Current'!$G$48)</f>
        <v>0</v>
      </c>
      <c r="AC63" s="10">
        <f>IF('Upto Month Current'!$G$51="",0,'Upto Month Current'!$G$51)</f>
        <v>0</v>
      </c>
      <c r="AD63" s="123">
        <f t="shared" si="751"/>
        <v>2220958</v>
      </c>
      <c r="AE63" s="9">
        <f>IF('Upto Month Current'!$G$19="",0,'Upto Month Current'!$G$19)</f>
        <v>806</v>
      </c>
      <c r="AF63" s="9">
        <f>IF('Upto Month Current'!$G$20="",0,'Upto Month Current'!$G$20)</f>
        <v>548</v>
      </c>
      <c r="AG63" s="9">
        <f>IF('Upto Month Current'!$G$22="",0,'Upto Month Current'!$G$22)</f>
        <v>3118</v>
      </c>
      <c r="AH63" s="9">
        <f>IF('Upto Month Current'!$G$23="",0,'Upto Month Current'!$G$23)</f>
        <v>0</v>
      </c>
      <c r="AI63" s="9">
        <f>IF('Upto Month Current'!$G$24="",0,'Upto Month Current'!$G$24)</f>
        <v>0</v>
      </c>
      <c r="AJ63" s="9">
        <f>IF('Upto Month Current'!$G$25="",0,'Upto Month Current'!$G$25)</f>
        <v>0</v>
      </c>
      <c r="AK63" s="9">
        <f>IF('Upto Month Current'!$G$28="",0,'Upto Month Current'!$G$28)</f>
        <v>11250</v>
      </c>
      <c r="AL63" s="9">
        <f>IF('Upto Month Current'!$G$29="",0,'Upto Month Current'!$G$29)</f>
        <v>4056</v>
      </c>
      <c r="AM63" s="9">
        <f>IF('Upto Month Current'!$G$31="",0,'Upto Month Current'!$G$31)</f>
        <v>215850</v>
      </c>
      <c r="AN63" s="9">
        <f>IF('Upto Month Current'!$G$32="",0,'Upto Month Current'!$G$32)</f>
        <v>11892</v>
      </c>
      <c r="AO63" s="9">
        <f>IF('Upto Month Current'!$G$33="",0,'Upto Month Current'!$G$33)</f>
        <v>136579</v>
      </c>
      <c r="AP63" s="9">
        <f>IF('Upto Month Current'!$G$34="",0,'Upto Month Current'!$G$34)</f>
        <v>600</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6760</v>
      </c>
      <c r="BD63" s="9">
        <f>IF('Upto Month Current'!$G$54="",0,'Upto Month Current'!$G$54)</f>
        <v>6760</v>
      </c>
      <c r="BE63" s="9">
        <f>IF('Upto Month Current'!$G$55="",0,'Upto Month Current'!$G$55)</f>
        <v>0</v>
      </c>
      <c r="BF63" s="9">
        <f>IF('Upto Month Current'!$G$56="",0,'Upto Month Current'!$G$56)</f>
        <v>8641</v>
      </c>
      <c r="BG63" s="9">
        <f>IF('Upto Month Current'!$G$58="",0,'Upto Month Current'!$G$58)</f>
        <v>0</v>
      </c>
      <c r="BH63" s="9">
        <f>SUM(AE63:BG63)</f>
        <v>406860</v>
      </c>
      <c r="BI63" s="127">
        <f>AD63+BH63</f>
        <v>2627818</v>
      </c>
      <c r="BJ63" s="9">
        <f>IF('Upto Month Current'!$G$60="",0,'Upto Month Current'!$G$60)</f>
        <v>2455</v>
      </c>
      <c r="BK63" s="51">
        <f t="shared" si="752"/>
        <v>2625363</v>
      </c>
      <c r="BL63">
        <f>'Upto Month Current'!$G$61</f>
        <v>2625360</v>
      </c>
      <c r="BM63" s="30">
        <f t="shared" si="753"/>
        <v>404405</v>
      </c>
    </row>
    <row r="64" spans="1:65" ht="15.75" x14ac:dyDescent="0.25">
      <c r="A64" s="130"/>
      <c r="B64" s="5" t="s">
        <v>132</v>
      </c>
      <c r="C64" s="11">
        <f>C63-C61</f>
        <v>71254</v>
      </c>
      <c r="D64" s="11">
        <f t="shared" ref="D64" si="754">D63-D61</f>
        <v>8553</v>
      </c>
      <c r="E64" s="11">
        <f t="shared" ref="E64" si="755">E63-E61</f>
        <v>326</v>
      </c>
      <c r="F64" s="11">
        <f t="shared" ref="F64" si="756">F63-F61</f>
        <v>-10167</v>
      </c>
      <c r="G64" s="11">
        <f t="shared" ref="G64" si="757">G63-G61</f>
        <v>-2766</v>
      </c>
      <c r="H64" s="11">
        <f t="shared" ref="H64" si="758">H63-H61</f>
        <v>0</v>
      </c>
      <c r="I64" s="11">
        <f t="shared" ref="I64" si="759">I63-I61</f>
        <v>0</v>
      </c>
      <c r="J64" s="11">
        <f t="shared" ref="J64" si="760">J63-J61</f>
        <v>3885</v>
      </c>
      <c r="K64" s="11">
        <f t="shared" ref="K64" si="761">K63-K61</f>
        <v>-12575</v>
      </c>
      <c r="L64" s="11">
        <f t="shared" ref="L64" si="762">L63-L61</f>
        <v>-18188</v>
      </c>
      <c r="M64" s="11">
        <f t="shared" ref="M64" si="763">M63-M61</f>
        <v>-10871</v>
      </c>
      <c r="N64" s="11">
        <f t="shared" ref="N64" si="764">N63-N61</f>
        <v>-120</v>
      </c>
      <c r="O64" s="11">
        <f t="shared" ref="O64" si="765">O63-O61</f>
        <v>-337</v>
      </c>
      <c r="P64" s="11">
        <f t="shared" ref="P64" si="766">P63-P61</f>
        <v>1342</v>
      </c>
      <c r="Q64" s="11">
        <f t="shared" ref="Q64" si="767">Q63-Q61</f>
        <v>0</v>
      </c>
      <c r="R64" s="11">
        <f t="shared" ref="R64" si="768">R63-R61</f>
        <v>-38</v>
      </c>
      <c r="S64" s="11">
        <f t="shared" ref="S64" si="769">S63-S61</f>
        <v>0</v>
      </c>
      <c r="T64" s="11">
        <f t="shared" ref="T64:U64" si="770">T63-T61</f>
        <v>0</v>
      </c>
      <c r="U64" s="11">
        <f t="shared" si="770"/>
        <v>0</v>
      </c>
      <c r="V64" s="9">
        <f t="shared" ref="V64" si="771">V63-V61</f>
        <v>0</v>
      </c>
      <c r="W64" s="11">
        <f t="shared" ref="W64" si="772">W63-W61</f>
        <v>0</v>
      </c>
      <c r="X64" s="11">
        <f t="shared" ref="X64" si="773">X63-X61</f>
        <v>0</v>
      </c>
      <c r="Y64" s="11">
        <f t="shared" ref="Y64" si="774">Y63-Y61</f>
        <v>3051</v>
      </c>
      <c r="Z64" s="11">
        <f t="shared" ref="Z64" si="775">Z63-Z61</f>
        <v>342</v>
      </c>
      <c r="AA64" s="11">
        <f t="shared" ref="AA64:AD64" si="776">AA63-AA61</f>
        <v>-345</v>
      </c>
      <c r="AB64" s="11">
        <f t="shared" ref="AB64" si="777">AB63-AB61</f>
        <v>-2119</v>
      </c>
      <c r="AC64" s="10">
        <f t="shared" si="776"/>
        <v>0</v>
      </c>
      <c r="AD64" s="11">
        <f t="shared" si="776"/>
        <v>31227</v>
      </c>
      <c r="AE64" s="11">
        <f t="shared" ref="AE64" si="778">AE63-AE61</f>
        <v>55</v>
      </c>
      <c r="AF64" s="11">
        <f t="shared" ref="AF64" si="779">AF63-AF61</f>
        <v>536</v>
      </c>
      <c r="AG64" s="11">
        <f t="shared" ref="AG64" si="780">AG63-AG61</f>
        <v>1722</v>
      </c>
      <c r="AH64" s="11">
        <f t="shared" ref="AH64" si="781">AH63-AH61</f>
        <v>0</v>
      </c>
      <c r="AI64" s="11">
        <f t="shared" ref="AI64" si="782">AI63-AI61</f>
        <v>0</v>
      </c>
      <c r="AJ64" s="11">
        <f t="shared" ref="AJ64" si="783">AJ63-AJ61</f>
        <v>-90</v>
      </c>
      <c r="AK64" s="11">
        <f t="shared" ref="AK64" si="784">AK63-AK61</f>
        <v>-12042</v>
      </c>
      <c r="AL64" s="11">
        <f t="shared" ref="AL64" si="785">AL63-AL61</f>
        <v>-11393</v>
      </c>
      <c r="AM64" s="11">
        <f t="shared" ref="AM64" si="786">AM63-AM61</f>
        <v>39554</v>
      </c>
      <c r="AN64" s="11">
        <f t="shared" ref="AN64" si="787">AN63-AN61</f>
        <v>8087</v>
      </c>
      <c r="AO64" s="9">
        <f t="shared" ref="AO64" si="788">AO63-AO61</f>
        <v>18284</v>
      </c>
      <c r="AP64" s="11">
        <f t="shared" ref="AP64" si="789">AP63-AP61</f>
        <v>226</v>
      </c>
      <c r="AQ64" s="10">
        <f t="shared" ref="AQ64" si="790">AQ63-AQ61</f>
        <v>0</v>
      </c>
      <c r="AR64" s="11">
        <f t="shared" ref="AR64" si="791">AR63-AR61</f>
        <v>0</v>
      </c>
      <c r="AS64" s="11">
        <f t="shared" ref="AS64" si="792">AS63-AS61</f>
        <v>0</v>
      </c>
      <c r="AT64" s="11">
        <f t="shared" ref="AT64" si="793">AT63-AT61</f>
        <v>0</v>
      </c>
      <c r="AU64" s="11">
        <f t="shared" ref="AU64" si="794">AU63-AU61</f>
        <v>0</v>
      </c>
      <c r="AV64" s="11">
        <f t="shared" ref="AV64" si="795">AV63-AV61</f>
        <v>0</v>
      </c>
      <c r="AW64" s="11">
        <f t="shared" ref="AW64" si="796">AW63-AW61</f>
        <v>-325</v>
      </c>
      <c r="AX64" s="11">
        <f t="shared" ref="AX64" si="797">AX63-AX61</f>
        <v>-117</v>
      </c>
      <c r="AY64" s="11">
        <f t="shared" ref="AY64" si="798">AY63-AY61</f>
        <v>0</v>
      </c>
      <c r="AZ64" s="11">
        <f t="shared" ref="AZ64" si="799">AZ63-AZ61</f>
        <v>0</v>
      </c>
      <c r="BA64" s="11">
        <f t="shared" ref="BA64" si="800">BA63-BA61</f>
        <v>0</v>
      </c>
      <c r="BB64" s="10">
        <f t="shared" ref="BB64" si="801">BB63-BB61</f>
        <v>0</v>
      </c>
      <c r="BC64" s="11">
        <f t="shared" ref="BC64" si="802">BC63-BC61</f>
        <v>1063</v>
      </c>
      <c r="BD64" s="11">
        <f t="shared" ref="BD64" si="803">BD63-BD61</f>
        <v>1063</v>
      </c>
      <c r="BE64" s="11">
        <f t="shared" ref="BE64" si="804">BE63-BE61</f>
        <v>0</v>
      </c>
      <c r="BF64" s="11">
        <f t="shared" ref="BF64" si="805">BF63-BF61</f>
        <v>2695</v>
      </c>
      <c r="BG64" s="11">
        <f t="shared" ref="BG64:BH64" si="806">BG63-BG61</f>
        <v>382</v>
      </c>
      <c r="BH64" s="9">
        <f t="shared" si="806"/>
        <v>49700</v>
      </c>
      <c r="BI64" s="45">
        <f t="shared" ref="BI64" si="807">BI63-BI61</f>
        <v>80927</v>
      </c>
      <c r="BJ64" s="11">
        <f t="shared" ref="BJ64:BK64" si="808">BJ63-BJ61</f>
        <v>-4448</v>
      </c>
      <c r="BK64" s="51">
        <f t="shared" si="808"/>
        <v>85375</v>
      </c>
      <c r="BM64" s="30">
        <f t="shared" si="753"/>
        <v>54148</v>
      </c>
    </row>
    <row r="65" spans="1:65" ht="15.75" x14ac:dyDescent="0.25">
      <c r="A65" s="131"/>
      <c r="B65" s="16" t="s">
        <v>133</v>
      </c>
      <c r="C65" s="13">
        <f>C64/C61</f>
        <v>6.1293394362356528E-2</v>
      </c>
      <c r="D65" s="13">
        <f t="shared" ref="D65" si="809">D64/D61</f>
        <v>3.4576575411135006E-2</v>
      </c>
      <c r="E65" s="13" t="e">
        <f t="shared" ref="E65" si="810">E64/E61</f>
        <v>#DIV/0!</v>
      </c>
      <c r="F65" s="13">
        <f t="shared" ref="F65" si="811">F64/F61</f>
        <v>-5.1257102236921044E-2</v>
      </c>
      <c r="G65" s="13">
        <f t="shared" ref="G65" si="812">G64/G61</f>
        <v>-4.1207931707462418E-2</v>
      </c>
      <c r="H65" s="13" t="e">
        <f t="shared" ref="H65" si="813">H64/H61</f>
        <v>#DIV/0!</v>
      </c>
      <c r="I65" s="13" t="e">
        <f t="shared" ref="I65" si="814">I64/I61</f>
        <v>#DIV/0!</v>
      </c>
      <c r="J65" s="13">
        <f t="shared" ref="J65" si="815">J64/J61</f>
        <v>1.0493278629634532E-2</v>
      </c>
      <c r="K65" s="13">
        <f t="shared" ref="K65" si="816">K64/K61</f>
        <v>-0.93113661606812292</v>
      </c>
      <c r="L65" s="13">
        <f t="shared" ref="L65" si="817">L64/L61</f>
        <v>-0.46356569389575636</v>
      </c>
      <c r="M65" s="13">
        <f t="shared" ref="M65" si="818">M64/M61</f>
        <v>-0.13554355822101419</v>
      </c>
      <c r="N65" s="13">
        <f t="shared" ref="N65" si="819">N64/N61</f>
        <v>-0.7142857142857143</v>
      </c>
      <c r="O65" s="13">
        <f t="shared" ref="O65" si="820">O64/O61</f>
        <v>-0.18245804006497021</v>
      </c>
      <c r="P65" s="13">
        <f t="shared" ref="P65" si="821">P64/P61</f>
        <v>0.38853503184713378</v>
      </c>
      <c r="Q65" s="13" t="e">
        <f t="shared" ref="Q65" si="822">Q64/Q61</f>
        <v>#DIV/0!</v>
      </c>
      <c r="R65" s="13">
        <f t="shared" ref="R65" si="823">R64/R61</f>
        <v>-1.6644765659220323E-2</v>
      </c>
      <c r="S65" s="13" t="e">
        <f t="shared" ref="S65" si="824">S64/S61</f>
        <v>#DIV/0!</v>
      </c>
      <c r="T65" s="13" t="e">
        <f t="shared" ref="T65:U65" si="825">T64/T61</f>
        <v>#DIV/0!</v>
      </c>
      <c r="U65" s="13" t="e">
        <f t="shared" si="825"/>
        <v>#DIV/0!</v>
      </c>
      <c r="V65" s="165" t="e">
        <f t="shared" ref="V65" si="826">V64/V61</f>
        <v>#DIV/0!</v>
      </c>
      <c r="W65" s="13" t="e">
        <f t="shared" ref="W65" si="827">W64/W61</f>
        <v>#DIV/0!</v>
      </c>
      <c r="X65" s="13" t="e">
        <f t="shared" ref="X65" si="828">X64/X61</f>
        <v>#DIV/0!</v>
      </c>
      <c r="Y65" s="13">
        <f t="shared" ref="Y65" si="829">Y64/Y61</f>
        <v>15.409090909090908</v>
      </c>
      <c r="Z65" s="13">
        <f t="shared" ref="Z65" si="830">Z64/Z61</f>
        <v>5.2615384615384615</v>
      </c>
      <c r="AA65" s="13">
        <f t="shared" ref="AA65:AD65" si="831">AA64/AA61</f>
        <v>-0.32242990654205606</v>
      </c>
      <c r="AB65" s="13">
        <f t="shared" ref="AB65" si="832">AB64/AB61</f>
        <v>-1</v>
      </c>
      <c r="AC65" s="14" t="e">
        <f t="shared" si="831"/>
        <v>#DIV/0!</v>
      </c>
      <c r="AD65" s="13">
        <f t="shared" si="831"/>
        <v>1.4260655760913099E-2</v>
      </c>
      <c r="AE65" s="13">
        <f t="shared" ref="AE65" si="833">AE64/AE61</f>
        <v>7.3235685752330221E-2</v>
      </c>
      <c r="AF65" s="13">
        <f t="shared" ref="AF65" si="834">AF64/AF61</f>
        <v>44.666666666666664</v>
      </c>
      <c r="AG65" s="13">
        <f t="shared" ref="AG65" si="835">AG64/AG61</f>
        <v>1.2335243553008597</v>
      </c>
      <c r="AH65" s="13" t="e">
        <f t="shared" ref="AH65" si="836">AH64/AH61</f>
        <v>#DIV/0!</v>
      </c>
      <c r="AI65" s="13" t="e">
        <f t="shared" ref="AI65" si="837">AI64/AI61</f>
        <v>#DIV/0!</v>
      </c>
      <c r="AJ65" s="13">
        <f t="shared" ref="AJ65" si="838">AJ64/AJ61</f>
        <v>-1</v>
      </c>
      <c r="AK65" s="13">
        <f t="shared" ref="AK65" si="839">AK64/AK61</f>
        <v>-0.51700154559505407</v>
      </c>
      <c r="AL65" s="13">
        <f t="shared" ref="AL65" si="840">AL64/AL61</f>
        <v>-0.73745873519321636</v>
      </c>
      <c r="AM65" s="13">
        <f t="shared" ref="AM65" si="841">AM64/AM61</f>
        <v>0.22436130144756547</v>
      </c>
      <c r="AN65" s="13">
        <f t="shared" ref="AN65" si="842">AN64/AN61</f>
        <v>2.1253613666228648</v>
      </c>
      <c r="AO65" s="165">
        <f t="shared" ref="AO65" si="843">AO64/AO61</f>
        <v>0.15456274567817743</v>
      </c>
      <c r="AP65" s="13">
        <f t="shared" ref="AP65" si="844">AP64/AP61</f>
        <v>0.60427807486631013</v>
      </c>
      <c r="AQ65" s="14" t="e">
        <f t="shared" ref="AQ65" si="845">AQ64/AQ61</f>
        <v>#DIV/0!</v>
      </c>
      <c r="AR65" s="13" t="e">
        <f t="shared" ref="AR65" si="846">AR64/AR61</f>
        <v>#DIV/0!</v>
      </c>
      <c r="AS65" s="13" t="e">
        <f t="shared" ref="AS65" si="847">AS64/AS61</f>
        <v>#DIV/0!</v>
      </c>
      <c r="AT65" s="13" t="e">
        <f t="shared" ref="AT65" si="848">AT64/AT61</f>
        <v>#DIV/0!</v>
      </c>
      <c r="AU65" s="13" t="e">
        <f t="shared" ref="AU65" si="849">AU64/AU61</f>
        <v>#DIV/0!</v>
      </c>
      <c r="AV65" s="13" t="e">
        <f t="shared" ref="AV65" si="850">AV64/AV61</f>
        <v>#DIV/0!</v>
      </c>
      <c r="AW65" s="13">
        <f t="shared" ref="AW65" si="851">AW64/AW61</f>
        <v>-1</v>
      </c>
      <c r="AX65" s="13">
        <f t="shared" ref="AX65" si="852">AX64/AX61</f>
        <v>-1</v>
      </c>
      <c r="AY65" s="13" t="e">
        <f t="shared" ref="AY65" si="853">AY64/AY61</f>
        <v>#DIV/0!</v>
      </c>
      <c r="AZ65" s="13" t="e">
        <f t="shared" ref="AZ65" si="854">AZ64/AZ61</f>
        <v>#DIV/0!</v>
      </c>
      <c r="BA65" s="13" t="e">
        <f t="shared" ref="BA65" si="855">BA64/BA61</f>
        <v>#DIV/0!</v>
      </c>
      <c r="BB65" s="14" t="e">
        <f t="shared" ref="BB65" si="856">BB64/BB61</f>
        <v>#DIV/0!</v>
      </c>
      <c r="BC65" s="13">
        <f t="shared" ref="BC65" si="857">BC64/BC61</f>
        <v>0.18658943303493067</v>
      </c>
      <c r="BD65" s="13">
        <f t="shared" ref="BD65" si="858">BD64/BD61</f>
        <v>0.18658943303493067</v>
      </c>
      <c r="BE65" s="13" t="e">
        <f t="shared" ref="BE65" si="859">BE64/BE61</f>
        <v>#DIV/0!</v>
      </c>
      <c r="BF65" s="13">
        <f t="shared" ref="BF65" si="860">BF64/BF61</f>
        <v>0.4532458795829129</v>
      </c>
      <c r="BG65" s="13">
        <f t="shared" ref="BG65:BH65" si="861">BG64/BG61</f>
        <v>-1</v>
      </c>
      <c r="BH65" s="165">
        <f t="shared" si="861"/>
        <v>0.13915332064060926</v>
      </c>
      <c r="BI65" s="46">
        <f t="shared" ref="BI65" si="862">BI64/BI61</f>
        <v>3.1774818788868467E-2</v>
      </c>
      <c r="BJ65" s="13">
        <f t="shared" ref="BJ65:BK65" si="863">BJ64/BJ61</f>
        <v>-0.64435752571345795</v>
      </c>
      <c r="BK65" s="52">
        <f t="shared" si="863"/>
        <v>3.3612363522977272E-2</v>
      </c>
      <c r="BM65" s="165" t="e">
        <f t="shared" ref="BM65" si="864">BM64/BM61</f>
        <v>#DIV/0!</v>
      </c>
    </row>
    <row r="66" spans="1:65" ht="15.75" x14ac:dyDescent="0.25">
      <c r="A66" s="130"/>
      <c r="B66" s="5" t="s">
        <v>134</v>
      </c>
      <c r="C66" s="11">
        <f>C63-C62</f>
        <v>125799</v>
      </c>
      <c r="D66" s="11">
        <f t="shared" ref="D66:BK66" si="865">D63-D62</f>
        <v>28039</v>
      </c>
      <c r="E66" s="11">
        <f t="shared" si="865"/>
        <v>197</v>
      </c>
      <c r="F66" s="11">
        <f t="shared" si="865"/>
        <v>20148</v>
      </c>
      <c r="G66" s="11">
        <f t="shared" si="865"/>
        <v>6234</v>
      </c>
      <c r="H66" s="11">
        <f t="shared" si="865"/>
        <v>0</v>
      </c>
      <c r="I66" s="11">
        <f t="shared" si="865"/>
        <v>0</v>
      </c>
      <c r="J66" s="11">
        <f t="shared" si="865"/>
        <v>53568</v>
      </c>
      <c r="K66" s="11">
        <f t="shared" si="865"/>
        <v>-10754</v>
      </c>
      <c r="L66" s="11">
        <f t="shared" si="865"/>
        <v>-24454</v>
      </c>
      <c r="M66" s="11">
        <f t="shared" si="865"/>
        <v>14862</v>
      </c>
      <c r="N66" s="11">
        <f t="shared" si="865"/>
        <v>6</v>
      </c>
      <c r="O66" s="11">
        <f t="shared" si="865"/>
        <v>-16</v>
      </c>
      <c r="P66" s="11">
        <f t="shared" si="865"/>
        <v>1885</v>
      </c>
      <c r="Q66" s="11">
        <f t="shared" si="865"/>
        <v>0</v>
      </c>
      <c r="R66" s="11">
        <f t="shared" si="865"/>
        <v>1471</v>
      </c>
      <c r="S66" s="11">
        <f t="shared" si="865"/>
        <v>0</v>
      </c>
      <c r="T66" s="11">
        <f t="shared" si="865"/>
        <v>0</v>
      </c>
      <c r="U66" s="11">
        <f t="shared" ref="U66" si="866">U63-U62</f>
        <v>0</v>
      </c>
      <c r="V66" s="9">
        <f t="shared" si="865"/>
        <v>0</v>
      </c>
      <c r="W66" s="11">
        <f t="shared" si="865"/>
        <v>0</v>
      </c>
      <c r="X66" s="11">
        <f t="shared" si="865"/>
        <v>0</v>
      </c>
      <c r="Y66" s="11">
        <f t="shared" si="865"/>
        <v>3113</v>
      </c>
      <c r="Z66" s="11">
        <f t="shared" si="865"/>
        <v>376</v>
      </c>
      <c r="AA66" s="11">
        <f t="shared" si="865"/>
        <v>695</v>
      </c>
      <c r="AB66" s="11">
        <f t="shared" ref="AB66" si="867">AB63-AB62</f>
        <v>0</v>
      </c>
      <c r="AC66" s="10">
        <f t="shared" ref="AC66:AD66" si="868">AC63-AC62</f>
        <v>0</v>
      </c>
      <c r="AD66" s="11">
        <f t="shared" si="868"/>
        <v>221169</v>
      </c>
      <c r="AE66" s="11">
        <f t="shared" si="865"/>
        <v>103</v>
      </c>
      <c r="AF66" s="11">
        <f t="shared" si="865"/>
        <v>-340</v>
      </c>
      <c r="AG66" s="11">
        <f t="shared" si="865"/>
        <v>447</v>
      </c>
      <c r="AH66" s="11">
        <f t="shared" si="865"/>
        <v>0</v>
      </c>
      <c r="AI66" s="11">
        <f t="shared" si="865"/>
        <v>0</v>
      </c>
      <c r="AJ66" s="11">
        <f t="shared" si="865"/>
        <v>-195</v>
      </c>
      <c r="AK66" s="11">
        <f t="shared" si="865"/>
        <v>-24338</v>
      </c>
      <c r="AL66" s="11">
        <f t="shared" si="865"/>
        <v>-3000</v>
      </c>
      <c r="AM66" s="11">
        <f t="shared" si="865"/>
        <v>114176</v>
      </c>
      <c r="AN66" s="11">
        <f t="shared" si="865"/>
        <v>-39636</v>
      </c>
      <c r="AO66" s="9">
        <f t="shared" si="865"/>
        <v>-19094</v>
      </c>
      <c r="AP66" s="11">
        <f t="shared" si="865"/>
        <v>362</v>
      </c>
      <c r="AQ66" s="10">
        <f t="shared" si="865"/>
        <v>0</v>
      </c>
      <c r="AR66" s="11">
        <f t="shared" si="865"/>
        <v>0</v>
      </c>
      <c r="AS66" s="11">
        <f t="shared" si="865"/>
        <v>0</v>
      </c>
      <c r="AT66" s="11">
        <f t="shared" si="865"/>
        <v>0</v>
      </c>
      <c r="AU66" s="11">
        <f t="shared" si="865"/>
        <v>0</v>
      </c>
      <c r="AV66" s="11">
        <f t="shared" si="865"/>
        <v>0</v>
      </c>
      <c r="AW66" s="11">
        <f t="shared" si="865"/>
        <v>0</v>
      </c>
      <c r="AX66" s="11">
        <f t="shared" si="865"/>
        <v>0</v>
      </c>
      <c r="AY66" s="11">
        <f t="shared" si="865"/>
        <v>0</v>
      </c>
      <c r="AZ66" s="11">
        <f t="shared" si="865"/>
        <v>0</v>
      </c>
      <c r="BA66" s="11">
        <f t="shared" si="865"/>
        <v>0</v>
      </c>
      <c r="BB66" s="10">
        <f t="shared" si="865"/>
        <v>0</v>
      </c>
      <c r="BC66" s="11">
        <f t="shared" si="865"/>
        <v>584</v>
      </c>
      <c r="BD66" s="11">
        <f t="shared" si="865"/>
        <v>584</v>
      </c>
      <c r="BE66" s="11">
        <f t="shared" si="865"/>
        <v>0</v>
      </c>
      <c r="BF66" s="11">
        <f t="shared" si="865"/>
        <v>-2003</v>
      </c>
      <c r="BG66" s="11">
        <f t="shared" si="865"/>
        <v>-214</v>
      </c>
      <c r="BH66" s="9">
        <f t="shared" si="865"/>
        <v>27436</v>
      </c>
      <c r="BI66" s="45">
        <f t="shared" si="865"/>
        <v>248605</v>
      </c>
      <c r="BJ66" s="11">
        <f t="shared" si="865"/>
        <v>-2037</v>
      </c>
      <c r="BK66" s="51">
        <f t="shared" si="865"/>
        <v>250642</v>
      </c>
      <c r="BM66" s="30">
        <f t="shared" si="753"/>
        <v>29473</v>
      </c>
    </row>
    <row r="67" spans="1:65" ht="15.75" x14ac:dyDescent="0.25">
      <c r="A67" s="130"/>
      <c r="B67" s="5" t="s">
        <v>135</v>
      </c>
      <c r="C67" s="13">
        <f>C66/C62</f>
        <v>0.11354089761201197</v>
      </c>
      <c r="D67" s="13">
        <f t="shared" ref="D67" si="869">D66/D62</f>
        <v>0.12304390946032526</v>
      </c>
      <c r="E67" s="13">
        <f t="shared" ref="E67" si="870">E66/E62</f>
        <v>1.5271317829457365</v>
      </c>
      <c r="F67" s="13">
        <f t="shared" ref="F67" si="871">F66/F62</f>
        <v>0.11990145086230496</v>
      </c>
      <c r="G67" s="13">
        <f t="shared" ref="G67" si="872">G66/G62</f>
        <v>0.10725530340828932</v>
      </c>
      <c r="H67" s="13" t="e">
        <f t="shared" ref="H67" si="873">H66/H62</f>
        <v>#DIV/0!</v>
      </c>
      <c r="I67" s="13" t="e">
        <f t="shared" ref="I67" si="874">I66/I62</f>
        <v>#DIV/0!</v>
      </c>
      <c r="J67" s="13">
        <f t="shared" ref="J67" si="875">J66/J62</f>
        <v>0.16711068961859779</v>
      </c>
      <c r="K67" s="13">
        <f t="shared" ref="K67" si="876">K66/K62</f>
        <v>-0.92040397124272511</v>
      </c>
      <c r="L67" s="13">
        <f t="shared" ref="L67" si="877">L66/L62</f>
        <v>-0.53743873761016236</v>
      </c>
      <c r="M67" s="13">
        <f t="shared" ref="M67" si="878">M66/M62</f>
        <v>0.27284743895722419</v>
      </c>
      <c r="N67" s="13">
        <f t="shared" ref="N67" si="879">N66/N62</f>
        <v>0.14285714285714285</v>
      </c>
      <c r="O67" s="13">
        <f t="shared" ref="O67" si="880">O66/O62</f>
        <v>-1.0484927916120577E-2</v>
      </c>
      <c r="P67" s="13">
        <f t="shared" ref="P67" si="881">P66/P62</f>
        <v>0.64754379938165574</v>
      </c>
      <c r="Q67" s="13" t="e">
        <f t="shared" ref="Q67" si="882">Q66/Q62</f>
        <v>#DIV/0!</v>
      </c>
      <c r="R67" s="13">
        <f t="shared" ref="R67" si="883">R66/R62</f>
        <v>1.900516795865633</v>
      </c>
      <c r="S67" s="13" t="e">
        <f t="shared" ref="S67" si="884">S66/S62</f>
        <v>#DIV/0!</v>
      </c>
      <c r="T67" s="13" t="e">
        <f t="shared" ref="T67:U67" si="885">T66/T62</f>
        <v>#DIV/0!</v>
      </c>
      <c r="U67" s="13" t="e">
        <f t="shared" si="885"/>
        <v>#DIV/0!</v>
      </c>
      <c r="V67" s="165" t="e">
        <f t="shared" ref="V67" si="886">V66/V62</f>
        <v>#DIV/0!</v>
      </c>
      <c r="W67" s="13" t="e">
        <f t="shared" ref="W67" si="887">W66/W62</f>
        <v>#DIV/0!</v>
      </c>
      <c r="X67" s="13" t="e">
        <f t="shared" ref="X67" si="888">X66/X62</f>
        <v>#DIV/0!</v>
      </c>
      <c r="Y67" s="13">
        <f t="shared" ref="Y67" si="889">Y66/Y62</f>
        <v>22.889705882352942</v>
      </c>
      <c r="Z67" s="13">
        <f t="shared" ref="Z67" si="890">Z66/Z62</f>
        <v>12.129032258064516</v>
      </c>
      <c r="AA67" s="13">
        <f t="shared" ref="AA67:AD67" si="891">AA66/AA62</f>
        <v>23.166666666666668</v>
      </c>
      <c r="AB67" s="13" t="e">
        <f t="shared" ref="AB67" si="892">AB66/AB62</f>
        <v>#DIV/0!</v>
      </c>
      <c r="AC67" s="14" t="e">
        <f t="shared" si="891"/>
        <v>#DIV/0!</v>
      </c>
      <c r="AD67" s="13">
        <f t="shared" si="891"/>
        <v>0.110596167895713</v>
      </c>
      <c r="AE67" s="13">
        <f t="shared" ref="AE67" si="893">AE66/AE62</f>
        <v>0.1465149359886202</v>
      </c>
      <c r="AF67" s="13">
        <f t="shared" ref="AF67" si="894">AF66/AF62</f>
        <v>-0.38288288288288286</v>
      </c>
      <c r="AG67" s="13">
        <f t="shared" ref="AG67" si="895">AG66/AG62</f>
        <v>0.16735305129165107</v>
      </c>
      <c r="AH67" s="13" t="e">
        <f t="shared" ref="AH67" si="896">AH66/AH62</f>
        <v>#DIV/0!</v>
      </c>
      <c r="AI67" s="13" t="e">
        <f t="shared" ref="AI67" si="897">AI66/AI62</f>
        <v>#DIV/0!</v>
      </c>
      <c r="AJ67" s="13">
        <f t="shared" ref="AJ67" si="898">AJ66/AJ62</f>
        <v>-1</v>
      </c>
      <c r="AK67" s="13">
        <f t="shared" ref="AK67" si="899">AK66/AK62</f>
        <v>-0.6838822074856693</v>
      </c>
      <c r="AL67" s="13">
        <f t="shared" ref="AL67" si="900">AL66/AL62</f>
        <v>-0.42517006802721086</v>
      </c>
      <c r="AM67" s="13">
        <f t="shared" ref="AM67" si="901">AM66/AM62</f>
        <v>1.1229616224403485</v>
      </c>
      <c r="AN67" s="13">
        <f t="shared" ref="AN67" si="902">AN66/AN62</f>
        <v>-0.76921285514671633</v>
      </c>
      <c r="AO67" s="165">
        <f t="shared" ref="AO67" si="903">AO66/AO62</f>
        <v>-0.12265453868043913</v>
      </c>
      <c r="AP67" s="13">
        <f t="shared" ref="AP67" si="904">AP66/AP62</f>
        <v>1.5210084033613445</v>
      </c>
      <c r="AQ67" s="14" t="e">
        <f t="shared" ref="AQ67" si="905">AQ66/AQ62</f>
        <v>#DIV/0!</v>
      </c>
      <c r="AR67" s="13" t="e">
        <f t="shared" ref="AR67" si="906">AR66/AR62</f>
        <v>#DIV/0!</v>
      </c>
      <c r="AS67" s="13" t="e">
        <f t="shared" ref="AS67" si="907">AS66/AS62</f>
        <v>#DIV/0!</v>
      </c>
      <c r="AT67" s="13" t="e">
        <f t="shared" ref="AT67" si="908">AT66/AT62</f>
        <v>#DIV/0!</v>
      </c>
      <c r="AU67" s="13" t="e">
        <f t="shared" ref="AU67" si="909">AU66/AU62</f>
        <v>#DIV/0!</v>
      </c>
      <c r="AV67" s="13" t="e">
        <f t="shared" ref="AV67" si="910">AV66/AV62</f>
        <v>#DIV/0!</v>
      </c>
      <c r="AW67" s="13" t="e">
        <f t="shared" ref="AW67" si="911">AW66/AW62</f>
        <v>#DIV/0!</v>
      </c>
      <c r="AX67" s="13" t="e">
        <f t="shared" ref="AX67" si="912">AX66/AX62</f>
        <v>#DIV/0!</v>
      </c>
      <c r="AY67" s="13" t="e">
        <f t="shared" ref="AY67" si="913">AY66/AY62</f>
        <v>#DIV/0!</v>
      </c>
      <c r="AZ67" s="13" t="e">
        <f t="shared" ref="AZ67" si="914">AZ66/AZ62</f>
        <v>#DIV/0!</v>
      </c>
      <c r="BA67" s="13" t="e">
        <f t="shared" ref="BA67" si="915">BA66/BA62</f>
        <v>#DIV/0!</v>
      </c>
      <c r="BB67" s="14" t="e">
        <f t="shared" ref="BB67" si="916">BB66/BB62</f>
        <v>#DIV/0!</v>
      </c>
      <c r="BC67" s="13">
        <f t="shared" ref="BC67" si="917">BC66/BC62</f>
        <v>9.4559585492227982E-2</v>
      </c>
      <c r="BD67" s="13">
        <f t="shared" ref="BD67" si="918">BD66/BD62</f>
        <v>9.4559585492227982E-2</v>
      </c>
      <c r="BE67" s="13" t="e">
        <f t="shared" ref="BE67" si="919">BE66/BE62</f>
        <v>#DIV/0!</v>
      </c>
      <c r="BF67" s="13">
        <f t="shared" ref="BF67" si="920">BF66/BF62</f>
        <v>-0.18818113491168734</v>
      </c>
      <c r="BG67" s="13">
        <f t="shared" ref="BG67:BH67" si="921">BG66/BG62</f>
        <v>-1</v>
      </c>
      <c r="BH67" s="165">
        <f t="shared" si="921"/>
        <v>7.2309606139833005E-2</v>
      </c>
      <c r="BI67" s="46">
        <f t="shared" ref="BI67" si="922">BI66/BI62</f>
        <v>0.10449043444197724</v>
      </c>
      <c r="BJ67" s="13">
        <f t="shared" ref="BJ67:BK67" si="923">BJ66/BJ62</f>
        <v>-0.4534728406055209</v>
      </c>
      <c r="BK67" s="52">
        <f t="shared" si="923"/>
        <v>0.1055458725467118</v>
      </c>
      <c r="BM67" s="14">
        <f t="shared" ref="BM67" si="924">BM66/BM62</f>
        <v>7.8608921084356631E-2</v>
      </c>
    </row>
    <row r="68" spans="1:65" ht="15.75" x14ac:dyDescent="0.25">
      <c r="A68" s="130"/>
      <c r="B68" s="5" t="s">
        <v>210</v>
      </c>
      <c r="C68" s="128">
        <f>C63/C60</f>
        <v>0.2759363917212887</v>
      </c>
      <c r="D68" s="128">
        <f t="shared" ref="D68:BK68" si="925">D63/D60</f>
        <v>0.26898906141771678</v>
      </c>
      <c r="E68" s="128">
        <f t="shared" si="925"/>
        <v>2.5526783546970066E-3</v>
      </c>
      <c r="F68" s="128">
        <f t="shared" si="925"/>
        <v>0.24667255648854761</v>
      </c>
      <c r="G68" s="128">
        <f t="shared" si="925"/>
        <v>0.24928051562723932</v>
      </c>
      <c r="H68" s="128" t="e">
        <f t="shared" si="925"/>
        <v>#DIV/0!</v>
      </c>
      <c r="I68" s="128" t="e">
        <f t="shared" si="925"/>
        <v>#DIV/0!</v>
      </c>
      <c r="J68" s="128">
        <f t="shared" si="925"/>
        <v>0.26272962911724246</v>
      </c>
      <c r="K68" s="128">
        <f t="shared" si="925"/>
        <v>1.7904585884255517E-2</v>
      </c>
      <c r="L68" s="128">
        <f t="shared" si="925"/>
        <v>0.13947185315264571</v>
      </c>
      <c r="M68" s="128">
        <f t="shared" si="925"/>
        <v>0.22476528865605064</v>
      </c>
      <c r="N68" s="128">
        <f t="shared" si="925"/>
        <v>7.441860465116279E-2</v>
      </c>
      <c r="O68" s="128">
        <f t="shared" si="925"/>
        <v>0.21252638986629135</v>
      </c>
      <c r="P68" s="128">
        <f t="shared" si="925"/>
        <v>0.36092715231788081</v>
      </c>
      <c r="Q68" s="128" t="e">
        <f t="shared" si="925"/>
        <v>#DIV/0!</v>
      </c>
      <c r="R68" s="128">
        <f t="shared" si="925"/>
        <v>0.25578215791272646</v>
      </c>
      <c r="S68" s="128" t="e">
        <f t="shared" si="925"/>
        <v>#DIV/0!</v>
      </c>
      <c r="T68" s="128" t="e">
        <f t="shared" si="925"/>
        <v>#DIV/0!</v>
      </c>
      <c r="U68" s="128" t="e">
        <f t="shared" si="925"/>
        <v>#DIV/0!</v>
      </c>
      <c r="V68" s="180" t="e">
        <f t="shared" si="925"/>
        <v>#DIV/0!</v>
      </c>
      <c r="W68" s="128" t="e">
        <f t="shared" si="925"/>
        <v>#DIV/0!</v>
      </c>
      <c r="X68" s="128" t="e">
        <f t="shared" si="925"/>
        <v>#DIV/0!</v>
      </c>
      <c r="Y68" s="128">
        <f t="shared" si="925"/>
        <v>4.2526178010471201</v>
      </c>
      <c r="Z68" s="128">
        <f t="shared" si="925"/>
        <v>1.6411290322580645</v>
      </c>
      <c r="AA68" s="128">
        <f t="shared" si="925"/>
        <v>0.17631322957198445</v>
      </c>
      <c r="AB68" s="128">
        <f t="shared" ref="AB68" si="926">AB63/AB60</f>
        <v>0</v>
      </c>
      <c r="AC68" s="222" t="e">
        <f t="shared" si="925"/>
        <v>#DIV/0!</v>
      </c>
      <c r="AD68" s="128">
        <f t="shared" si="925"/>
        <v>0.25976909938420345</v>
      </c>
      <c r="AE68" s="128">
        <f t="shared" si="925"/>
        <v>0.27889273356401384</v>
      </c>
      <c r="AF68" s="128">
        <f t="shared" si="925"/>
        <v>11.416666666666666</v>
      </c>
      <c r="AG68" s="128">
        <f t="shared" si="925"/>
        <v>0.79662749105774144</v>
      </c>
      <c r="AH68" s="128" t="e">
        <f t="shared" si="925"/>
        <v>#DIV/0!</v>
      </c>
      <c r="AI68" s="128" t="e">
        <f t="shared" si="925"/>
        <v>#DIV/0!</v>
      </c>
      <c r="AJ68" s="128">
        <f t="shared" si="925"/>
        <v>0</v>
      </c>
      <c r="AK68" s="128">
        <f t="shared" si="925"/>
        <v>0.12557905899425126</v>
      </c>
      <c r="AL68" s="128">
        <f t="shared" si="925"/>
        <v>6.8264440554732728E-2</v>
      </c>
      <c r="AM68" s="128">
        <f t="shared" si="925"/>
        <v>0.31833513012879411</v>
      </c>
      <c r="AN68" s="128">
        <f t="shared" si="925"/>
        <v>0.81257259993167064</v>
      </c>
      <c r="AO68" s="180">
        <f t="shared" si="925"/>
        <v>0.30018616161993578</v>
      </c>
      <c r="AP68" s="128">
        <f t="shared" si="925"/>
        <v>0.41666666666666669</v>
      </c>
      <c r="AQ68" s="222" t="e">
        <f t="shared" si="925"/>
        <v>#DIV/0!</v>
      </c>
      <c r="AR68" s="128" t="e">
        <f t="shared" si="925"/>
        <v>#DIV/0!</v>
      </c>
      <c r="AS68" s="128" t="e">
        <f t="shared" si="925"/>
        <v>#DIV/0!</v>
      </c>
      <c r="AT68" s="128" t="e">
        <f t="shared" si="925"/>
        <v>#DIV/0!</v>
      </c>
      <c r="AU68" s="128" t="e">
        <f t="shared" si="925"/>
        <v>#DIV/0!</v>
      </c>
      <c r="AV68" s="128" t="e">
        <f t="shared" si="925"/>
        <v>#DIV/0!</v>
      </c>
      <c r="AW68" s="128">
        <f t="shared" si="925"/>
        <v>0</v>
      </c>
      <c r="AX68" s="128">
        <f t="shared" si="925"/>
        <v>0</v>
      </c>
      <c r="AY68" s="128" t="e">
        <f t="shared" si="925"/>
        <v>#DIV/0!</v>
      </c>
      <c r="AZ68" s="128" t="e">
        <f t="shared" si="925"/>
        <v>#DIV/0!</v>
      </c>
      <c r="BA68" s="128" t="e">
        <f t="shared" si="925"/>
        <v>#DIV/0!</v>
      </c>
      <c r="BB68" s="222" t="e">
        <f t="shared" si="925"/>
        <v>#DIV/0!</v>
      </c>
      <c r="BC68" s="128">
        <f t="shared" si="925"/>
        <v>0.30854899812862296</v>
      </c>
      <c r="BD68" s="128">
        <f t="shared" si="925"/>
        <v>0.30854899812862296</v>
      </c>
      <c r="BE68" s="128" t="e">
        <f t="shared" si="925"/>
        <v>#DIV/0!</v>
      </c>
      <c r="BF68" s="128">
        <f t="shared" si="925"/>
        <v>0.3778477414841051</v>
      </c>
      <c r="BG68" s="128">
        <f t="shared" si="925"/>
        <v>0</v>
      </c>
      <c r="BH68" s="180">
        <f t="shared" si="925"/>
        <v>0.29617798924220046</v>
      </c>
      <c r="BI68" s="128">
        <f t="shared" si="925"/>
        <v>0.26480917907499818</v>
      </c>
      <c r="BJ68" s="128">
        <f t="shared" si="925"/>
        <v>8.8917059036580953E-2</v>
      </c>
      <c r="BK68" s="128">
        <f t="shared" si="925"/>
        <v>0.26529992936418673</v>
      </c>
      <c r="BM68" s="128" t="e">
        <f t="shared" ref="BM68" si="927">BM63/BM60</f>
        <v>#DIV/0!</v>
      </c>
    </row>
    <row r="69" spans="1:65" s="183" customFormat="1" ht="15.75" x14ac:dyDescent="0.25">
      <c r="A69" s="130"/>
      <c r="B69" s="5" t="s">
        <v>329</v>
      </c>
      <c r="C69" s="11">
        <f>C63-C60</f>
        <v>-3237418</v>
      </c>
      <c r="D69" s="11">
        <f t="shared" ref="D69:BM69" si="928">D63-D60</f>
        <v>-695486</v>
      </c>
      <c r="E69" s="11">
        <f t="shared" si="928"/>
        <v>-127383</v>
      </c>
      <c r="F69" s="11">
        <f t="shared" si="928"/>
        <v>-574712</v>
      </c>
      <c r="G69" s="11">
        <f t="shared" si="928"/>
        <v>-193814</v>
      </c>
      <c r="H69" s="11">
        <f t="shared" si="928"/>
        <v>0</v>
      </c>
      <c r="I69" s="11">
        <f t="shared" si="928"/>
        <v>0</v>
      </c>
      <c r="J69" s="11">
        <f t="shared" si="928"/>
        <v>-1049859</v>
      </c>
      <c r="K69" s="11">
        <f t="shared" si="928"/>
        <v>-51012</v>
      </c>
      <c r="L69" s="11">
        <f t="shared" si="928"/>
        <v>-129858</v>
      </c>
      <c r="M69" s="11">
        <f t="shared" si="928"/>
        <v>-239132</v>
      </c>
      <c r="N69" s="11">
        <f t="shared" si="928"/>
        <v>-597</v>
      </c>
      <c r="O69" s="11">
        <f t="shared" si="928"/>
        <v>-5595</v>
      </c>
      <c r="P69" s="11">
        <f t="shared" si="928"/>
        <v>-8492</v>
      </c>
      <c r="Q69" s="11">
        <f t="shared" si="928"/>
        <v>0</v>
      </c>
      <c r="R69" s="11">
        <f t="shared" si="928"/>
        <v>-6532</v>
      </c>
      <c r="S69" s="11">
        <f t="shared" si="928"/>
        <v>0</v>
      </c>
      <c r="T69" s="11">
        <f t="shared" si="928"/>
        <v>0</v>
      </c>
      <c r="U69" s="11">
        <f t="shared" si="928"/>
        <v>0</v>
      </c>
      <c r="V69" s="9">
        <f t="shared" si="928"/>
        <v>0</v>
      </c>
      <c r="W69" s="11">
        <f t="shared" si="928"/>
        <v>0</v>
      </c>
      <c r="X69" s="11">
        <f t="shared" si="928"/>
        <v>0</v>
      </c>
      <c r="Y69" s="11">
        <f t="shared" si="928"/>
        <v>2485</v>
      </c>
      <c r="Z69" s="11">
        <f t="shared" si="928"/>
        <v>159</v>
      </c>
      <c r="AA69" s="11">
        <f t="shared" si="928"/>
        <v>-3387</v>
      </c>
      <c r="AB69" s="11">
        <f t="shared" ref="AB69" si="929">AB63-AB60</f>
        <v>-8148</v>
      </c>
      <c r="AC69" s="10">
        <f t="shared" si="928"/>
        <v>0</v>
      </c>
      <c r="AD69" s="11">
        <f t="shared" si="928"/>
        <v>-6328781</v>
      </c>
      <c r="AE69" s="11">
        <f t="shared" si="928"/>
        <v>-2084</v>
      </c>
      <c r="AF69" s="11">
        <f t="shared" si="928"/>
        <v>500</v>
      </c>
      <c r="AG69" s="11">
        <f t="shared" si="928"/>
        <v>-796</v>
      </c>
      <c r="AH69" s="11">
        <f t="shared" si="928"/>
        <v>0</v>
      </c>
      <c r="AI69" s="11">
        <f t="shared" si="928"/>
        <v>0</v>
      </c>
      <c r="AJ69" s="11">
        <f t="shared" si="928"/>
        <v>-344</v>
      </c>
      <c r="AK69" s="11">
        <f t="shared" si="928"/>
        <v>-78335</v>
      </c>
      <c r="AL69" s="11">
        <f t="shared" si="928"/>
        <v>-55360</v>
      </c>
      <c r="AM69" s="11">
        <f t="shared" si="928"/>
        <v>-462209</v>
      </c>
      <c r="AN69" s="11">
        <f t="shared" si="928"/>
        <v>-2743</v>
      </c>
      <c r="AO69" s="9">
        <f t="shared" si="928"/>
        <v>-318402</v>
      </c>
      <c r="AP69" s="11">
        <f t="shared" si="928"/>
        <v>-840</v>
      </c>
      <c r="AQ69" s="10">
        <f t="shared" si="928"/>
        <v>0</v>
      </c>
      <c r="AR69" s="11">
        <f t="shared" si="928"/>
        <v>0</v>
      </c>
      <c r="AS69" s="11">
        <f t="shared" si="928"/>
        <v>0</v>
      </c>
      <c r="AT69" s="11">
        <f t="shared" si="928"/>
        <v>0</v>
      </c>
      <c r="AU69" s="11">
        <f t="shared" si="928"/>
        <v>0</v>
      </c>
      <c r="AV69" s="11">
        <f t="shared" si="928"/>
        <v>0</v>
      </c>
      <c r="AW69" s="11">
        <f t="shared" si="928"/>
        <v>-1252</v>
      </c>
      <c r="AX69" s="11">
        <f t="shared" si="928"/>
        <v>-448</v>
      </c>
      <c r="AY69" s="11">
        <f t="shared" si="928"/>
        <v>0</v>
      </c>
      <c r="AZ69" s="11">
        <f t="shared" si="928"/>
        <v>0</v>
      </c>
      <c r="BA69" s="11">
        <f t="shared" si="928"/>
        <v>0</v>
      </c>
      <c r="BB69" s="10">
        <f t="shared" si="928"/>
        <v>0</v>
      </c>
      <c r="BC69" s="11">
        <f t="shared" si="928"/>
        <v>-15149</v>
      </c>
      <c r="BD69" s="11">
        <f t="shared" si="928"/>
        <v>-15149</v>
      </c>
      <c r="BE69" s="11">
        <f t="shared" si="928"/>
        <v>0</v>
      </c>
      <c r="BF69" s="11">
        <f t="shared" si="928"/>
        <v>-14228</v>
      </c>
      <c r="BG69" s="11">
        <f t="shared" si="928"/>
        <v>-2</v>
      </c>
      <c r="BH69" s="11">
        <f t="shared" si="928"/>
        <v>-966841</v>
      </c>
      <c r="BI69" s="11">
        <f t="shared" si="928"/>
        <v>-7295622</v>
      </c>
      <c r="BJ69" s="11">
        <f t="shared" si="928"/>
        <v>-25155</v>
      </c>
      <c r="BK69" s="11">
        <f t="shared" si="928"/>
        <v>-7270467</v>
      </c>
      <c r="BL69" s="11">
        <f t="shared" si="928"/>
        <v>2625354</v>
      </c>
      <c r="BM69" s="11">
        <f t="shared" si="928"/>
        <v>404405</v>
      </c>
    </row>
    <row r="70" spans="1:65" s="183" customFormat="1" ht="15.75" x14ac:dyDescent="0.2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17"/>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44"/>
      <c r="BJ70" s="5"/>
      <c r="BK70" s="50"/>
    </row>
    <row r="71" spans="1:65" ht="15.75" x14ac:dyDescent="0.25">
      <c r="A71" s="15" t="s">
        <v>141</v>
      </c>
      <c r="B71" s="229" t="s">
        <v>298</v>
      </c>
      <c r="C71" s="122">
        <v>5895304</v>
      </c>
      <c r="D71" s="122">
        <v>1062136</v>
      </c>
      <c r="E71" s="122">
        <v>224044</v>
      </c>
      <c r="F71" s="122">
        <v>679305</v>
      </c>
      <c r="G71" s="122">
        <v>342500</v>
      </c>
      <c r="H71" s="122">
        <v>0</v>
      </c>
      <c r="I71" s="122">
        <v>0</v>
      </c>
      <c r="J71" s="122">
        <v>550715</v>
      </c>
      <c r="K71" s="122">
        <v>61527</v>
      </c>
      <c r="L71" s="122">
        <v>202170</v>
      </c>
      <c r="M71" s="122">
        <v>233105</v>
      </c>
      <c r="N71" s="122">
        <v>1125</v>
      </c>
      <c r="O71" s="122">
        <v>14818</v>
      </c>
      <c r="P71" s="122">
        <v>172511</v>
      </c>
      <c r="Q71" s="122">
        <v>0</v>
      </c>
      <c r="R71" s="122">
        <v>11089</v>
      </c>
      <c r="S71" s="122">
        <v>0</v>
      </c>
      <c r="T71" s="122">
        <v>0</v>
      </c>
      <c r="U71" s="122"/>
      <c r="V71" s="195">
        <v>0</v>
      </c>
      <c r="W71" s="122">
        <v>0</v>
      </c>
      <c r="X71" s="122">
        <v>0</v>
      </c>
      <c r="Y71" s="122">
        <v>2312</v>
      </c>
      <c r="Z71" s="122">
        <v>634</v>
      </c>
      <c r="AA71" s="122">
        <v>509</v>
      </c>
      <c r="AB71" s="122">
        <v>10476</v>
      </c>
      <c r="AC71" s="154">
        <v>0</v>
      </c>
      <c r="AD71" s="123">
        <f t="shared" ref="AD71:AD72" si="930">SUM(C71:AC71)</f>
        <v>9464280</v>
      </c>
      <c r="AE71" s="122">
        <v>10263</v>
      </c>
      <c r="AF71" s="122">
        <v>635</v>
      </c>
      <c r="AG71" s="122">
        <v>6060</v>
      </c>
      <c r="AH71" s="122">
        <v>0</v>
      </c>
      <c r="AI71" s="122">
        <v>0</v>
      </c>
      <c r="AJ71" s="122">
        <v>14414</v>
      </c>
      <c r="AK71" s="122">
        <v>26297</v>
      </c>
      <c r="AL71" s="122">
        <v>56981</v>
      </c>
      <c r="AM71" s="122">
        <v>0</v>
      </c>
      <c r="AN71" s="122">
        <v>342</v>
      </c>
      <c r="AO71" s="195">
        <v>393803</v>
      </c>
      <c r="AP71" s="122">
        <v>15433058</v>
      </c>
      <c r="AQ71" s="154">
        <v>0</v>
      </c>
      <c r="AR71" s="122">
        <v>0</v>
      </c>
      <c r="AS71" s="122"/>
      <c r="AT71" s="122"/>
      <c r="AU71" s="122">
        <v>0</v>
      </c>
      <c r="AV71" s="122"/>
      <c r="AW71" s="122">
        <v>602</v>
      </c>
      <c r="AX71" s="122">
        <v>2643</v>
      </c>
      <c r="AY71" s="122">
        <v>50</v>
      </c>
      <c r="AZ71" s="122">
        <v>0</v>
      </c>
      <c r="BA71" s="122">
        <v>0</v>
      </c>
      <c r="BB71" s="154">
        <v>0</v>
      </c>
      <c r="BC71" s="122">
        <v>17832</v>
      </c>
      <c r="BD71" s="122">
        <v>17832</v>
      </c>
      <c r="BE71" s="122">
        <v>0</v>
      </c>
      <c r="BF71" s="122">
        <v>23472</v>
      </c>
      <c r="BG71" s="195">
        <v>2890</v>
      </c>
      <c r="BH71" s="9">
        <f>SUM(AE71:BG71)</f>
        <v>16007174</v>
      </c>
      <c r="BI71" s="127">
        <f>AD71+BH71</f>
        <v>25471454</v>
      </c>
      <c r="BJ71" s="98">
        <v>0</v>
      </c>
      <c r="BK71" s="9">
        <f t="shared" ref="BK71:BK72" si="931">BI71-BJ71</f>
        <v>25471454</v>
      </c>
      <c r="BL71">
        <v>7</v>
      </c>
      <c r="BM71" s="30"/>
    </row>
    <row r="72" spans="1:65" s="41" customFormat="1" ht="15.75" x14ac:dyDescent="0.25">
      <c r="A72" s="136" t="s">
        <v>141</v>
      </c>
      <c r="B72" s="225" t="s">
        <v>326</v>
      </c>
      <c r="C72" s="10">
        <v>1532778</v>
      </c>
      <c r="D72" s="10">
        <v>276155</v>
      </c>
      <c r="E72" s="10">
        <v>0</v>
      </c>
      <c r="F72" s="10">
        <v>176619</v>
      </c>
      <c r="G72" s="10">
        <v>89052</v>
      </c>
      <c r="H72" s="10">
        <v>0</v>
      </c>
      <c r="I72" s="10">
        <v>0</v>
      </c>
      <c r="J72" s="10">
        <v>143186</v>
      </c>
      <c r="K72" s="10">
        <v>15997</v>
      </c>
      <c r="L72" s="10">
        <v>52565</v>
      </c>
      <c r="M72" s="10">
        <v>60604</v>
      </c>
      <c r="N72" s="10">
        <v>293</v>
      </c>
      <c r="O72" s="10">
        <v>3851</v>
      </c>
      <c r="P72" s="10">
        <v>44854</v>
      </c>
      <c r="Q72" s="10">
        <v>0</v>
      </c>
      <c r="R72" s="10">
        <v>2884</v>
      </c>
      <c r="S72" s="10">
        <v>0</v>
      </c>
      <c r="T72" s="10">
        <v>0</v>
      </c>
      <c r="U72" s="10"/>
      <c r="V72" s="10">
        <v>0</v>
      </c>
      <c r="W72" s="10">
        <v>0</v>
      </c>
      <c r="X72" s="10">
        <v>0</v>
      </c>
      <c r="Y72" s="10">
        <v>601</v>
      </c>
      <c r="Z72" s="10">
        <v>166</v>
      </c>
      <c r="AA72" s="10">
        <v>133</v>
      </c>
      <c r="AB72" s="10">
        <v>2794</v>
      </c>
      <c r="AC72" s="9">
        <v>0</v>
      </c>
      <c r="AD72" s="123">
        <f t="shared" si="930"/>
        <v>2402532</v>
      </c>
      <c r="AE72" s="10">
        <v>2668</v>
      </c>
      <c r="AF72" s="10">
        <v>164</v>
      </c>
      <c r="AG72" s="10">
        <v>1576</v>
      </c>
      <c r="AH72" s="10">
        <v>0</v>
      </c>
      <c r="AI72" s="10">
        <v>0</v>
      </c>
      <c r="AJ72" s="10">
        <v>3748</v>
      </c>
      <c r="AK72" s="10">
        <v>6837</v>
      </c>
      <c r="AL72" s="10">
        <v>14816</v>
      </c>
      <c r="AM72" s="10" t="s">
        <v>318</v>
      </c>
      <c r="AN72" s="10">
        <v>89</v>
      </c>
      <c r="AO72" s="10">
        <v>102389</v>
      </c>
      <c r="AP72" s="10">
        <v>5636195</v>
      </c>
      <c r="AQ72" s="9">
        <v>0</v>
      </c>
      <c r="AR72" s="10">
        <v>0</v>
      </c>
      <c r="AS72" s="10"/>
      <c r="AT72" s="10"/>
      <c r="AU72" s="10">
        <v>0</v>
      </c>
      <c r="AV72" s="10"/>
      <c r="AW72" s="10">
        <v>156</v>
      </c>
      <c r="AX72" s="10">
        <v>687</v>
      </c>
      <c r="AY72" s="10">
        <v>13</v>
      </c>
      <c r="AZ72" s="10">
        <v>0</v>
      </c>
      <c r="BA72" s="10">
        <v>0</v>
      </c>
      <c r="BB72" s="10">
        <v>0</v>
      </c>
      <c r="BC72" s="10">
        <v>4637</v>
      </c>
      <c r="BD72" s="10">
        <v>4637</v>
      </c>
      <c r="BE72" s="10">
        <v>0</v>
      </c>
      <c r="BF72" s="10">
        <v>6103</v>
      </c>
      <c r="BG72" s="10">
        <v>680</v>
      </c>
      <c r="BH72" s="10">
        <f>SUM(AE72:BG72)</f>
        <v>5785395</v>
      </c>
      <c r="BI72" s="227">
        <f>AD72+BH72</f>
        <v>8187927</v>
      </c>
      <c r="BJ72" s="10">
        <v>0</v>
      </c>
      <c r="BK72" s="10">
        <f t="shared" si="931"/>
        <v>8187927</v>
      </c>
      <c r="BM72" s="226"/>
    </row>
    <row r="73" spans="1:65" ht="15.75" x14ac:dyDescent="0.25">
      <c r="A73" s="130"/>
      <c r="B73" s="12" t="s">
        <v>324</v>
      </c>
      <c r="C73" s="9">
        <f>IF('Upto Month COPPY'!$H$4="",0,'Upto Month COPPY'!$H$4)</f>
        <v>1440201</v>
      </c>
      <c r="D73" s="9">
        <f>IF('Upto Month COPPY'!$H$5="",0,'Upto Month COPPY'!$H$5)</f>
        <v>257578</v>
      </c>
      <c r="E73" s="9">
        <f>IF('Upto Month COPPY'!$H$6="",0,'Upto Month COPPY'!$H$6)</f>
        <v>1487</v>
      </c>
      <c r="F73" s="9">
        <f>IF('Upto Month COPPY'!$H$7="",0,'Upto Month COPPY'!$H$7)</f>
        <v>155583</v>
      </c>
      <c r="G73" s="9">
        <f>IF('Upto Month COPPY'!$H$8="",0,'Upto Month COPPY'!$H$8)</f>
        <v>78536</v>
      </c>
      <c r="H73" s="9">
        <f>IF('Upto Month COPPY'!$H$9="",0,'Upto Month COPPY'!$H$9)</f>
        <v>0</v>
      </c>
      <c r="I73" s="9">
        <f>IF('Upto Month COPPY'!$H$10="",0,'Upto Month COPPY'!$H$10)</f>
        <v>0</v>
      </c>
      <c r="J73" s="9">
        <f>IF('Upto Month COPPY'!$H$11="",0,'Upto Month COPPY'!$H$11)</f>
        <v>149131</v>
      </c>
      <c r="K73" s="9">
        <f>IF('Upto Month COPPY'!$H$12="",0,'Upto Month COPPY'!$H$12)</f>
        <v>5089</v>
      </c>
      <c r="L73" s="9">
        <f>IF('Upto Month COPPY'!$H$13="",0,'Upto Month COPPY'!$H$13)</f>
        <v>61748</v>
      </c>
      <c r="M73" s="9">
        <f>IF('Upto Month COPPY'!$H$14="",0,'Upto Month COPPY'!$H$14)</f>
        <v>32541</v>
      </c>
      <c r="N73" s="9">
        <f>IF('Upto Month COPPY'!$H$15="",0,'Upto Month COPPY'!$H$15)</f>
        <v>35</v>
      </c>
      <c r="O73" s="9">
        <f>IF('Upto Month COPPY'!$H$16="",0,'Upto Month COPPY'!$H$16)</f>
        <v>2624</v>
      </c>
      <c r="P73" s="9">
        <f>IF('Upto Month COPPY'!$H$17="",0,'Upto Month COPPY'!$H$17)</f>
        <v>48045</v>
      </c>
      <c r="Q73" s="9">
        <f>IF('Upto Month COPPY'!$H$18="",0,'Upto Month COPPY'!$H$18)</f>
        <v>0</v>
      </c>
      <c r="R73" s="9">
        <f>IF('Upto Month COPPY'!$H$21="",0,'Upto Month COPPY'!$H$21)</f>
        <v>663</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831</v>
      </c>
      <c r="Z73" s="9">
        <f>IF('Upto Month COPPY'!$H$43="",0,'Upto Month COPPY'!$H$43)</f>
        <v>168</v>
      </c>
      <c r="AA73" s="9">
        <f>IF('Upto Month COPPY'!$H$44="",0,'Upto Month COPPY'!$H$44)</f>
        <v>98</v>
      </c>
      <c r="AB73" s="9">
        <f>IF('Upto Month COPPY'!$H$48="",0,'Upto Month COPPY'!$H$48)</f>
        <v>0</v>
      </c>
      <c r="AC73" s="10">
        <f>IF('Upto Month COPPY'!$H$51="",0,'Upto Month COPPY'!$H$51)</f>
        <v>0</v>
      </c>
      <c r="AD73" s="123">
        <f t="shared" ref="AD73:AD74" si="932">SUM(C73:AC73)</f>
        <v>2234358</v>
      </c>
      <c r="AE73" s="9">
        <f>IF('Upto Month COPPY'!$H$19="",0,'Upto Month COPPY'!$H$19)</f>
        <v>2893</v>
      </c>
      <c r="AF73" s="9">
        <f>IF('Upto Month COPPY'!$H$20="",0,'Upto Month COPPY'!$H$20)</f>
        <v>396</v>
      </c>
      <c r="AG73" s="9">
        <f>IF('Upto Month COPPY'!$H$22="",0,'Upto Month COPPY'!$H$22)</f>
        <v>4988</v>
      </c>
      <c r="AH73" s="9">
        <f>IF('Upto Month COPPY'!$H$23="",0,'Upto Month COPPY'!$H$23)</f>
        <v>0</v>
      </c>
      <c r="AI73" s="9">
        <f>IF('Upto Month COPPY'!$H$24="",0,'Upto Month COPPY'!$H$24)</f>
        <v>0</v>
      </c>
      <c r="AJ73" s="9">
        <f>IF('Upto Month COPPY'!$H$25="",0,'Upto Month COPPY'!$H$25)</f>
        <v>4561</v>
      </c>
      <c r="AK73" s="9">
        <f>IF('Upto Month COPPY'!$H$28="",0,'Upto Month COPPY'!$H$28)</f>
        <v>2382</v>
      </c>
      <c r="AL73" s="9">
        <f>IF('Upto Month COPPY'!$H$29="",0,'Upto Month COPPY'!$H$29)</f>
        <v>11718</v>
      </c>
      <c r="AM73" s="9">
        <f>IF('Upto Month COPPY'!$H$31="",0,'Upto Month COPPY'!$H$31)</f>
        <v>0</v>
      </c>
      <c r="AN73" s="9">
        <f>IF('Upto Month COPPY'!$H$32="",0,'Upto Month COPPY'!$H$32)</f>
        <v>16</v>
      </c>
      <c r="AO73" s="9">
        <f>IF('Upto Month COPPY'!$H$33="",0,'Upto Month COPPY'!$H$33)</f>
        <v>132529</v>
      </c>
      <c r="AP73" s="9">
        <f>IF('Upto Month COPPY'!$H$34="",0,'Upto Month COPPY'!$H$34)</f>
        <v>4726006</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261</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6659</v>
      </c>
      <c r="BD73" s="9">
        <f>IF('Upto Month COPPY'!$H$54="",0,'Upto Month COPPY'!$H$54)</f>
        <v>5172</v>
      </c>
      <c r="BE73" s="9">
        <f>IF('Upto Month COPPY'!$H$55="",0,'Upto Month COPPY'!$H$55)</f>
        <v>0</v>
      </c>
      <c r="BF73" s="9">
        <f>IF('Upto Month COPPY'!$H$56="",0,'Upto Month COPPY'!$H$56)</f>
        <v>5206</v>
      </c>
      <c r="BG73" s="9">
        <f>IF('Upto Month COPPY'!$H$58="",0,'Upto Month COPPY'!$H$58)</f>
        <v>3690</v>
      </c>
      <c r="BH73" s="9">
        <f>SUM(AE73:BG73)</f>
        <v>4906477</v>
      </c>
      <c r="BI73" s="127">
        <f>AD73+BH73</f>
        <v>7140835</v>
      </c>
      <c r="BJ73" s="9">
        <f>IF('Upto Month COPPY'!$H$60="",0,'Upto Month COPPY'!$H$60)</f>
        <v>42</v>
      </c>
      <c r="BK73" s="51">
        <f t="shared" ref="BK73:BK74" si="933">BI73-BJ73</f>
        <v>7140793</v>
      </c>
      <c r="BL73">
        <f>'Upto Month COPPY'!$H$61</f>
        <v>7140792</v>
      </c>
      <c r="BM73" s="30">
        <f t="shared" ref="BM73:BM77" si="934">BK73-AD73</f>
        <v>4906435</v>
      </c>
    </row>
    <row r="74" spans="1:65" ht="15.75" x14ac:dyDescent="0.25">
      <c r="A74" s="130"/>
      <c r="B74" s="185" t="s">
        <v>325</v>
      </c>
      <c r="C74" s="9">
        <f>IF('Upto Month Current'!$H$4="",0,'Upto Month Current'!$H$4)</f>
        <v>1401642</v>
      </c>
      <c r="D74" s="9">
        <f>IF('Upto Month Current'!$H$5="",0,'Upto Month Current'!$H$5)</f>
        <v>252225</v>
      </c>
      <c r="E74" s="9">
        <f>IF('Upto Month Current'!$H$6="",0,'Upto Month Current'!$H$6)</f>
        <v>124</v>
      </c>
      <c r="F74" s="9">
        <f>IF('Upto Month Current'!$H$7="",0,'Upto Month Current'!$H$7)</f>
        <v>158749</v>
      </c>
      <c r="G74" s="9">
        <f>IF('Upto Month Current'!$H$8="",0,'Upto Month Current'!$H$8)</f>
        <v>77321</v>
      </c>
      <c r="H74" s="9">
        <f>IF('Upto Month Current'!$H$9="",0,'Upto Month Current'!$H$9)</f>
        <v>0</v>
      </c>
      <c r="I74" s="9">
        <f>IF('Upto Month Current'!$H$10="",0,'Upto Month Current'!$H$10)</f>
        <v>0</v>
      </c>
      <c r="J74" s="9">
        <f>IF('Upto Month Current'!$H$11="",0,'Upto Month Current'!$H$11)</f>
        <v>158534</v>
      </c>
      <c r="K74" s="9">
        <f>IF('Upto Month Current'!$H$12="",0,'Upto Month Current'!$H$12)</f>
        <v>1793</v>
      </c>
      <c r="L74" s="9">
        <f>IF('Upto Month Current'!$H$13="",0,'Upto Month Current'!$H$13)</f>
        <v>38972</v>
      </c>
      <c r="M74" s="9">
        <f>IF('Upto Month Current'!$H$14="",0,'Upto Month Current'!$H$14)</f>
        <v>42177</v>
      </c>
      <c r="N74" s="9">
        <f>IF('Upto Month Current'!$H$15="",0,'Upto Month Current'!$H$15)</f>
        <v>113</v>
      </c>
      <c r="O74" s="9">
        <f>IF('Upto Month Current'!$H$16="",0,'Upto Month Current'!$H$16)</f>
        <v>3333</v>
      </c>
      <c r="P74" s="9">
        <f>IF('Upto Month Current'!$H$17="",0,'Upto Month Current'!$H$17)</f>
        <v>67872</v>
      </c>
      <c r="Q74" s="9">
        <f>IF('Upto Month Current'!$H$18="",0,'Upto Month Current'!$H$18)</f>
        <v>0</v>
      </c>
      <c r="R74" s="9">
        <f>IF('Upto Month Current'!$H$21="",0,'Upto Month Current'!$H$21)</f>
        <v>1652</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3281</v>
      </c>
      <c r="Z74" s="9">
        <f>IF('Upto Month Current'!$H$43="",0,'Upto Month Current'!$H$43)</f>
        <v>440</v>
      </c>
      <c r="AA74" s="9">
        <f>IF('Upto Month Current'!$H$44="",0,'Upto Month Current'!$H$44)</f>
        <v>1242</v>
      </c>
      <c r="AB74" s="9">
        <f>IF('Upto Month Current'!$H$48="",0,'Upto Month Current'!$H$48)</f>
        <v>0</v>
      </c>
      <c r="AC74" s="10">
        <f>IF('Upto Month Current'!$H$51="",0,'Upto Month Current'!$H$51)</f>
        <v>0</v>
      </c>
      <c r="AD74" s="123">
        <f t="shared" si="932"/>
        <v>2209470</v>
      </c>
      <c r="AE74" s="9">
        <f>IF('Upto Month Current'!$H$19="",0,'Upto Month Current'!$H$19)</f>
        <v>2696</v>
      </c>
      <c r="AF74" s="9">
        <f>IF('Upto Month Current'!$H$20="",0,'Upto Month Current'!$H$20)</f>
        <v>658</v>
      </c>
      <c r="AG74" s="9">
        <f>IF('Upto Month Current'!$H$22="",0,'Upto Month Current'!$H$22)</f>
        <v>4828</v>
      </c>
      <c r="AH74" s="9">
        <f>IF('Upto Month Current'!$H$23="",0,'Upto Month Current'!$H$23)</f>
        <v>0</v>
      </c>
      <c r="AI74" s="9">
        <f>IF('Upto Month Current'!$H$24="",0,'Upto Month Current'!$H$24)</f>
        <v>0</v>
      </c>
      <c r="AJ74" s="9">
        <f>IF('Upto Month Current'!$H$25="",0,'Upto Month Current'!$H$25)</f>
        <v>3500</v>
      </c>
      <c r="AK74" s="9">
        <f>IF('Upto Month Current'!$H$28="",0,'Upto Month Current'!$H$28)</f>
        <v>7298</v>
      </c>
      <c r="AL74" s="9">
        <f>IF('Upto Month Current'!$H$29="",0,'Upto Month Current'!$H$29)</f>
        <v>4544</v>
      </c>
      <c r="AM74" s="9">
        <f>IF('Upto Month Current'!$H$31="",0,'Upto Month Current'!$H$31)</f>
        <v>0</v>
      </c>
      <c r="AN74" s="9">
        <f>IF('Upto Month Current'!$H$32="",0,'Upto Month Current'!$H$32)</f>
        <v>0</v>
      </c>
      <c r="AO74" s="9">
        <f>IF('Upto Month Current'!$H$33="",0,'Upto Month Current'!$H$33)</f>
        <v>78038</v>
      </c>
      <c r="AP74" s="9">
        <f>IF('Upto Month Current'!$H$34="",0,'Upto Month Current'!$H$34)</f>
        <v>5130525</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978</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4456</v>
      </c>
      <c r="BD74" s="9">
        <f>IF('Upto Month Current'!$H$54="",0,'Upto Month Current'!$H$54)</f>
        <v>4456</v>
      </c>
      <c r="BE74" s="9">
        <f>IF('Upto Month Current'!$H$55="",0,'Upto Month Current'!$H$55)</f>
        <v>0</v>
      </c>
      <c r="BF74" s="9">
        <f>IF('Upto Month Current'!$H$56="",0,'Upto Month Current'!$H$56)</f>
        <v>2554</v>
      </c>
      <c r="BG74" s="9">
        <f>IF('Upto Month Current'!$H$58="",0,'Upto Month Current'!$H$58)</f>
        <v>2090</v>
      </c>
      <c r="BH74" s="9">
        <f>SUM(AE74:BG74)</f>
        <v>5246621</v>
      </c>
      <c r="BI74" s="127">
        <f>AD74+BH74</f>
        <v>7456091</v>
      </c>
      <c r="BJ74" s="9">
        <f>IF('Upto Month Current'!$H$60="",0,'Upto Month Current'!$H$60)</f>
        <v>0</v>
      </c>
      <c r="BK74" s="51">
        <f t="shared" si="933"/>
        <v>7456091</v>
      </c>
      <c r="BL74">
        <f>'Upto Month Current'!$H$61</f>
        <v>7456092</v>
      </c>
      <c r="BM74" s="30">
        <f t="shared" si="934"/>
        <v>5246621</v>
      </c>
    </row>
    <row r="75" spans="1:65" ht="15.75" x14ac:dyDescent="0.25">
      <c r="A75" s="130"/>
      <c r="B75" s="5" t="s">
        <v>132</v>
      </c>
      <c r="C75" s="11">
        <f>C74-C72</f>
        <v>-131136</v>
      </c>
      <c r="D75" s="11">
        <f t="shared" ref="D75" si="935">D74-D72</f>
        <v>-23930</v>
      </c>
      <c r="E75" s="11">
        <f t="shared" ref="E75" si="936">E74-E72</f>
        <v>124</v>
      </c>
      <c r="F75" s="11">
        <f t="shared" ref="F75" si="937">F74-F72</f>
        <v>-17870</v>
      </c>
      <c r="G75" s="11">
        <f t="shared" ref="G75" si="938">G74-G72</f>
        <v>-11731</v>
      </c>
      <c r="H75" s="11">
        <f t="shared" ref="H75" si="939">H74-H72</f>
        <v>0</v>
      </c>
      <c r="I75" s="11">
        <f t="shared" ref="I75" si="940">I74-I72</f>
        <v>0</v>
      </c>
      <c r="J75" s="11">
        <f t="shared" ref="J75" si="941">J74-J72</f>
        <v>15348</v>
      </c>
      <c r="K75" s="11">
        <f t="shared" ref="K75" si="942">K74-K72</f>
        <v>-14204</v>
      </c>
      <c r="L75" s="11">
        <f t="shared" ref="L75" si="943">L74-L72</f>
        <v>-13593</v>
      </c>
      <c r="M75" s="11">
        <f t="shared" ref="M75" si="944">M74-M72</f>
        <v>-18427</v>
      </c>
      <c r="N75" s="11">
        <f t="shared" ref="N75" si="945">N74-N72</f>
        <v>-180</v>
      </c>
      <c r="O75" s="11">
        <f t="shared" ref="O75" si="946">O74-O72</f>
        <v>-518</v>
      </c>
      <c r="P75" s="11">
        <f t="shared" ref="P75" si="947">P74-P72</f>
        <v>23018</v>
      </c>
      <c r="Q75" s="11">
        <f t="shared" ref="Q75" si="948">Q74-Q72</f>
        <v>0</v>
      </c>
      <c r="R75" s="11">
        <f t="shared" ref="R75" si="949">R74-R72</f>
        <v>-1232</v>
      </c>
      <c r="S75" s="11">
        <f t="shared" ref="S75" si="950">S74-S72</f>
        <v>0</v>
      </c>
      <c r="T75" s="11">
        <f t="shared" ref="T75:U75" si="951">T74-T72</f>
        <v>0</v>
      </c>
      <c r="U75" s="11">
        <f t="shared" si="951"/>
        <v>0</v>
      </c>
      <c r="V75" s="9">
        <f t="shared" ref="V75" si="952">V74-V72</f>
        <v>0</v>
      </c>
      <c r="W75" s="11">
        <f t="shared" ref="W75" si="953">W74-W72</f>
        <v>0</v>
      </c>
      <c r="X75" s="11">
        <f t="shared" ref="X75" si="954">X74-X72</f>
        <v>0</v>
      </c>
      <c r="Y75" s="11">
        <f t="shared" ref="Y75" si="955">Y74-Y72</f>
        <v>2680</v>
      </c>
      <c r="Z75" s="11">
        <f t="shared" ref="Z75" si="956">Z74-Z72</f>
        <v>274</v>
      </c>
      <c r="AA75" s="11">
        <f t="shared" ref="AA75:AD75" si="957">AA74-AA72</f>
        <v>1109</v>
      </c>
      <c r="AB75" s="11">
        <f t="shared" ref="AB75" si="958">AB74-AB72</f>
        <v>-2794</v>
      </c>
      <c r="AC75" s="10">
        <f t="shared" si="957"/>
        <v>0</v>
      </c>
      <c r="AD75" s="11">
        <f t="shared" si="957"/>
        <v>-193062</v>
      </c>
      <c r="AE75" s="11">
        <f t="shared" ref="AE75" si="959">AE74-AE72</f>
        <v>28</v>
      </c>
      <c r="AF75" s="11">
        <f t="shared" ref="AF75" si="960">AF74-AF72</f>
        <v>494</v>
      </c>
      <c r="AG75" s="11">
        <f t="shared" ref="AG75" si="961">AG74-AG72</f>
        <v>3252</v>
      </c>
      <c r="AH75" s="11">
        <f t="shared" ref="AH75" si="962">AH74-AH72</f>
        <v>0</v>
      </c>
      <c r="AI75" s="11">
        <f t="shared" ref="AI75" si="963">AI74-AI72</f>
        <v>0</v>
      </c>
      <c r="AJ75" s="11">
        <f t="shared" ref="AJ75" si="964">AJ74-AJ72</f>
        <v>-248</v>
      </c>
      <c r="AK75" s="11">
        <f t="shared" ref="AK75" si="965">AK74-AK72</f>
        <v>461</v>
      </c>
      <c r="AL75" s="11">
        <f t="shared" ref="AL75" si="966">AL74-AL72</f>
        <v>-10272</v>
      </c>
      <c r="AM75" s="11" t="e">
        <f t="shared" ref="AM75" si="967">AM74-AM72</f>
        <v>#VALUE!</v>
      </c>
      <c r="AN75" s="11">
        <f t="shared" ref="AN75" si="968">AN74-AN72</f>
        <v>-89</v>
      </c>
      <c r="AO75" s="9">
        <f t="shared" ref="AO75" si="969">AO74-AO72</f>
        <v>-24351</v>
      </c>
      <c r="AP75" s="11">
        <f t="shared" ref="AP75" si="970">AP74-AP72</f>
        <v>-505670</v>
      </c>
      <c r="AQ75" s="10">
        <f t="shared" ref="AQ75" si="971">AQ74-AQ72</f>
        <v>0</v>
      </c>
      <c r="AR75" s="11">
        <f t="shared" ref="AR75" si="972">AR74-AR72</f>
        <v>0</v>
      </c>
      <c r="AS75" s="11">
        <f t="shared" ref="AS75" si="973">AS74-AS72</f>
        <v>0</v>
      </c>
      <c r="AT75" s="11">
        <f t="shared" ref="AT75" si="974">AT74-AT72</f>
        <v>0</v>
      </c>
      <c r="AU75" s="11">
        <f t="shared" ref="AU75" si="975">AU74-AU72</f>
        <v>0</v>
      </c>
      <c r="AV75" s="11">
        <f t="shared" ref="AV75" si="976">AV74-AV72</f>
        <v>0</v>
      </c>
      <c r="AW75" s="11">
        <f t="shared" ref="AW75" si="977">AW74-AW72</f>
        <v>-156</v>
      </c>
      <c r="AX75" s="11">
        <f t="shared" ref="AX75" si="978">AX74-AX72</f>
        <v>291</v>
      </c>
      <c r="AY75" s="11">
        <f t="shared" ref="AY75" si="979">AY74-AY72</f>
        <v>-13</v>
      </c>
      <c r="AZ75" s="11">
        <f t="shared" ref="AZ75" si="980">AZ74-AZ72</f>
        <v>0</v>
      </c>
      <c r="BA75" s="11">
        <f t="shared" ref="BA75" si="981">BA74-BA72</f>
        <v>0</v>
      </c>
      <c r="BB75" s="10">
        <f t="shared" ref="BB75" si="982">BB74-BB72</f>
        <v>0</v>
      </c>
      <c r="BC75" s="11">
        <f t="shared" ref="BC75" si="983">BC74-BC72</f>
        <v>-181</v>
      </c>
      <c r="BD75" s="11">
        <f t="shared" ref="BD75" si="984">BD74-BD72</f>
        <v>-181</v>
      </c>
      <c r="BE75" s="11">
        <f t="shared" ref="BE75" si="985">BE74-BE72</f>
        <v>0</v>
      </c>
      <c r="BF75" s="11">
        <f t="shared" ref="BF75" si="986">BF74-BF72</f>
        <v>-3549</v>
      </c>
      <c r="BG75" s="11">
        <f t="shared" ref="BG75:BH75" si="987">BG74-BG72</f>
        <v>1410</v>
      </c>
      <c r="BH75" s="9">
        <f t="shared" si="987"/>
        <v>-538774</v>
      </c>
      <c r="BI75" s="45">
        <f t="shared" ref="BI75" si="988">BI74-BI72</f>
        <v>-731836</v>
      </c>
      <c r="BJ75" s="11">
        <f t="shared" ref="BJ75:BK75" si="989">BJ74-BJ72</f>
        <v>0</v>
      </c>
      <c r="BK75" s="51">
        <f t="shared" si="989"/>
        <v>-731836</v>
      </c>
      <c r="BM75" s="30">
        <f t="shared" si="934"/>
        <v>-538774</v>
      </c>
    </row>
    <row r="76" spans="1:65" ht="15.75" x14ac:dyDescent="0.25">
      <c r="A76" s="130"/>
      <c r="B76" s="5" t="s">
        <v>133</v>
      </c>
      <c r="C76" s="13">
        <f>C75/C72</f>
        <v>-8.5554463855822563E-2</v>
      </c>
      <c r="D76" s="13">
        <f t="shared" ref="D76" si="990">D75/D72</f>
        <v>-8.665423403523384E-2</v>
      </c>
      <c r="E76" s="13" t="e">
        <f t="shared" ref="E76" si="991">E75/E72</f>
        <v>#DIV/0!</v>
      </c>
      <c r="F76" s="13">
        <f t="shared" ref="F76" si="992">F75/F72</f>
        <v>-0.10117824243144849</v>
      </c>
      <c r="G76" s="13">
        <f t="shared" ref="G76" si="993">G75/G72</f>
        <v>-0.1317320217401069</v>
      </c>
      <c r="H76" s="13" t="e">
        <f t="shared" ref="H76" si="994">H75/H72</f>
        <v>#DIV/0!</v>
      </c>
      <c r="I76" s="13" t="e">
        <f t="shared" ref="I76" si="995">I75/I72</f>
        <v>#DIV/0!</v>
      </c>
      <c r="J76" s="13">
        <f t="shared" ref="J76" si="996">J75/J72</f>
        <v>0.10718925034570419</v>
      </c>
      <c r="K76" s="13">
        <f t="shared" ref="K76" si="997">K75/K72</f>
        <v>-0.88791648434081394</v>
      </c>
      <c r="L76" s="13">
        <f t="shared" ref="L76" si="998">L75/L72</f>
        <v>-0.2585941215637782</v>
      </c>
      <c r="M76" s="13">
        <f t="shared" ref="M76" si="999">M75/M72</f>
        <v>-0.30405583789848856</v>
      </c>
      <c r="N76" s="13">
        <f t="shared" ref="N76" si="1000">N75/N72</f>
        <v>-0.61433447098976113</v>
      </c>
      <c r="O76" s="13">
        <f t="shared" ref="O76" si="1001">O75/O72</f>
        <v>-0.13451051674889639</v>
      </c>
      <c r="P76" s="13">
        <f t="shared" ref="P76" si="1002">P75/P72</f>
        <v>0.5131760824006778</v>
      </c>
      <c r="Q76" s="13" t="e">
        <f t="shared" ref="Q76" si="1003">Q75/Q72</f>
        <v>#DIV/0!</v>
      </c>
      <c r="R76" s="13">
        <f t="shared" ref="R76" si="1004">R75/R72</f>
        <v>-0.42718446601941745</v>
      </c>
      <c r="S76" s="13" t="e">
        <f t="shared" ref="S76" si="1005">S75/S72</f>
        <v>#DIV/0!</v>
      </c>
      <c r="T76" s="13" t="e">
        <f t="shared" ref="T76:U76" si="1006">T75/T72</f>
        <v>#DIV/0!</v>
      </c>
      <c r="U76" s="13" t="e">
        <f t="shared" si="1006"/>
        <v>#DIV/0!</v>
      </c>
      <c r="V76" s="165" t="e">
        <f t="shared" ref="V76" si="1007">V75/V72</f>
        <v>#DIV/0!</v>
      </c>
      <c r="W76" s="13" t="e">
        <f t="shared" ref="W76" si="1008">W75/W72</f>
        <v>#DIV/0!</v>
      </c>
      <c r="X76" s="13" t="e">
        <f t="shared" ref="X76" si="1009">X75/X72</f>
        <v>#DIV/0!</v>
      </c>
      <c r="Y76" s="13">
        <f t="shared" ref="Y76" si="1010">Y75/Y72</f>
        <v>4.4592346089850246</v>
      </c>
      <c r="Z76" s="13">
        <f t="shared" ref="Z76" si="1011">Z75/Z72</f>
        <v>1.6506024096385543</v>
      </c>
      <c r="AA76" s="13">
        <f t="shared" ref="AA76:AD76" si="1012">AA75/AA72</f>
        <v>8.3383458646616546</v>
      </c>
      <c r="AB76" s="13">
        <f t="shared" ref="AB76" si="1013">AB75/AB72</f>
        <v>-1</v>
      </c>
      <c r="AC76" s="14" t="e">
        <f t="shared" si="1012"/>
        <v>#DIV/0!</v>
      </c>
      <c r="AD76" s="13">
        <f t="shared" si="1012"/>
        <v>-8.0357722602654197E-2</v>
      </c>
      <c r="AE76" s="13">
        <f t="shared" ref="AE76" si="1014">AE75/AE72</f>
        <v>1.0494752623688156E-2</v>
      </c>
      <c r="AF76" s="13">
        <f t="shared" ref="AF76" si="1015">AF75/AF72</f>
        <v>3.0121951219512195</v>
      </c>
      <c r="AG76" s="13">
        <f t="shared" ref="AG76" si="1016">AG75/AG72</f>
        <v>2.063451776649746</v>
      </c>
      <c r="AH76" s="13" t="e">
        <f t="shared" ref="AH76" si="1017">AH75/AH72</f>
        <v>#DIV/0!</v>
      </c>
      <c r="AI76" s="13" t="e">
        <f t="shared" ref="AI76" si="1018">AI75/AI72</f>
        <v>#DIV/0!</v>
      </c>
      <c r="AJ76" s="13">
        <f t="shared" ref="AJ76" si="1019">AJ75/AJ72</f>
        <v>-6.616862326574173E-2</v>
      </c>
      <c r="AK76" s="13">
        <f t="shared" ref="AK76" si="1020">AK75/AK72</f>
        <v>6.7427234167032321E-2</v>
      </c>
      <c r="AL76" s="13">
        <f t="shared" ref="AL76" si="1021">AL75/AL72</f>
        <v>-0.693304535637149</v>
      </c>
      <c r="AM76" s="13" t="e">
        <f t="shared" ref="AM76" si="1022">AM75/AM72</f>
        <v>#VALUE!</v>
      </c>
      <c r="AN76" s="13">
        <f t="shared" ref="AN76" si="1023">AN75/AN72</f>
        <v>-1</v>
      </c>
      <c r="AO76" s="165">
        <f t="shared" ref="AO76" si="1024">AO75/AO72</f>
        <v>-0.23782828233501646</v>
      </c>
      <c r="AP76" s="13">
        <f t="shared" ref="AP76" si="1025">AP75/AP72</f>
        <v>-8.9718329475825448E-2</v>
      </c>
      <c r="AQ76" s="14" t="e">
        <f t="shared" ref="AQ76" si="1026">AQ75/AQ72</f>
        <v>#DIV/0!</v>
      </c>
      <c r="AR76" s="13" t="e">
        <f t="shared" ref="AR76" si="1027">AR75/AR72</f>
        <v>#DIV/0!</v>
      </c>
      <c r="AS76" s="13" t="e">
        <f t="shared" ref="AS76" si="1028">AS75/AS72</f>
        <v>#DIV/0!</v>
      </c>
      <c r="AT76" s="13" t="e">
        <f t="shared" ref="AT76" si="1029">AT75/AT72</f>
        <v>#DIV/0!</v>
      </c>
      <c r="AU76" s="13" t="e">
        <f t="shared" ref="AU76" si="1030">AU75/AU72</f>
        <v>#DIV/0!</v>
      </c>
      <c r="AV76" s="13" t="e">
        <f t="shared" ref="AV76" si="1031">AV75/AV72</f>
        <v>#DIV/0!</v>
      </c>
      <c r="AW76" s="13">
        <f t="shared" ref="AW76" si="1032">AW75/AW72</f>
        <v>-1</v>
      </c>
      <c r="AX76" s="13">
        <f t="shared" ref="AX76" si="1033">AX75/AX72</f>
        <v>0.42358078602620086</v>
      </c>
      <c r="AY76" s="13">
        <f t="shared" ref="AY76" si="1034">AY75/AY72</f>
        <v>-1</v>
      </c>
      <c r="AZ76" s="13" t="e">
        <f t="shared" ref="AZ76" si="1035">AZ75/AZ72</f>
        <v>#DIV/0!</v>
      </c>
      <c r="BA76" s="13" t="e">
        <f t="shared" ref="BA76" si="1036">BA75/BA72</f>
        <v>#DIV/0!</v>
      </c>
      <c r="BB76" s="14" t="e">
        <f t="shared" ref="BB76" si="1037">BB75/BB72</f>
        <v>#DIV/0!</v>
      </c>
      <c r="BC76" s="13">
        <f t="shared" ref="BC76" si="1038">BC75/BC72</f>
        <v>-3.9033858097908131E-2</v>
      </c>
      <c r="BD76" s="13">
        <f t="shared" ref="BD76" si="1039">BD75/BD72</f>
        <v>-3.9033858097908131E-2</v>
      </c>
      <c r="BE76" s="13" t="e">
        <f t="shared" ref="BE76" si="1040">BE75/BE72</f>
        <v>#DIV/0!</v>
      </c>
      <c r="BF76" s="13">
        <f t="shared" ref="BF76" si="1041">BF75/BF72</f>
        <v>-0.58151728658037027</v>
      </c>
      <c r="BG76" s="13">
        <f t="shared" ref="BG76:BH76" si="1042">BG75/BG72</f>
        <v>2.0735294117647061</v>
      </c>
      <c r="BH76" s="165">
        <f t="shared" si="1042"/>
        <v>-9.3126571305848602E-2</v>
      </c>
      <c r="BI76" s="46">
        <f t="shared" ref="BI76" si="1043">BI75/BI72</f>
        <v>-8.9379888218348802E-2</v>
      </c>
      <c r="BJ76" s="13" t="e">
        <f t="shared" ref="BJ76:BK76" si="1044">BJ75/BJ72</f>
        <v>#DIV/0!</v>
      </c>
      <c r="BK76" s="52">
        <f t="shared" si="1044"/>
        <v>-8.9379888218348802E-2</v>
      </c>
      <c r="BM76" s="165" t="e">
        <f t="shared" ref="BM76" si="1045">BM75/BM72</f>
        <v>#DIV/0!</v>
      </c>
    </row>
    <row r="77" spans="1:65" ht="15.75" x14ac:dyDescent="0.25">
      <c r="A77" s="130"/>
      <c r="B77" s="5" t="s">
        <v>134</v>
      </c>
      <c r="C77" s="11">
        <f>C74-C73</f>
        <v>-38559</v>
      </c>
      <c r="D77" s="11">
        <f t="shared" ref="D77:BK77" si="1046">D74-D73</f>
        <v>-5353</v>
      </c>
      <c r="E77" s="11">
        <f t="shared" si="1046"/>
        <v>-1363</v>
      </c>
      <c r="F77" s="11">
        <f t="shared" si="1046"/>
        <v>3166</v>
      </c>
      <c r="G77" s="11">
        <f t="shared" si="1046"/>
        <v>-1215</v>
      </c>
      <c r="H77" s="11">
        <f t="shared" si="1046"/>
        <v>0</v>
      </c>
      <c r="I77" s="11">
        <f t="shared" si="1046"/>
        <v>0</v>
      </c>
      <c r="J77" s="11">
        <f t="shared" si="1046"/>
        <v>9403</v>
      </c>
      <c r="K77" s="11">
        <f t="shared" si="1046"/>
        <v>-3296</v>
      </c>
      <c r="L77" s="11">
        <f t="shared" si="1046"/>
        <v>-22776</v>
      </c>
      <c r="M77" s="11">
        <f t="shared" si="1046"/>
        <v>9636</v>
      </c>
      <c r="N77" s="11">
        <f t="shared" si="1046"/>
        <v>78</v>
      </c>
      <c r="O77" s="11">
        <f t="shared" si="1046"/>
        <v>709</v>
      </c>
      <c r="P77" s="11">
        <f t="shared" si="1046"/>
        <v>19827</v>
      </c>
      <c r="Q77" s="11">
        <f t="shared" si="1046"/>
        <v>0</v>
      </c>
      <c r="R77" s="11">
        <f t="shared" si="1046"/>
        <v>989</v>
      </c>
      <c r="S77" s="11">
        <f t="shared" si="1046"/>
        <v>0</v>
      </c>
      <c r="T77" s="11">
        <f t="shared" si="1046"/>
        <v>0</v>
      </c>
      <c r="U77" s="11">
        <f t="shared" ref="U77" si="1047">U74-U73</f>
        <v>0</v>
      </c>
      <c r="V77" s="9">
        <f t="shared" si="1046"/>
        <v>0</v>
      </c>
      <c r="W77" s="11">
        <f t="shared" si="1046"/>
        <v>0</v>
      </c>
      <c r="X77" s="11">
        <f t="shared" si="1046"/>
        <v>0</v>
      </c>
      <c r="Y77" s="11">
        <f t="shared" si="1046"/>
        <v>2450</v>
      </c>
      <c r="Z77" s="11">
        <f t="shared" si="1046"/>
        <v>272</v>
      </c>
      <c r="AA77" s="11">
        <f t="shared" si="1046"/>
        <v>1144</v>
      </c>
      <c r="AB77" s="11">
        <f t="shared" ref="AB77" si="1048">AB74-AB73</f>
        <v>0</v>
      </c>
      <c r="AC77" s="10">
        <f t="shared" ref="AC77:AD77" si="1049">AC74-AC73</f>
        <v>0</v>
      </c>
      <c r="AD77" s="11">
        <f t="shared" si="1049"/>
        <v>-24888</v>
      </c>
      <c r="AE77" s="11">
        <f t="shared" si="1046"/>
        <v>-197</v>
      </c>
      <c r="AF77" s="11">
        <f t="shared" si="1046"/>
        <v>262</v>
      </c>
      <c r="AG77" s="11">
        <f t="shared" si="1046"/>
        <v>-160</v>
      </c>
      <c r="AH77" s="11">
        <f t="shared" si="1046"/>
        <v>0</v>
      </c>
      <c r="AI77" s="11">
        <f t="shared" si="1046"/>
        <v>0</v>
      </c>
      <c r="AJ77" s="11">
        <f t="shared" si="1046"/>
        <v>-1061</v>
      </c>
      <c r="AK77" s="11">
        <f t="shared" si="1046"/>
        <v>4916</v>
      </c>
      <c r="AL77" s="11">
        <f t="shared" si="1046"/>
        <v>-7174</v>
      </c>
      <c r="AM77" s="11">
        <f t="shared" si="1046"/>
        <v>0</v>
      </c>
      <c r="AN77" s="11">
        <f t="shared" si="1046"/>
        <v>-16</v>
      </c>
      <c r="AO77" s="9">
        <f t="shared" si="1046"/>
        <v>-54491</v>
      </c>
      <c r="AP77" s="11">
        <f t="shared" si="1046"/>
        <v>404519</v>
      </c>
      <c r="AQ77" s="10">
        <f t="shared" si="1046"/>
        <v>0</v>
      </c>
      <c r="AR77" s="11">
        <f t="shared" si="1046"/>
        <v>0</v>
      </c>
      <c r="AS77" s="11">
        <f t="shared" si="1046"/>
        <v>0</v>
      </c>
      <c r="AT77" s="11">
        <f t="shared" si="1046"/>
        <v>0</v>
      </c>
      <c r="AU77" s="11">
        <f t="shared" si="1046"/>
        <v>0</v>
      </c>
      <c r="AV77" s="11">
        <f t="shared" si="1046"/>
        <v>0</v>
      </c>
      <c r="AW77" s="11">
        <f t="shared" si="1046"/>
        <v>0</v>
      </c>
      <c r="AX77" s="11">
        <f t="shared" si="1046"/>
        <v>717</v>
      </c>
      <c r="AY77" s="11">
        <f t="shared" si="1046"/>
        <v>0</v>
      </c>
      <c r="AZ77" s="11">
        <f t="shared" si="1046"/>
        <v>0</v>
      </c>
      <c r="BA77" s="11">
        <f t="shared" si="1046"/>
        <v>0</v>
      </c>
      <c r="BB77" s="10">
        <f t="shared" si="1046"/>
        <v>0</v>
      </c>
      <c r="BC77" s="11">
        <f t="shared" si="1046"/>
        <v>-2203</v>
      </c>
      <c r="BD77" s="11">
        <f t="shared" si="1046"/>
        <v>-716</v>
      </c>
      <c r="BE77" s="11">
        <f t="shared" si="1046"/>
        <v>0</v>
      </c>
      <c r="BF77" s="11">
        <f t="shared" si="1046"/>
        <v>-2652</v>
      </c>
      <c r="BG77" s="11">
        <f t="shared" si="1046"/>
        <v>-1600</v>
      </c>
      <c r="BH77" s="9">
        <f t="shared" si="1046"/>
        <v>340144</v>
      </c>
      <c r="BI77" s="45">
        <f t="shared" si="1046"/>
        <v>315256</v>
      </c>
      <c r="BJ77" s="11">
        <f t="shared" si="1046"/>
        <v>-42</v>
      </c>
      <c r="BK77" s="51">
        <f t="shared" si="1046"/>
        <v>315298</v>
      </c>
      <c r="BM77" s="30">
        <f t="shared" si="934"/>
        <v>340186</v>
      </c>
    </row>
    <row r="78" spans="1:65" ht="15.75" x14ac:dyDescent="0.25">
      <c r="A78" s="130"/>
      <c r="B78" s="5" t="s">
        <v>135</v>
      </c>
      <c r="C78" s="13">
        <f>C77/C73</f>
        <v>-2.6773346220423398E-2</v>
      </c>
      <c r="D78" s="13">
        <f t="shared" ref="D78" si="1050">D77/D73</f>
        <v>-2.0782054367997266E-2</v>
      </c>
      <c r="E78" s="13">
        <f t="shared" ref="E78" si="1051">E77/E73</f>
        <v>-0.91661062542030936</v>
      </c>
      <c r="F78" s="13">
        <f t="shared" ref="F78" si="1052">F77/F73</f>
        <v>2.0349266950759403E-2</v>
      </c>
      <c r="G78" s="13">
        <f t="shared" ref="G78" si="1053">G77/G73</f>
        <v>-1.547061220332077E-2</v>
      </c>
      <c r="H78" s="13" t="e">
        <f t="shared" ref="H78" si="1054">H77/H73</f>
        <v>#DIV/0!</v>
      </c>
      <c r="I78" s="13" t="e">
        <f t="shared" ref="I78" si="1055">I77/I73</f>
        <v>#DIV/0!</v>
      </c>
      <c r="J78" s="13">
        <f t="shared" ref="J78" si="1056">J77/J73</f>
        <v>6.3051947616525064E-2</v>
      </c>
      <c r="K78" s="13">
        <f t="shared" ref="K78" si="1057">K77/K73</f>
        <v>-0.64767144822165457</v>
      </c>
      <c r="L78" s="13">
        <f t="shared" ref="L78" si="1058">L77/L73</f>
        <v>-0.36885405195309967</v>
      </c>
      <c r="M78" s="13">
        <f t="shared" ref="M78" si="1059">M77/M73</f>
        <v>0.29611874250944964</v>
      </c>
      <c r="N78" s="13">
        <f t="shared" ref="N78" si="1060">N77/N73</f>
        <v>2.2285714285714286</v>
      </c>
      <c r="O78" s="13">
        <f t="shared" ref="O78" si="1061">O77/O73</f>
        <v>0.27019817073170732</v>
      </c>
      <c r="P78" s="13">
        <f t="shared" ref="P78" si="1062">P77/P73</f>
        <v>0.41267561660942864</v>
      </c>
      <c r="Q78" s="13" t="e">
        <f t="shared" ref="Q78" si="1063">Q77/Q73</f>
        <v>#DIV/0!</v>
      </c>
      <c r="R78" s="13">
        <f t="shared" ref="R78" si="1064">R77/R73</f>
        <v>1.4917043740573153</v>
      </c>
      <c r="S78" s="13" t="e">
        <f t="shared" ref="S78" si="1065">S77/S73</f>
        <v>#DIV/0!</v>
      </c>
      <c r="T78" s="13" t="e">
        <f t="shared" ref="T78:U78" si="1066">T77/T73</f>
        <v>#DIV/0!</v>
      </c>
      <c r="U78" s="13" t="e">
        <f t="shared" si="1066"/>
        <v>#DIV/0!</v>
      </c>
      <c r="V78" s="165" t="e">
        <f t="shared" ref="V78" si="1067">V77/V73</f>
        <v>#DIV/0!</v>
      </c>
      <c r="W78" s="13" t="e">
        <f t="shared" ref="W78" si="1068">W77/W73</f>
        <v>#DIV/0!</v>
      </c>
      <c r="X78" s="13" t="e">
        <f t="shared" ref="X78" si="1069">X77/X73</f>
        <v>#DIV/0!</v>
      </c>
      <c r="Y78" s="13">
        <f t="shared" ref="Y78" si="1070">Y77/Y73</f>
        <v>2.9482551143200961</v>
      </c>
      <c r="Z78" s="13">
        <f t="shared" ref="Z78" si="1071">Z77/Z73</f>
        <v>1.6190476190476191</v>
      </c>
      <c r="AA78" s="13">
        <f t="shared" ref="AA78:AD78" si="1072">AA77/AA73</f>
        <v>11.673469387755102</v>
      </c>
      <c r="AB78" s="13" t="e">
        <f t="shared" ref="AB78" si="1073">AB77/AB73</f>
        <v>#DIV/0!</v>
      </c>
      <c r="AC78" s="14" t="e">
        <f t="shared" si="1072"/>
        <v>#DIV/0!</v>
      </c>
      <c r="AD78" s="13">
        <f t="shared" si="1072"/>
        <v>-1.1138770062809989E-2</v>
      </c>
      <c r="AE78" s="13">
        <f t="shared" ref="AE78" si="1074">AE77/AE73</f>
        <v>-6.8095402696163154E-2</v>
      </c>
      <c r="AF78" s="13">
        <f t="shared" ref="AF78" si="1075">AF77/AF73</f>
        <v>0.66161616161616166</v>
      </c>
      <c r="AG78" s="13">
        <f t="shared" ref="AG78" si="1076">AG77/AG73</f>
        <v>-3.2076984763432237E-2</v>
      </c>
      <c r="AH78" s="13" t="e">
        <f t="shared" ref="AH78" si="1077">AH77/AH73</f>
        <v>#DIV/0!</v>
      </c>
      <c r="AI78" s="13" t="e">
        <f t="shared" ref="AI78" si="1078">AI77/AI73</f>
        <v>#DIV/0!</v>
      </c>
      <c r="AJ78" s="13">
        <f t="shared" ref="AJ78" si="1079">AJ77/AJ73</f>
        <v>-0.23262442446831835</v>
      </c>
      <c r="AK78" s="13">
        <f t="shared" ref="AK78" si="1080">AK77/AK73</f>
        <v>2.0638119227539882</v>
      </c>
      <c r="AL78" s="13">
        <f t="shared" ref="AL78" si="1081">AL77/AL73</f>
        <v>-0.61222051544632194</v>
      </c>
      <c r="AM78" s="13" t="e">
        <f t="shared" ref="AM78" si="1082">AM77/AM73</f>
        <v>#DIV/0!</v>
      </c>
      <c r="AN78" s="13">
        <f t="shared" ref="AN78" si="1083">AN77/AN73</f>
        <v>-1</v>
      </c>
      <c r="AO78" s="165">
        <f t="shared" ref="AO78" si="1084">AO77/AO73</f>
        <v>-0.41116283983128221</v>
      </c>
      <c r="AP78" s="13">
        <f t="shared" ref="AP78" si="1085">AP77/AP73</f>
        <v>8.5594262893445336E-2</v>
      </c>
      <c r="AQ78" s="14" t="e">
        <f t="shared" ref="AQ78" si="1086">AQ77/AQ73</f>
        <v>#DIV/0!</v>
      </c>
      <c r="AR78" s="13" t="e">
        <f t="shared" ref="AR78" si="1087">AR77/AR73</f>
        <v>#DIV/0!</v>
      </c>
      <c r="AS78" s="13" t="e">
        <f t="shared" ref="AS78" si="1088">AS77/AS73</f>
        <v>#DIV/0!</v>
      </c>
      <c r="AT78" s="13" t="e">
        <f t="shared" ref="AT78" si="1089">AT77/AT73</f>
        <v>#DIV/0!</v>
      </c>
      <c r="AU78" s="13" t="e">
        <f t="shared" ref="AU78" si="1090">AU77/AU73</f>
        <v>#DIV/0!</v>
      </c>
      <c r="AV78" s="13" t="e">
        <f t="shared" ref="AV78" si="1091">AV77/AV73</f>
        <v>#DIV/0!</v>
      </c>
      <c r="AW78" s="13" t="e">
        <f t="shared" ref="AW78" si="1092">AW77/AW73</f>
        <v>#DIV/0!</v>
      </c>
      <c r="AX78" s="13">
        <f t="shared" ref="AX78" si="1093">AX77/AX73</f>
        <v>2.7471264367816093</v>
      </c>
      <c r="AY78" s="13" t="e">
        <f t="shared" ref="AY78" si="1094">AY77/AY73</f>
        <v>#DIV/0!</v>
      </c>
      <c r="AZ78" s="13" t="e">
        <f t="shared" ref="AZ78" si="1095">AZ77/AZ73</f>
        <v>#DIV/0!</v>
      </c>
      <c r="BA78" s="13" t="e">
        <f t="shared" ref="BA78" si="1096">BA77/BA73</f>
        <v>#DIV/0!</v>
      </c>
      <c r="BB78" s="14" t="e">
        <f t="shared" ref="BB78" si="1097">BB77/BB73</f>
        <v>#DIV/0!</v>
      </c>
      <c r="BC78" s="13">
        <f t="shared" ref="BC78" si="1098">BC77/BC73</f>
        <v>-0.33083045502327679</v>
      </c>
      <c r="BD78" s="13">
        <f t="shared" ref="BD78" si="1099">BD77/BD73</f>
        <v>-0.13843774168600154</v>
      </c>
      <c r="BE78" s="13" t="e">
        <f t="shared" ref="BE78" si="1100">BE77/BE73</f>
        <v>#DIV/0!</v>
      </c>
      <c r="BF78" s="13">
        <f t="shared" ref="BF78" si="1101">BF77/BF73</f>
        <v>-0.50941221667306957</v>
      </c>
      <c r="BG78" s="13">
        <f t="shared" ref="BG78:BH78" si="1102">BG77/BG73</f>
        <v>-0.43360433604336046</v>
      </c>
      <c r="BH78" s="165">
        <f t="shared" si="1102"/>
        <v>6.9325505856850031E-2</v>
      </c>
      <c r="BI78" s="46">
        <f t="shared" ref="BI78" si="1103">BI77/BI73</f>
        <v>4.4148338394599508E-2</v>
      </c>
      <c r="BJ78" s="13">
        <f t="shared" ref="BJ78:BK78" si="1104">BJ77/BJ73</f>
        <v>-1</v>
      </c>
      <c r="BK78" s="52">
        <f t="shared" si="1104"/>
        <v>4.4154479761561498E-2</v>
      </c>
      <c r="BM78" s="14">
        <f t="shared" ref="BM78" si="1105">BM77/BM73</f>
        <v>6.9334659482903571E-2</v>
      </c>
    </row>
    <row r="79" spans="1:65" ht="15.75" x14ac:dyDescent="0.25">
      <c r="A79" s="130"/>
      <c r="B79" s="5" t="s">
        <v>210</v>
      </c>
      <c r="C79" s="128">
        <f>C74/C71</f>
        <v>0.23775567807868772</v>
      </c>
      <c r="D79" s="128">
        <f t="shared" ref="D79:BK79" si="1106">D74/D71</f>
        <v>0.23746958958174846</v>
      </c>
      <c r="E79" s="128">
        <f t="shared" si="1106"/>
        <v>5.5346271268143753E-4</v>
      </c>
      <c r="F79" s="128">
        <f t="shared" si="1106"/>
        <v>0.23369326002311186</v>
      </c>
      <c r="G79" s="128">
        <f t="shared" si="1106"/>
        <v>0.22575474452554745</v>
      </c>
      <c r="H79" s="128" t="e">
        <f t="shared" si="1106"/>
        <v>#DIV/0!</v>
      </c>
      <c r="I79" s="128" t="e">
        <f t="shared" si="1106"/>
        <v>#DIV/0!</v>
      </c>
      <c r="J79" s="128">
        <f t="shared" si="1106"/>
        <v>0.28786940613566003</v>
      </c>
      <c r="K79" s="128">
        <f t="shared" si="1106"/>
        <v>2.9141677637459978E-2</v>
      </c>
      <c r="L79" s="128">
        <f t="shared" si="1106"/>
        <v>0.19276846218528962</v>
      </c>
      <c r="M79" s="128">
        <f t="shared" si="1106"/>
        <v>0.18093562986636924</v>
      </c>
      <c r="N79" s="128">
        <f t="shared" si="1106"/>
        <v>0.10044444444444445</v>
      </c>
      <c r="O79" s="128">
        <f t="shared" si="1106"/>
        <v>0.2249291402348495</v>
      </c>
      <c r="P79" s="128">
        <f t="shared" si="1106"/>
        <v>0.39343578090672476</v>
      </c>
      <c r="Q79" s="128" t="e">
        <f t="shared" si="1106"/>
        <v>#DIV/0!</v>
      </c>
      <c r="R79" s="128">
        <f t="shared" si="1106"/>
        <v>0.14897646316169177</v>
      </c>
      <c r="S79" s="128" t="e">
        <f t="shared" si="1106"/>
        <v>#DIV/0!</v>
      </c>
      <c r="T79" s="128" t="e">
        <f t="shared" si="1106"/>
        <v>#DIV/0!</v>
      </c>
      <c r="U79" s="128" t="e">
        <f t="shared" si="1106"/>
        <v>#DIV/0!</v>
      </c>
      <c r="V79" s="180" t="e">
        <f t="shared" si="1106"/>
        <v>#DIV/0!</v>
      </c>
      <c r="W79" s="128" t="e">
        <f t="shared" si="1106"/>
        <v>#DIV/0!</v>
      </c>
      <c r="X79" s="128" t="e">
        <f t="shared" si="1106"/>
        <v>#DIV/0!</v>
      </c>
      <c r="Y79" s="128">
        <f t="shared" si="1106"/>
        <v>1.4191176470588236</v>
      </c>
      <c r="Z79" s="128">
        <f t="shared" si="1106"/>
        <v>0.694006309148265</v>
      </c>
      <c r="AA79" s="128">
        <f t="shared" si="1106"/>
        <v>2.4400785854616895</v>
      </c>
      <c r="AB79" s="128">
        <f t="shared" ref="AB79" si="1107">AB74/AB71</f>
        <v>0</v>
      </c>
      <c r="AC79" s="222" t="e">
        <f t="shared" si="1106"/>
        <v>#DIV/0!</v>
      </c>
      <c r="AD79" s="128">
        <f t="shared" si="1106"/>
        <v>0.23345357491536597</v>
      </c>
      <c r="AE79" s="128">
        <f t="shared" si="1106"/>
        <v>0.26269122089057778</v>
      </c>
      <c r="AF79" s="128">
        <f t="shared" si="1106"/>
        <v>1.036220472440945</v>
      </c>
      <c r="AG79" s="128">
        <f t="shared" si="1106"/>
        <v>0.7966996699669967</v>
      </c>
      <c r="AH79" s="128" t="e">
        <f t="shared" si="1106"/>
        <v>#DIV/0!</v>
      </c>
      <c r="AI79" s="128" t="e">
        <f t="shared" si="1106"/>
        <v>#DIV/0!</v>
      </c>
      <c r="AJ79" s="128">
        <f t="shared" si="1106"/>
        <v>0.24281948106008047</v>
      </c>
      <c r="AK79" s="128">
        <f t="shared" si="1106"/>
        <v>0.27752215081568238</v>
      </c>
      <c r="AL79" s="128">
        <f t="shared" si="1106"/>
        <v>7.9745880205682601E-2</v>
      </c>
      <c r="AM79" s="128" t="e">
        <f t="shared" si="1106"/>
        <v>#DIV/0!</v>
      </c>
      <c r="AN79" s="128">
        <f t="shared" si="1106"/>
        <v>0</v>
      </c>
      <c r="AO79" s="180">
        <f t="shared" si="1106"/>
        <v>0.19816507238390768</v>
      </c>
      <c r="AP79" s="128">
        <f t="shared" si="1106"/>
        <v>0.33243735622583676</v>
      </c>
      <c r="AQ79" s="222" t="e">
        <f t="shared" si="1106"/>
        <v>#DIV/0!</v>
      </c>
      <c r="AR79" s="128" t="e">
        <f t="shared" si="1106"/>
        <v>#DIV/0!</v>
      </c>
      <c r="AS79" s="128" t="e">
        <f t="shared" si="1106"/>
        <v>#DIV/0!</v>
      </c>
      <c r="AT79" s="128" t="e">
        <f t="shared" si="1106"/>
        <v>#DIV/0!</v>
      </c>
      <c r="AU79" s="128" t="e">
        <f t="shared" si="1106"/>
        <v>#DIV/0!</v>
      </c>
      <c r="AV79" s="128" t="e">
        <f t="shared" si="1106"/>
        <v>#DIV/0!</v>
      </c>
      <c r="AW79" s="128">
        <f t="shared" si="1106"/>
        <v>0</v>
      </c>
      <c r="AX79" s="128">
        <f t="shared" si="1106"/>
        <v>0.37003405221339386</v>
      </c>
      <c r="AY79" s="128">
        <f t="shared" si="1106"/>
        <v>0</v>
      </c>
      <c r="AZ79" s="128" t="e">
        <f t="shared" si="1106"/>
        <v>#DIV/0!</v>
      </c>
      <c r="BA79" s="128" t="e">
        <f t="shared" si="1106"/>
        <v>#DIV/0!</v>
      </c>
      <c r="BB79" s="222" t="e">
        <f t="shared" si="1106"/>
        <v>#DIV/0!</v>
      </c>
      <c r="BC79" s="128">
        <f t="shared" si="1106"/>
        <v>0.24988784208165096</v>
      </c>
      <c r="BD79" s="128">
        <f t="shared" si="1106"/>
        <v>0.24988784208165096</v>
      </c>
      <c r="BE79" s="128" t="e">
        <f t="shared" si="1106"/>
        <v>#DIV/0!</v>
      </c>
      <c r="BF79" s="128">
        <f t="shared" si="1106"/>
        <v>0.10881049761417859</v>
      </c>
      <c r="BG79" s="128">
        <f t="shared" si="1106"/>
        <v>0.72318339100346019</v>
      </c>
      <c r="BH79" s="180">
        <f t="shared" si="1106"/>
        <v>0.32776685003861394</v>
      </c>
      <c r="BI79" s="128">
        <f t="shared" si="1106"/>
        <v>0.29272341500410615</v>
      </c>
      <c r="BJ79" s="128" t="e">
        <f t="shared" si="1106"/>
        <v>#DIV/0!</v>
      </c>
      <c r="BK79" s="128">
        <f t="shared" si="1106"/>
        <v>0.29272341500410615</v>
      </c>
      <c r="BM79" s="128" t="e">
        <f t="shared" ref="BM79" si="1108">BM74/BM71</f>
        <v>#DIV/0!</v>
      </c>
    </row>
    <row r="80" spans="1:65" s="183" customFormat="1" ht="15.75" x14ac:dyDescent="0.25">
      <c r="A80" s="130"/>
      <c r="B80" s="5" t="s">
        <v>329</v>
      </c>
      <c r="C80" s="11">
        <f>C74-C71</f>
        <v>-4493662</v>
      </c>
      <c r="D80" s="11">
        <f t="shared" ref="D80:BM80" si="1109">D74-D71</f>
        <v>-809911</v>
      </c>
      <c r="E80" s="11">
        <f t="shared" si="1109"/>
        <v>-223920</v>
      </c>
      <c r="F80" s="11">
        <f t="shared" si="1109"/>
        <v>-520556</v>
      </c>
      <c r="G80" s="11">
        <f t="shared" si="1109"/>
        <v>-265179</v>
      </c>
      <c r="H80" s="11">
        <f t="shared" si="1109"/>
        <v>0</v>
      </c>
      <c r="I80" s="11">
        <f t="shared" si="1109"/>
        <v>0</v>
      </c>
      <c r="J80" s="11">
        <f t="shared" si="1109"/>
        <v>-392181</v>
      </c>
      <c r="K80" s="11">
        <f t="shared" si="1109"/>
        <v>-59734</v>
      </c>
      <c r="L80" s="11">
        <f t="shared" si="1109"/>
        <v>-163198</v>
      </c>
      <c r="M80" s="11">
        <f t="shared" si="1109"/>
        <v>-190928</v>
      </c>
      <c r="N80" s="11">
        <f t="shared" si="1109"/>
        <v>-1012</v>
      </c>
      <c r="O80" s="11">
        <f t="shared" si="1109"/>
        <v>-11485</v>
      </c>
      <c r="P80" s="11">
        <f t="shared" si="1109"/>
        <v>-104639</v>
      </c>
      <c r="Q80" s="11">
        <f t="shared" si="1109"/>
        <v>0</v>
      </c>
      <c r="R80" s="11">
        <f t="shared" si="1109"/>
        <v>-9437</v>
      </c>
      <c r="S80" s="11">
        <f t="shared" si="1109"/>
        <v>0</v>
      </c>
      <c r="T80" s="11">
        <f t="shared" si="1109"/>
        <v>0</v>
      </c>
      <c r="U80" s="11">
        <f t="shared" si="1109"/>
        <v>0</v>
      </c>
      <c r="V80" s="9">
        <f t="shared" si="1109"/>
        <v>0</v>
      </c>
      <c r="W80" s="11">
        <f t="shared" si="1109"/>
        <v>0</v>
      </c>
      <c r="X80" s="11">
        <f t="shared" si="1109"/>
        <v>0</v>
      </c>
      <c r="Y80" s="11">
        <f t="shared" si="1109"/>
        <v>969</v>
      </c>
      <c r="Z80" s="11">
        <f t="shared" si="1109"/>
        <v>-194</v>
      </c>
      <c r="AA80" s="11">
        <f t="shared" si="1109"/>
        <v>733</v>
      </c>
      <c r="AB80" s="11">
        <f t="shared" ref="AB80" si="1110">AB74-AB71</f>
        <v>-10476</v>
      </c>
      <c r="AC80" s="10">
        <f t="shared" si="1109"/>
        <v>0</v>
      </c>
      <c r="AD80" s="11">
        <f t="shared" si="1109"/>
        <v>-7254810</v>
      </c>
      <c r="AE80" s="11">
        <f t="shared" si="1109"/>
        <v>-7567</v>
      </c>
      <c r="AF80" s="11">
        <f t="shared" si="1109"/>
        <v>23</v>
      </c>
      <c r="AG80" s="11">
        <f t="shared" si="1109"/>
        <v>-1232</v>
      </c>
      <c r="AH80" s="11">
        <f t="shared" si="1109"/>
        <v>0</v>
      </c>
      <c r="AI80" s="11">
        <f t="shared" si="1109"/>
        <v>0</v>
      </c>
      <c r="AJ80" s="11">
        <f t="shared" si="1109"/>
        <v>-10914</v>
      </c>
      <c r="AK80" s="11">
        <f t="shared" si="1109"/>
        <v>-18999</v>
      </c>
      <c r="AL80" s="11">
        <f t="shared" si="1109"/>
        <v>-52437</v>
      </c>
      <c r="AM80" s="11">
        <f t="shared" si="1109"/>
        <v>0</v>
      </c>
      <c r="AN80" s="11">
        <f t="shared" si="1109"/>
        <v>-342</v>
      </c>
      <c r="AO80" s="9">
        <f t="shared" si="1109"/>
        <v>-315765</v>
      </c>
      <c r="AP80" s="11">
        <f t="shared" si="1109"/>
        <v>-10302533</v>
      </c>
      <c r="AQ80" s="10">
        <f t="shared" si="1109"/>
        <v>0</v>
      </c>
      <c r="AR80" s="11">
        <f t="shared" si="1109"/>
        <v>0</v>
      </c>
      <c r="AS80" s="11">
        <f t="shared" si="1109"/>
        <v>0</v>
      </c>
      <c r="AT80" s="11">
        <f t="shared" si="1109"/>
        <v>0</v>
      </c>
      <c r="AU80" s="11">
        <f t="shared" si="1109"/>
        <v>0</v>
      </c>
      <c r="AV80" s="11">
        <f t="shared" si="1109"/>
        <v>0</v>
      </c>
      <c r="AW80" s="11">
        <f t="shared" si="1109"/>
        <v>-602</v>
      </c>
      <c r="AX80" s="11">
        <f t="shared" si="1109"/>
        <v>-1665</v>
      </c>
      <c r="AY80" s="11">
        <f t="shared" si="1109"/>
        <v>-50</v>
      </c>
      <c r="AZ80" s="11">
        <f t="shared" si="1109"/>
        <v>0</v>
      </c>
      <c r="BA80" s="11">
        <f t="shared" si="1109"/>
        <v>0</v>
      </c>
      <c r="BB80" s="10">
        <f t="shared" si="1109"/>
        <v>0</v>
      </c>
      <c r="BC80" s="11">
        <f t="shared" si="1109"/>
        <v>-13376</v>
      </c>
      <c r="BD80" s="11">
        <f t="shared" si="1109"/>
        <v>-13376</v>
      </c>
      <c r="BE80" s="11">
        <f t="shared" si="1109"/>
        <v>0</v>
      </c>
      <c r="BF80" s="11">
        <f t="shared" si="1109"/>
        <v>-20918</v>
      </c>
      <c r="BG80" s="11">
        <f t="shared" si="1109"/>
        <v>-800</v>
      </c>
      <c r="BH80" s="11">
        <f t="shared" si="1109"/>
        <v>-10760553</v>
      </c>
      <c r="BI80" s="11">
        <f t="shared" si="1109"/>
        <v>-18015363</v>
      </c>
      <c r="BJ80" s="11">
        <f t="shared" si="1109"/>
        <v>0</v>
      </c>
      <c r="BK80" s="11">
        <f t="shared" si="1109"/>
        <v>-18015363</v>
      </c>
      <c r="BL80" s="11">
        <f t="shared" si="1109"/>
        <v>7456085</v>
      </c>
      <c r="BM80" s="11">
        <f t="shared" si="1109"/>
        <v>5246621</v>
      </c>
    </row>
    <row r="81" spans="1:65" s="183" customFormat="1" ht="15.75" x14ac:dyDescent="0.2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6"/>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44"/>
      <c r="BJ81" s="5"/>
      <c r="BK81" s="50"/>
    </row>
    <row r="82" spans="1:65" ht="15.75" x14ac:dyDescent="0.25">
      <c r="A82" s="15" t="s">
        <v>34</v>
      </c>
      <c r="B82" s="229" t="s">
        <v>298</v>
      </c>
      <c r="C82" s="122">
        <v>16780</v>
      </c>
      <c r="D82" s="122">
        <v>3056</v>
      </c>
      <c r="E82" s="122">
        <v>546</v>
      </c>
      <c r="F82" s="122">
        <v>1874</v>
      </c>
      <c r="G82" s="122">
        <v>734</v>
      </c>
      <c r="H82" s="122">
        <v>0</v>
      </c>
      <c r="I82" s="122">
        <v>0</v>
      </c>
      <c r="J82" s="122">
        <v>1215</v>
      </c>
      <c r="K82" s="122">
        <v>0</v>
      </c>
      <c r="L82" s="122">
        <v>475</v>
      </c>
      <c r="M82" s="122">
        <v>417</v>
      </c>
      <c r="N82" s="122">
        <v>0</v>
      </c>
      <c r="O82" s="122">
        <v>0</v>
      </c>
      <c r="P82" s="122">
        <v>233</v>
      </c>
      <c r="Q82" s="122">
        <v>0</v>
      </c>
      <c r="R82" s="122">
        <v>150</v>
      </c>
      <c r="S82" s="122">
        <v>0</v>
      </c>
      <c r="T82" s="122">
        <v>0</v>
      </c>
      <c r="U82" s="122"/>
      <c r="V82" s="195">
        <v>0</v>
      </c>
      <c r="W82" s="122">
        <v>0</v>
      </c>
      <c r="X82" s="122">
        <v>0</v>
      </c>
      <c r="Y82" s="122">
        <v>170</v>
      </c>
      <c r="Z82" s="122">
        <v>0</v>
      </c>
      <c r="AA82" s="122">
        <v>0</v>
      </c>
      <c r="AB82" s="122">
        <v>33</v>
      </c>
      <c r="AC82" s="154">
        <v>0</v>
      </c>
      <c r="AD82" s="123">
        <f t="shared" ref="AD82:AD83" si="1111">SUM(C82:AC82)</f>
        <v>25683</v>
      </c>
      <c r="AE82" s="122">
        <v>0</v>
      </c>
      <c r="AF82" s="122">
        <v>0</v>
      </c>
      <c r="AG82" s="122">
        <v>0</v>
      </c>
      <c r="AH82" s="122">
        <v>0</v>
      </c>
      <c r="AI82" s="122">
        <v>0</v>
      </c>
      <c r="AJ82" s="122">
        <v>0</v>
      </c>
      <c r="AK82" s="122">
        <v>142538</v>
      </c>
      <c r="AL82" s="122">
        <v>9603</v>
      </c>
      <c r="AM82" s="122">
        <v>6851582</v>
      </c>
      <c r="AN82" s="122">
        <v>0</v>
      </c>
      <c r="AO82" s="195">
        <v>0</v>
      </c>
      <c r="AP82" s="122">
        <v>0</v>
      </c>
      <c r="AQ82" s="154">
        <v>0</v>
      </c>
      <c r="AR82" s="122">
        <v>789456</v>
      </c>
      <c r="AS82" s="122"/>
      <c r="AT82" s="122"/>
      <c r="AU82" s="122">
        <v>348261</v>
      </c>
      <c r="AV82" s="122"/>
      <c r="AW82" s="122">
        <v>0</v>
      </c>
      <c r="AX82" s="122">
        <v>0</v>
      </c>
      <c r="AY82" s="122">
        <v>0</v>
      </c>
      <c r="AZ82" s="122">
        <v>317324</v>
      </c>
      <c r="BA82" s="122">
        <v>541110</v>
      </c>
      <c r="BB82" s="154">
        <v>0</v>
      </c>
      <c r="BC82" s="122">
        <v>0</v>
      </c>
      <c r="BD82" s="122">
        <v>0</v>
      </c>
      <c r="BE82" s="122">
        <v>0</v>
      </c>
      <c r="BF82" s="122">
        <v>0</v>
      </c>
      <c r="BG82" s="122">
        <v>25836</v>
      </c>
      <c r="BH82" s="9">
        <f>SUM(AE82:BG82)</f>
        <v>9025710</v>
      </c>
      <c r="BI82" s="127">
        <f>AD82+BH82</f>
        <v>9051393</v>
      </c>
      <c r="BJ82" s="98">
        <v>477776</v>
      </c>
      <c r="BK82" s="51">
        <f t="shared" ref="BK82:BK83" si="1112">BI82-BJ82</f>
        <v>8573617</v>
      </c>
      <c r="BL82">
        <v>8</v>
      </c>
      <c r="BM82" s="30"/>
    </row>
    <row r="83" spans="1:65" s="41" customFormat="1" ht="15.75" x14ac:dyDescent="0.25">
      <c r="A83" s="136" t="s">
        <v>34</v>
      </c>
      <c r="B83" s="225" t="s">
        <v>326</v>
      </c>
      <c r="C83" s="10">
        <v>4361</v>
      </c>
      <c r="D83" s="10">
        <v>793</v>
      </c>
      <c r="E83" s="10">
        <v>0</v>
      </c>
      <c r="F83" s="10">
        <v>487</v>
      </c>
      <c r="G83" s="10">
        <v>191</v>
      </c>
      <c r="H83" s="10">
        <v>0</v>
      </c>
      <c r="I83" s="10">
        <v>0</v>
      </c>
      <c r="J83" s="10">
        <v>316</v>
      </c>
      <c r="K83" s="10">
        <v>0</v>
      </c>
      <c r="L83" s="10">
        <v>124</v>
      </c>
      <c r="M83" s="10">
        <v>108</v>
      </c>
      <c r="N83" s="10">
        <v>0</v>
      </c>
      <c r="O83" s="10">
        <v>0</v>
      </c>
      <c r="P83" s="10">
        <v>61</v>
      </c>
      <c r="Q83" s="10">
        <v>0</v>
      </c>
      <c r="R83" s="10">
        <v>39</v>
      </c>
      <c r="S83" s="10">
        <v>0</v>
      </c>
      <c r="T83" s="10">
        <v>0</v>
      </c>
      <c r="U83" s="10"/>
      <c r="V83" s="10">
        <v>0</v>
      </c>
      <c r="W83" s="10">
        <v>0</v>
      </c>
      <c r="X83" s="10">
        <v>0</v>
      </c>
      <c r="Y83" s="10">
        <v>45</v>
      </c>
      <c r="Z83" s="10">
        <v>0</v>
      </c>
      <c r="AA83" s="10">
        <v>0</v>
      </c>
      <c r="AB83" s="10">
        <v>9</v>
      </c>
      <c r="AC83" s="9">
        <v>0</v>
      </c>
      <c r="AD83" s="123">
        <f t="shared" si="1111"/>
        <v>6534</v>
      </c>
      <c r="AE83" s="10">
        <v>0</v>
      </c>
      <c r="AF83" s="10">
        <v>0</v>
      </c>
      <c r="AG83" s="10">
        <v>0</v>
      </c>
      <c r="AH83" s="10">
        <v>0</v>
      </c>
      <c r="AI83" s="10">
        <v>0</v>
      </c>
      <c r="AJ83" s="10">
        <v>0</v>
      </c>
      <c r="AK83" s="10">
        <v>37060</v>
      </c>
      <c r="AL83" s="10">
        <v>2497</v>
      </c>
      <c r="AM83" s="10">
        <v>1781412</v>
      </c>
      <c r="AN83" s="10">
        <v>0</v>
      </c>
      <c r="AO83" s="10">
        <v>0</v>
      </c>
      <c r="AP83" s="10">
        <v>0</v>
      </c>
      <c r="AQ83" s="9">
        <v>0</v>
      </c>
      <c r="AR83" s="10">
        <v>205258</v>
      </c>
      <c r="AS83" s="10"/>
      <c r="AT83" s="10"/>
      <c r="AU83" s="10">
        <v>90548</v>
      </c>
      <c r="AV83" s="10"/>
      <c r="AW83" s="10">
        <v>0</v>
      </c>
      <c r="AX83" s="10">
        <v>0</v>
      </c>
      <c r="AY83" s="10">
        <v>0</v>
      </c>
      <c r="AZ83" s="10">
        <v>82504</v>
      </c>
      <c r="BA83" s="10">
        <v>140689</v>
      </c>
      <c r="BB83" s="10">
        <v>0</v>
      </c>
      <c r="BC83" s="10">
        <v>0</v>
      </c>
      <c r="BD83" s="10">
        <v>0</v>
      </c>
      <c r="BE83" s="10">
        <v>0</v>
      </c>
      <c r="BF83" s="10">
        <v>0</v>
      </c>
      <c r="BG83" s="10">
        <v>6719</v>
      </c>
      <c r="BH83" s="10">
        <f>SUM(AE83:BG83)</f>
        <v>2346687</v>
      </c>
      <c r="BI83" s="227">
        <f>AD83+BH83</f>
        <v>2353221</v>
      </c>
      <c r="BJ83" s="10">
        <v>119445</v>
      </c>
      <c r="BK83" s="10">
        <f t="shared" si="1112"/>
        <v>2233776</v>
      </c>
      <c r="BM83" s="226"/>
    </row>
    <row r="84" spans="1:65" ht="15.75" x14ac:dyDescent="0.25">
      <c r="A84" s="130"/>
      <c r="B84" s="12" t="s">
        <v>324</v>
      </c>
      <c r="C84" s="9">
        <f>IF('Upto Month COPPY'!$I$4="",0,'Upto Month COPPY'!$I$4)</f>
        <v>3676</v>
      </c>
      <c r="D84" s="9">
        <f>IF('Upto Month COPPY'!$I$5="",0,'Upto Month COPPY'!$I$5)</f>
        <v>625</v>
      </c>
      <c r="E84" s="9">
        <f>IF('Upto Month COPPY'!$I$6="",0,'Upto Month COPPY'!$I$6)</f>
        <v>0</v>
      </c>
      <c r="F84" s="9">
        <f>IF('Upto Month COPPY'!$I$7="",0,'Upto Month COPPY'!$I$7)</f>
        <v>418</v>
      </c>
      <c r="G84" s="9">
        <f>IF('Upto Month COPPY'!$I$8="",0,'Upto Month COPPY'!$I$8)</f>
        <v>159</v>
      </c>
      <c r="H84" s="9">
        <f>IF('Upto Month COPPY'!$I$9="",0,'Upto Month COPPY'!$I$9)</f>
        <v>0</v>
      </c>
      <c r="I84" s="9">
        <f>IF('Upto Month COPPY'!$I$10="",0,'Upto Month COPPY'!$I$10)</f>
        <v>0</v>
      </c>
      <c r="J84" s="9">
        <f>IF('Upto Month COPPY'!$I$11="",0,'Upto Month COPPY'!$I$11)</f>
        <v>335</v>
      </c>
      <c r="K84" s="9">
        <f>IF('Upto Month COPPY'!$I$12="",0,'Upto Month COPPY'!$I$12)</f>
        <v>0</v>
      </c>
      <c r="L84" s="9">
        <f>IF('Upto Month COPPY'!$I$13="",0,'Upto Month COPPY'!$I$13)</f>
        <v>129</v>
      </c>
      <c r="M84" s="9">
        <f>IF('Upto Month COPPY'!$I$14="",0,'Upto Month COPPY'!$I$14)</f>
        <v>51</v>
      </c>
      <c r="N84" s="9">
        <f>IF('Upto Month COPPY'!$I$15="",0,'Upto Month COPPY'!$I$15)</f>
        <v>0</v>
      </c>
      <c r="O84" s="9">
        <f>IF('Upto Month COPPY'!$I$16="",0,'Upto Month COPPY'!$I$16)</f>
        <v>0</v>
      </c>
      <c r="P84" s="9">
        <f>IF('Upto Month COPPY'!$I$17="",0,'Upto Month COPPY'!$I$17)</f>
        <v>36</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10">
        <f>IF('Upto Month COPPY'!$I$51="",0,'Upto Month COPPY'!$I$51)</f>
        <v>0</v>
      </c>
      <c r="AD84" s="123">
        <f t="shared" ref="AD84:AD85" si="1113">SUM(C84:AC84)</f>
        <v>5429</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36241</v>
      </c>
      <c r="AL84" s="9">
        <f>IF('Upto Month COPPY'!$I$29="",0,'Upto Month COPPY'!$I$29)</f>
        <v>0</v>
      </c>
      <c r="AM84" s="9">
        <f>IF('Upto Month COPPY'!$I$31="",0,'Upto Month COPPY'!$I$31)</f>
        <v>1578451</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282367</v>
      </c>
      <c r="AS84" s="9">
        <v>0</v>
      </c>
      <c r="AT84" s="9">
        <f>IF('Upto Month COPPY'!$I$38="",0,'Upto Month COPPY'!$I$38)</f>
        <v>0</v>
      </c>
      <c r="AU84" s="9">
        <f>IF('Upto Month COPPY'!$I$41="",0,'Upto Month COPPY'!$I$41)</f>
        <v>113997</v>
      </c>
      <c r="AV84" s="9">
        <v>0</v>
      </c>
      <c r="AW84" s="9">
        <f>IF('Upto Month COPPY'!$I$45="",0,'Upto Month COPPY'!$I$45)</f>
        <v>0</v>
      </c>
      <c r="AX84" s="9">
        <f>IF('Upto Month COPPY'!$I$46="",0,'Upto Month COPPY'!$I$46)</f>
        <v>0</v>
      </c>
      <c r="AY84" s="9">
        <f>IF('Upto Month COPPY'!$I$47="",0,'Upto Month COPPY'!$I$47)</f>
        <v>0</v>
      </c>
      <c r="AZ84" s="9">
        <f>IF('Upto Month COPPY'!$I$49="",0,'Upto Month COPPY'!$I$49)</f>
        <v>69777</v>
      </c>
      <c r="BA84" s="9">
        <f>IF('Upto Month COPPY'!$I$50="",0,'Upto Month COPPY'!$I$50)</f>
        <v>206995</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24807</v>
      </c>
      <c r="BH84" s="9">
        <f>SUM(AE84:BG84)</f>
        <v>2312635</v>
      </c>
      <c r="BI84" s="127">
        <f>AD84+BH84</f>
        <v>2318064</v>
      </c>
      <c r="BJ84" s="9">
        <f>IF('Upto Month COPPY'!$I$60="",0,'Upto Month COPPY'!$I$60)+53069</f>
        <v>62420</v>
      </c>
      <c r="BK84" s="51">
        <f t="shared" ref="BK84:BK85" si="1114">BI84-BJ84</f>
        <v>2255644</v>
      </c>
      <c r="BL84">
        <f>'Upto Month COPPY'!$I$61</f>
        <v>2255644</v>
      </c>
      <c r="BM84" s="30">
        <f t="shared" ref="BM84:BM88" si="1115">BK84-AD84</f>
        <v>2250215</v>
      </c>
    </row>
    <row r="85" spans="1:65" ht="15.75" x14ac:dyDescent="0.25">
      <c r="A85" s="130"/>
      <c r="B85" s="185" t="s">
        <v>325</v>
      </c>
      <c r="C85" s="9">
        <f>IF('Upto Month Current'!$I$4="",0,'Upto Month Current'!$I$4)</f>
        <v>3570</v>
      </c>
      <c r="D85" s="9">
        <f>IF('Upto Month Current'!$I$5="",0,'Upto Month Current'!$I$5)</f>
        <v>607</v>
      </c>
      <c r="E85" s="9">
        <f>IF('Upto Month Current'!$I$6="",0,'Upto Month Current'!$I$6)</f>
        <v>0</v>
      </c>
      <c r="F85" s="9">
        <f>IF('Upto Month Current'!$I$7="",0,'Upto Month Current'!$I$7)</f>
        <v>387</v>
      </c>
      <c r="G85" s="9">
        <f>IF('Upto Month Current'!$I$8="",0,'Upto Month Current'!$I$8)</f>
        <v>161</v>
      </c>
      <c r="H85" s="9">
        <f>IF('Upto Month Current'!$I$9="",0,'Upto Month Current'!$I$9)</f>
        <v>0</v>
      </c>
      <c r="I85" s="9">
        <f>IF('Upto Month Current'!$I$10="",0,'Upto Month Current'!$I$10)</f>
        <v>0</v>
      </c>
      <c r="J85" s="9">
        <f>IF('Upto Month Current'!$I$11="",0,'Upto Month Current'!$I$11)</f>
        <v>102</v>
      </c>
      <c r="K85" s="9">
        <f>IF('Upto Month Current'!$I$12="",0,'Upto Month Current'!$I$12)</f>
        <v>0</v>
      </c>
      <c r="L85" s="9">
        <f>IF('Upto Month Current'!$I$13="",0,'Upto Month Current'!$I$13)</f>
        <v>81</v>
      </c>
      <c r="M85" s="9">
        <f>IF('Upto Month Current'!$I$14="",0,'Upto Month Current'!$I$14)</f>
        <v>42</v>
      </c>
      <c r="N85" s="9">
        <f>IF('Upto Month Current'!$I$15="",0,'Upto Month Current'!$I$15)</f>
        <v>0</v>
      </c>
      <c r="O85" s="9">
        <f>IF('Upto Month Current'!$I$16="",0,'Upto Month Current'!$I$16)</f>
        <v>0</v>
      </c>
      <c r="P85" s="9">
        <f>IF('Upto Month Current'!$I$17="",0,'Upto Month Current'!$I$17)</f>
        <v>17</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10">
        <f>IF('Upto Month Current'!$I$51="",0,'Upto Month Current'!$I$51)</f>
        <v>0</v>
      </c>
      <c r="AD85" s="123">
        <f t="shared" si="1113"/>
        <v>4967</v>
      </c>
      <c r="AE85" s="9">
        <f>IF('Upto Month Current'!$I$19="",0,'Upto Month Current'!$I$19)</f>
        <v>0</v>
      </c>
      <c r="AF85" s="9">
        <f>IF('Upto Month Current'!$I$20="",0,'Upto Month Current'!$I$20)</f>
        <v>1</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102555</v>
      </c>
      <c r="AL85" s="9">
        <f>IF('Upto Month Current'!$I$29="",0,'Upto Month Current'!$I$29)</f>
        <v>0</v>
      </c>
      <c r="AM85" s="9">
        <f>IF('Upto Month Current'!$I$31="",0,'Upto Month Current'!$I$31)</f>
        <v>2139167</v>
      </c>
      <c r="AN85" s="9">
        <f>IF('Upto Month Current'!$I$32="",0,'Upto Month Current'!$I$32)</f>
        <v>0</v>
      </c>
      <c r="AO85" s="9">
        <f>IF('Upto Month Current'!$I$33="",0,'Upto Month Current'!$I$33)</f>
        <v>0</v>
      </c>
      <c r="AP85" s="9">
        <f>IF('Upto Month Current'!$I$34="",0,'Upto Month Current'!$I$34)</f>
        <v>0</v>
      </c>
      <c r="AQ85" s="10">
        <f>IF('Upto Month Current'!$I$36="",0,'Upto Month Current'!$I$36)</f>
        <v>0</v>
      </c>
      <c r="AR85" s="9">
        <f>IF('Upto Month Current'!$I$37="",0,'Upto Month Current'!$I$37)</f>
        <v>623631</v>
      </c>
      <c r="AS85" s="9">
        <v>0</v>
      </c>
      <c r="AT85" s="9">
        <f>IF('Upto Month Current'!$I$38="",0,'Upto Month Current'!$I$38)</f>
        <v>0</v>
      </c>
      <c r="AU85" s="9">
        <f>IF('Upto Month Current'!$I$41="",0,'Upto Month Current'!$I$41)</f>
        <v>262127</v>
      </c>
      <c r="AV85" s="9">
        <v>0</v>
      </c>
      <c r="AW85" s="9">
        <f>IF('Upto Month Current'!$I$45="",0,'Upto Month Current'!$I$45)</f>
        <v>0</v>
      </c>
      <c r="AX85" s="9">
        <f>IF('Upto Month Current'!$I$46="",0,'Upto Month Current'!$I$46)</f>
        <v>0</v>
      </c>
      <c r="AY85" s="9">
        <f>IF('Upto Month Current'!$I$47="",0,'Upto Month Current'!$I$47)</f>
        <v>0</v>
      </c>
      <c r="AZ85" s="9">
        <f>IF('Upto Month Current'!$I$49="",0,'Upto Month Current'!$I$49)</f>
        <v>308272</v>
      </c>
      <c r="BA85" s="9">
        <f>IF('Upto Month Current'!$I$50="",0,'Upto Month Current'!$I$50)</f>
        <v>344769</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60064</v>
      </c>
      <c r="BH85" s="9">
        <f>SUM(AE85:BG85)</f>
        <v>3840586</v>
      </c>
      <c r="BI85" s="127">
        <f>AD85+BH85</f>
        <v>3845553</v>
      </c>
      <c r="BJ85" s="9">
        <f>IF('Upto Month Current'!$I$60="",0,'Upto Month Current'!$I$60)-'Upto Month Current'!I57</f>
        <v>8733</v>
      </c>
      <c r="BK85" s="51">
        <f t="shared" si="1114"/>
        <v>3836820</v>
      </c>
      <c r="BL85" s="101">
        <f>'Upto Month Current'!$I$61</f>
        <v>3836822</v>
      </c>
      <c r="BM85" s="30">
        <f t="shared" si="1115"/>
        <v>3831853</v>
      </c>
    </row>
    <row r="86" spans="1:65" ht="15.75" x14ac:dyDescent="0.25">
      <c r="A86" s="130"/>
      <c r="B86" s="5" t="s">
        <v>132</v>
      </c>
      <c r="C86" s="11">
        <f>C85-C83</f>
        <v>-791</v>
      </c>
      <c r="D86" s="11">
        <f t="shared" ref="D86" si="1116">D85-D83</f>
        <v>-186</v>
      </c>
      <c r="E86" s="11">
        <f t="shared" ref="E86" si="1117">E85-E83</f>
        <v>0</v>
      </c>
      <c r="F86" s="11">
        <f t="shared" ref="F86" si="1118">F85-F83</f>
        <v>-100</v>
      </c>
      <c r="G86" s="11">
        <f t="shared" ref="G86" si="1119">G85-G83</f>
        <v>-30</v>
      </c>
      <c r="H86" s="11">
        <f t="shared" ref="H86" si="1120">H85-H83</f>
        <v>0</v>
      </c>
      <c r="I86" s="11">
        <f t="shared" ref="I86" si="1121">I85-I83</f>
        <v>0</v>
      </c>
      <c r="J86" s="11">
        <f t="shared" ref="J86" si="1122">J85-J83</f>
        <v>-214</v>
      </c>
      <c r="K86" s="11">
        <f t="shared" ref="K86" si="1123">K85-K83</f>
        <v>0</v>
      </c>
      <c r="L86" s="11">
        <f t="shared" ref="L86" si="1124">L85-L83</f>
        <v>-43</v>
      </c>
      <c r="M86" s="11">
        <f t="shared" ref="M86" si="1125">M85-M83</f>
        <v>-66</v>
      </c>
      <c r="N86" s="11">
        <f t="shared" ref="N86" si="1126">N85-N83</f>
        <v>0</v>
      </c>
      <c r="O86" s="11">
        <f t="shared" ref="O86" si="1127">O85-O83</f>
        <v>0</v>
      </c>
      <c r="P86" s="11">
        <f t="shared" ref="P86" si="1128">P85-P83</f>
        <v>-44</v>
      </c>
      <c r="Q86" s="11">
        <f t="shared" ref="Q86" si="1129">Q85-Q83</f>
        <v>0</v>
      </c>
      <c r="R86" s="11">
        <f t="shared" ref="R86" si="1130">R85-R83</f>
        <v>-39</v>
      </c>
      <c r="S86" s="11">
        <f t="shared" ref="S86" si="1131">S85-S83</f>
        <v>0</v>
      </c>
      <c r="T86" s="11">
        <f t="shared" ref="T86:U86" si="1132">T85-T83</f>
        <v>0</v>
      </c>
      <c r="U86" s="11">
        <f t="shared" si="1132"/>
        <v>0</v>
      </c>
      <c r="V86" s="9">
        <f t="shared" ref="V86" si="1133">V85-V83</f>
        <v>0</v>
      </c>
      <c r="W86" s="11">
        <f t="shared" ref="W86" si="1134">W85-W83</f>
        <v>0</v>
      </c>
      <c r="X86" s="11">
        <f t="shared" ref="X86" si="1135">X85-X83</f>
        <v>0</v>
      </c>
      <c r="Y86" s="11">
        <f t="shared" ref="Y86" si="1136">Y85-Y83</f>
        <v>-45</v>
      </c>
      <c r="Z86" s="11">
        <f t="shared" ref="Z86" si="1137">Z85-Z83</f>
        <v>0</v>
      </c>
      <c r="AA86" s="11">
        <f t="shared" ref="AA86:AD86" si="1138">AA85-AA83</f>
        <v>0</v>
      </c>
      <c r="AB86" s="11">
        <f t="shared" ref="AB86" si="1139">AB85-AB83</f>
        <v>-9</v>
      </c>
      <c r="AC86" s="10">
        <f t="shared" si="1138"/>
        <v>0</v>
      </c>
      <c r="AD86" s="11">
        <f t="shared" si="1138"/>
        <v>-1567</v>
      </c>
      <c r="AE86" s="11">
        <f t="shared" ref="AE86" si="1140">AE85-AE83</f>
        <v>0</v>
      </c>
      <c r="AF86" s="11">
        <f t="shared" ref="AF86" si="1141">AF85-AF83</f>
        <v>1</v>
      </c>
      <c r="AG86" s="11">
        <f t="shared" ref="AG86" si="1142">AG85-AG83</f>
        <v>0</v>
      </c>
      <c r="AH86" s="11">
        <f t="shared" ref="AH86" si="1143">AH85-AH83</f>
        <v>0</v>
      </c>
      <c r="AI86" s="11">
        <f t="shared" ref="AI86" si="1144">AI85-AI83</f>
        <v>0</v>
      </c>
      <c r="AJ86" s="11">
        <f t="shared" ref="AJ86" si="1145">AJ85-AJ83</f>
        <v>0</v>
      </c>
      <c r="AK86" s="11">
        <f t="shared" ref="AK86" si="1146">AK85-AK83</f>
        <v>65495</v>
      </c>
      <c r="AL86" s="11">
        <f t="shared" ref="AL86" si="1147">AL85-AL83</f>
        <v>-2497</v>
      </c>
      <c r="AM86" s="11">
        <f t="shared" ref="AM86" si="1148">AM85-AM83</f>
        <v>357755</v>
      </c>
      <c r="AN86" s="11">
        <f t="shared" ref="AN86" si="1149">AN85-AN83</f>
        <v>0</v>
      </c>
      <c r="AO86" s="9">
        <f t="shared" ref="AO86" si="1150">AO85-AO83</f>
        <v>0</v>
      </c>
      <c r="AP86" s="11">
        <f t="shared" ref="AP86" si="1151">AP85-AP83</f>
        <v>0</v>
      </c>
      <c r="AQ86" s="10">
        <f t="shared" ref="AQ86" si="1152">AQ85-AQ83</f>
        <v>0</v>
      </c>
      <c r="AR86" s="11">
        <f t="shared" ref="AR86" si="1153">AR85-AR83</f>
        <v>418373</v>
      </c>
      <c r="AS86" s="11">
        <f t="shared" ref="AS86" si="1154">AS85-AS83</f>
        <v>0</v>
      </c>
      <c r="AT86" s="11">
        <f t="shared" ref="AT86" si="1155">AT85-AT83</f>
        <v>0</v>
      </c>
      <c r="AU86" s="11">
        <f t="shared" ref="AU86" si="1156">AU85-AU83</f>
        <v>171579</v>
      </c>
      <c r="AV86" s="11">
        <f t="shared" ref="AV86" si="1157">AV85-AV83</f>
        <v>0</v>
      </c>
      <c r="AW86" s="11">
        <f t="shared" ref="AW86" si="1158">AW85-AW83</f>
        <v>0</v>
      </c>
      <c r="AX86" s="11">
        <f t="shared" ref="AX86" si="1159">AX85-AX83</f>
        <v>0</v>
      </c>
      <c r="AY86" s="11">
        <f t="shared" ref="AY86" si="1160">AY85-AY83</f>
        <v>0</v>
      </c>
      <c r="AZ86" s="11">
        <f t="shared" ref="AZ86" si="1161">AZ85-AZ83</f>
        <v>225768</v>
      </c>
      <c r="BA86" s="11">
        <f t="shared" ref="BA86" si="1162">BA85-BA83</f>
        <v>204080</v>
      </c>
      <c r="BB86" s="10">
        <f t="shared" ref="BB86" si="1163">BB85-BB83</f>
        <v>0</v>
      </c>
      <c r="BC86" s="11">
        <f t="shared" ref="BC86" si="1164">BC85-BC83</f>
        <v>0</v>
      </c>
      <c r="BD86" s="11">
        <f t="shared" ref="BD86" si="1165">BD85-BD83</f>
        <v>0</v>
      </c>
      <c r="BE86" s="11">
        <f t="shared" ref="BE86" si="1166">BE85-BE83</f>
        <v>0</v>
      </c>
      <c r="BF86" s="11">
        <f t="shared" ref="BF86" si="1167">BF85-BF83</f>
        <v>0</v>
      </c>
      <c r="BG86" s="11">
        <f t="shared" ref="BG86:BH86" si="1168">BG85-BG83</f>
        <v>53345</v>
      </c>
      <c r="BH86" s="9">
        <f t="shared" si="1168"/>
        <v>1493899</v>
      </c>
      <c r="BI86" s="45">
        <f t="shared" ref="BI86" si="1169">BI85-BI83</f>
        <v>1492332</v>
      </c>
      <c r="BJ86" s="11">
        <f t="shared" ref="BJ86:BK86" si="1170">BJ85-BJ83</f>
        <v>-110712</v>
      </c>
      <c r="BK86" s="51">
        <f t="shared" si="1170"/>
        <v>1603044</v>
      </c>
      <c r="BM86" s="30">
        <f t="shared" si="1115"/>
        <v>1604611</v>
      </c>
    </row>
    <row r="87" spans="1:65" ht="15.75" x14ac:dyDescent="0.25">
      <c r="A87" s="130"/>
      <c r="B87" s="5" t="s">
        <v>133</v>
      </c>
      <c r="C87" s="13">
        <f>C86/C83</f>
        <v>-0.18138041733547353</v>
      </c>
      <c r="D87" s="13">
        <f t="shared" ref="D87" si="1171">D86/D83</f>
        <v>-0.23455233291298866</v>
      </c>
      <c r="E87" s="13" t="e">
        <f t="shared" ref="E87" si="1172">E86/E83</f>
        <v>#DIV/0!</v>
      </c>
      <c r="F87" s="13">
        <f t="shared" ref="F87" si="1173">F86/F83</f>
        <v>-0.20533880903490759</v>
      </c>
      <c r="G87" s="13">
        <f t="shared" ref="G87" si="1174">G86/G83</f>
        <v>-0.15706806282722513</v>
      </c>
      <c r="H87" s="13" t="e">
        <f t="shared" ref="H87" si="1175">H86/H83</f>
        <v>#DIV/0!</v>
      </c>
      <c r="I87" s="13" t="e">
        <f t="shared" ref="I87" si="1176">I86/I83</f>
        <v>#DIV/0!</v>
      </c>
      <c r="J87" s="13">
        <f t="shared" ref="J87" si="1177">J86/J83</f>
        <v>-0.67721518987341767</v>
      </c>
      <c r="K87" s="13" t="e">
        <f t="shared" ref="K87" si="1178">K86/K83</f>
        <v>#DIV/0!</v>
      </c>
      <c r="L87" s="13">
        <f t="shared" ref="L87" si="1179">L86/L83</f>
        <v>-0.34677419354838712</v>
      </c>
      <c r="M87" s="13">
        <f t="shared" ref="M87" si="1180">M86/M83</f>
        <v>-0.61111111111111116</v>
      </c>
      <c r="N87" s="13" t="e">
        <f t="shared" ref="N87" si="1181">N86/N83</f>
        <v>#DIV/0!</v>
      </c>
      <c r="O87" s="13" t="e">
        <f t="shared" ref="O87" si="1182">O86/O83</f>
        <v>#DIV/0!</v>
      </c>
      <c r="P87" s="13">
        <f t="shared" ref="P87" si="1183">P86/P83</f>
        <v>-0.72131147540983609</v>
      </c>
      <c r="Q87" s="13" t="e">
        <f t="shared" ref="Q87" si="1184">Q86/Q83</f>
        <v>#DIV/0!</v>
      </c>
      <c r="R87" s="13">
        <f t="shared" ref="R87" si="1185">R86/R83</f>
        <v>-1</v>
      </c>
      <c r="S87" s="13" t="e">
        <f t="shared" ref="S87" si="1186">S86/S83</f>
        <v>#DIV/0!</v>
      </c>
      <c r="T87" s="13" t="e">
        <f t="shared" ref="T87:U87" si="1187">T86/T83</f>
        <v>#DIV/0!</v>
      </c>
      <c r="U87" s="13" t="e">
        <f t="shared" si="1187"/>
        <v>#DIV/0!</v>
      </c>
      <c r="V87" s="165" t="e">
        <f t="shared" ref="V87" si="1188">V86/V83</f>
        <v>#DIV/0!</v>
      </c>
      <c r="W87" s="13" t="e">
        <f t="shared" ref="W87" si="1189">W86/W83</f>
        <v>#DIV/0!</v>
      </c>
      <c r="X87" s="13" t="e">
        <f t="shared" ref="X87" si="1190">X86/X83</f>
        <v>#DIV/0!</v>
      </c>
      <c r="Y87" s="13">
        <f t="shared" ref="Y87" si="1191">Y86/Y83</f>
        <v>-1</v>
      </c>
      <c r="Z87" s="13" t="e">
        <f t="shared" ref="Z87" si="1192">Z86/Z83</f>
        <v>#DIV/0!</v>
      </c>
      <c r="AA87" s="13" t="e">
        <f t="shared" ref="AA87:AD87" si="1193">AA86/AA83</f>
        <v>#DIV/0!</v>
      </c>
      <c r="AB87" s="13">
        <f t="shared" ref="AB87" si="1194">AB86/AB83</f>
        <v>-1</v>
      </c>
      <c r="AC87" s="14" t="e">
        <f t="shared" si="1193"/>
        <v>#DIV/0!</v>
      </c>
      <c r="AD87" s="13">
        <f t="shared" si="1193"/>
        <v>-0.23982246709519436</v>
      </c>
      <c r="AE87" s="13" t="e">
        <f t="shared" ref="AE87" si="1195">AE86/AE83</f>
        <v>#DIV/0!</v>
      </c>
      <c r="AF87" s="13" t="e">
        <f t="shared" ref="AF87" si="1196">AF86/AF83</f>
        <v>#DIV/0!</v>
      </c>
      <c r="AG87" s="13" t="e">
        <f t="shared" ref="AG87" si="1197">AG86/AG83</f>
        <v>#DIV/0!</v>
      </c>
      <c r="AH87" s="13" t="e">
        <f t="shared" ref="AH87" si="1198">AH86/AH83</f>
        <v>#DIV/0!</v>
      </c>
      <c r="AI87" s="13" t="e">
        <f t="shared" ref="AI87" si="1199">AI86/AI83</f>
        <v>#DIV/0!</v>
      </c>
      <c r="AJ87" s="13" t="e">
        <f t="shared" ref="AJ87" si="1200">AJ86/AJ83</f>
        <v>#DIV/0!</v>
      </c>
      <c r="AK87" s="13">
        <f t="shared" ref="AK87" si="1201">AK86/AK83</f>
        <v>1.7672692930383163</v>
      </c>
      <c r="AL87" s="13">
        <f t="shared" ref="AL87" si="1202">AL86/AL83</f>
        <v>-1</v>
      </c>
      <c r="AM87" s="13">
        <f t="shared" ref="AM87" si="1203">AM86/AM83</f>
        <v>0.20082664762559138</v>
      </c>
      <c r="AN87" s="13" t="e">
        <f t="shared" ref="AN87" si="1204">AN86/AN83</f>
        <v>#DIV/0!</v>
      </c>
      <c r="AO87" s="165" t="e">
        <f t="shared" ref="AO87" si="1205">AO86/AO83</f>
        <v>#DIV/0!</v>
      </c>
      <c r="AP87" s="13" t="e">
        <f t="shared" ref="AP87" si="1206">AP86/AP83</f>
        <v>#DIV/0!</v>
      </c>
      <c r="AQ87" s="14" t="e">
        <f t="shared" ref="AQ87" si="1207">AQ86/AQ83</f>
        <v>#DIV/0!</v>
      </c>
      <c r="AR87" s="13">
        <f t="shared" ref="AR87" si="1208">AR86/AR83</f>
        <v>2.0382786541815667</v>
      </c>
      <c r="AS87" s="13" t="e">
        <f t="shared" ref="AS87" si="1209">AS86/AS83</f>
        <v>#DIV/0!</v>
      </c>
      <c r="AT87" s="13" t="e">
        <f t="shared" ref="AT87" si="1210">AT86/AT83</f>
        <v>#DIV/0!</v>
      </c>
      <c r="AU87" s="13">
        <f t="shared" ref="AU87" si="1211">AU86/AU83</f>
        <v>1.8948955250254009</v>
      </c>
      <c r="AV87" s="13" t="e">
        <f t="shared" ref="AV87" si="1212">AV86/AV83</f>
        <v>#DIV/0!</v>
      </c>
      <c r="AW87" s="13" t="e">
        <f t="shared" ref="AW87" si="1213">AW86/AW83</f>
        <v>#DIV/0!</v>
      </c>
      <c r="AX87" s="13" t="e">
        <f t="shared" ref="AX87" si="1214">AX86/AX83</f>
        <v>#DIV/0!</v>
      </c>
      <c r="AY87" s="13" t="e">
        <f t="shared" ref="AY87" si="1215">AY86/AY83</f>
        <v>#DIV/0!</v>
      </c>
      <c r="AZ87" s="13">
        <f t="shared" ref="AZ87" si="1216">AZ86/AZ83</f>
        <v>2.7364491418597887</v>
      </c>
      <c r="BA87" s="13">
        <f t="shared" ref="BA87" si="1217">BA86/BA83</f>
        <v>1.4505753825814385</v>
      </c>
      <c r="BB87" s="14" t="e">
        <f t="shared" ref="BB87" si="1218">BB86/BB83</f>
        <v>#DIV/0!</v>
      </c>
      <c r="BC87" s="13" t="e">
        <f t="shared" ref="BC87" si="1219">BC86/BC83</f>
        <v>#DIV/0!</v>
      </c>
      <c r="BD87" s="13" t="e">
        <f t="shared" ref="BD87" si="1220">BD86/BD83</f>
        <v>#DIV/0!</v>
      </c>
      <c r="BE87" s="13" t="e">
        <f t="shared" ref="BE87" si="1221">BE86/BE83</f>
        <v>#DIV/0!</v>
      </c>
      <c r="BF87" s="13" t="e">
        <f t="shared" ref="BF87" si="1222">BF86/BF83</f>
        <v>#DIV/0!</v>
      </c>
      <c r="BG87" s="13">
        <f t="shared" ref="BG87:BH87" si="1223">BG86/BG83</f>
        <v>7.9394255097484745</v>
      </c>
      <c r="BH87" s="165">
        <f t="shared" si="1223"/>
        <v>0.6365991715128605</v>
      </c>
      <c r="BI87" s="46">
        <f t="shared" ref="BI87" si="1224">BI86/BI83</f>
        <v>0.63416568184628641</v>
      </c>
      <c r="BJ87" s="13">
        <f t="shared" ref="BJ87:BK87" si="1225">BJ86/BJ83</f>
        <v>-0.92688685168906193</v>
      </c>
      <c r="BK87" s="52">
        <f t="shared" si="1225"/>
        <v>0.71763865311472597</v>
      </c>
      <c r="BM87" s="165" t="e">
        <f t="shared" ref="BM87" si="1226">BM86/BM83</f>
        <v>#DIV/0!</v>
      </c>
    </row>
    <row r="88" spans="1:65" ht="15.75" x14ac:dyDescent="0.25">
      <c r="A88" s="130"/>
      <c r="B88" s="5" t="s">
        <v>134</v>
      </c>
      <c r="C88" s="11">
        <f>C85-C84</f>
        <v>-106</v>
      </c>
      <c r="D88" s="11">
        <f t="shared" ref="D88:BK88" si="1227">D85-D84</f>
        <v>-18</v>
      </c>
      <c r="E88" s="11">
        <f t="shared" si="1227"/>
        <v>0</v>
      </c>
      <c r="F88" s="11">
        <f t="shared" si="1227"/>
        <v>-31</v>
      </c>
      <c r="G88" s="11">
        <f t="shared" si="1227"/>
        <v>2</v>
      </c>
      <c r="H88" s="11">
        <f t="shared" si="1227"/>
        <v>0</v>
      </c>
      <c r="I88" s="11">
        <f t="shared" si="1227"/>
        <v>0</v>
      </c>
      <c r="J88" s="11">
        <f t="shared" si="1227"/>
        <v>-233</v>
      </c>
      <c r="K88" s="11">
        <f t="shared" si="1227"/>
        <v>0</v>
      </c>
      <c r="L88" s="11">
        <f t="shared" si="1227"/>
        <v>-48</v>
      </c>
      <c r="M88" s="11">
        <f t="shared" si="1227"/>
        <v>-9</v>
      </c>
      <c r="N88" s="11">
        <f t="shared" si="1227"/>
        <v>0</v>
      </c>
      <c r="O88" s="11">
        <f t="shared" si="1227"/>
        <v>0</v>
      </c>
      <c r="P88" s="11">
        <f t="shared" si="1227"/>
        <v>-19</v>
      </c>
      <c r="Q88" s="11">
        <f t="shared" si="1227"/>
        <v>0</v>
      </c>
      <c r="R88" s="11">
        <f t="shared" si="1227"/>
        <v>0</v>
      </c>
      <c r="S88" s="11">
        <f t="shared" si="1227"/>
        <v>0</v>
      </c>
      <c r="T88" s="11">
        <f t="shared" si="1227"/>
        <v>0</v>
      </c>
      <c r="U88" s="11">
        <f t="shared" ref="U88" si="1228">U85-U84</f>
        <v>0</v>
      </c>
      <c r="V88" s="9">
        <f t="shared" si="1227"/>
        <v>0</v>
      </c>
      <c r="W88" s="11">
        <f t="shared" si="1227"/>
        <v>0</v>
      </c>
      <c r="X88" s="11">
        <f t="shared" si="1227"/>
        <v>0</v>
      </c>
      <c r="Y88" s="11">
        <f t="shared" si="1227"/>
        <v>0</v>
      </c>
      <c r="Z88" s="11">
        <f t="shared" si="1227"/>
        <v>0</v>
      </c>
      <c r="AA88" s="11">
        <f t="shared" si="1227"/>
        <v>0</v>
      </c>
      <c r="AB88" s="11">
        <f t="shared" ref="AB88" si="1229">AB85-AB84</f>
        <v>0</v>
      </c>
      <c r="AC88" s="10">
        <f t="shared" ref="AC88:AD88" si="1230">AC85-AC84</f>
        <v>0</v>
      </c>
      <c r="AD88" s="11">
        <f t="shared" si="1230"/>
        <v>-462</v>
      </c>
      <c r="AE88" s="11">
        <f t="shared" si="1227"/>
        <v>0</v>
      </c>
      <c r="AF88" s="11">
        <f t="shared" si="1227"/>
        <v>1</v>
      </c>
      <c r="AG88" s="11">
        <f t="shared" si="1227"/>
        <v>0</v>
      </c>
      <c r="AH88" s="11">
        <f t="shared" si="1227"/>
        <v>0</v>
      </c>
      <c r="AI88" s="11">
        <f t="shared" si="1227"/>
        <v>0</v>
      </c>
      <c r="AJ88" s="11">
        <f t="shared" si="1227"/>
        <v>0</v>
      </c>
      <c r="AK88" s="11">
        <f t="shared" si="1227"/>
        <v>66314</v>
      </c>
      <c r="AL88" s="11">
        <f t="shared" si="1227"/>
        <v>0</v>
      </c>
      <c r="AM88" s="11">
        <f t="shared" si="1227"/>
        <v>560716</v>
      </c>
      <c r="AN88" s="11">
        <f t="shared" si="1227"/>
        <v>0</v>
      </c>
      <c r="AO88" s="9">
        <f t="shared" si="1227"/>
        <v>0</v>
      </c>
      <c r="AP88" s="11">
        <f t="shared" si="1227"/>
        <v>0</v>
      </c>
      <c r="AQ88" s="10">
        <f t="shared" si="1227"/>
        <v>0</v>
      </c>
      <c r="AR88" s="11">
        <f t="shared" si="1227"/>
        <v>341264</v>
      </c>
      <c r="AS88" s="11">
        <f t="shared" si="1227"/>
        <v>0</v>
      </c>
      <c r="AT88" s="11">
        <f t="shared" si="1227"/>
        <v>0</v>
      </c>
      <c r="AU88" s="11">
        <f t="shared" si="1227"/>
        <v>148130</v>
      </c>
      <c r="AV88" s="11">
        <f t="shared" si="1227"/>
        <v>0</v>
      </c>
      <c r="AW88" s="11">
        <f t="shared" si="1227"/>
        <v>0</v>
      </c>
      <c r="AX88" s="11">
        <f t="shared" si="1227"/>
        <v>0</v>
      </c>
      <c r="AY88" s="11">
        <f t="shared" si="1227"/>
        <v>0</v>
      </c>
      <c r="AZ88" s="11">
        <f t="shared" si="1227"/>
        <v>238495</v>
      </c>
      <c r="BA88" s="11">
        <f t="shared" si="1227"/>
        <v>137774</v>
      </c>
      <c r="BB88" s="10">
        <f t="shared" si="1227"/>
        <v>0</v>
      </c>
      <c r="BC88" s="11">
        <f t="shared" si="1227"/>
        <v>0</v>
      </c>
      <c r="BD88" s="11">
        <f t="shared" si="1227"/>
        <v>0</v>
      </c>
      <c r="BE88" s="11">
        <f t="shared" si="1227"/>
        <v>0</v>
      </c>
      <c r="BF88" s="11">
        <f t="shared" si="1227"/>
        <v>0</v>
      </c>
      <c r="BG88" s="11">
        <f t="shared" si="1227"/>
        <v>35257</v>
      </c>
      <c r="BH88" s="9">
        <f t="shared" si="1227"/>
        <v>1527951</v>
      </c>
      <c r="BI88" s="45">
        <f t="shared" si="1227"/>
        <v>1527489</v>
      </c>
      <c r="BJ88" s="11">
        <f t="shared" si="1227"/>
        <v>-53687</v>
      </c>
      <c r="BK88" s="51">
        <f t="shared" si="1227"/>
        <v>1581176</v>
      </c>
      <c r="BM88" s="30">
        <f t="shared" si="1115"/>
        <v>1581638</v>
      </c>
    </row>
    <row r="89" spans="1:65" ht="15.75" x14ac:dyDescent="0.25">
      <c r="A89" s="130"/>
      <c r="B89" s="5" t="s">
        <v>135</v>
      </c>
      <c r="C89" s="13">
        <f>C88/C84</f>
        <v>-2.8835690968443961E-2</v>
      </c>
      <c r="D89" s="13">
        <f t="shared" ref="D89" si="1231">D88/D84</f>
        <v>-2.8799999999999999E-2</v>
      </c>
      <c r="E89" s="13" t="e">
        <f t="shared" ref="E89" si="1232">E88/E84</f>
        <v>#DIV/0!</v>
      </c>
      <c r="F89" s="13">
        <f t="shared" ref="F89" si="1233">F88/F84</f>
        <v>-7.4162679425837319E-2</v>
      </c>
      <c r="G89" s="13">
        <f t="shared" ref="G89" si="1234">G88/G84</f>
        <v>1.2578616352201259E-2</v>
      </c>
      <c r="H89" s="13" t="e">
        <f t="shared" ref="H89" si="1235">H88/H84</f>
        <v>#DIV/0!</v>
      </c>
      <c r="I89" s="13" t="e">
        <f t="shared" ref="I89" si="1236">I88/I84</f>
        <v>#DIV/0!</v>
      </c>
      <c r="J89" s="13">
        <f t="shared" ref="J89" si="1237">J88/J84</f>
        <v>-0.69552238805970146</v>
      </c>
      <c r="K89" s="13" t="e">
        <f t="shared" ref="K89" si="1238">K88/K84</f>
        <v>#DIV/0!</v>
      </c>
      <c r="L89" s="13">
        <f t="shared" ref="L89" si="1239">L88/L84</f>
        <v>-0.37209302325581395</v>
      </c>
      <c r="M89" s="13">
        <f t="shared" ref="M89" si="1240">M88/M84</f>
        <v>-0.17647058823529413</v>
      </c>
      <c r="N89" s="13" t="e">
        <f t="shared" ref="N89" si="1241">N88/N84</f>
        <v>#DIV/0!</v>
      </c>
      <c r="O89" s="13" t="e">
        <f t="shared" ref="O89" si="1242">O88/O84</f>
        <v>#DIV/0!</v>
      </c>
      <c r="P89" s="13">
        <f t="shared" ref="P89" si="1243">P88/P84</f>
        <v>-0.52777777777777779</v>
      </c>
      <c r="Q89" s="13" t="e">
        <f t="shared" ref="Q89" si="1244">Q88/Q84</f>
        <v>#DIV/0!</v>
      </c>
      <c r="R89" s="13" t="e">
        <f t="shared" ref="R89" si="1245">R88/R84</f>
        <v>#DIV/0!</v>
      </c>
      <c r="S89" s="13" t="e">
        <f t="shared" ref="S89" si="1246">S88/S84</f>
        <v>#DIV/0!</v>
      </c>
      <c r="T89" s="13" t="e">
        <f t="shared" ref="T89:U89" si="1247">T88/T84</f>
        <v>#DIV/0!</v>
      </c>
      <c r="U89" s="13" t="e">
        <f t="shared" si="1247"/>
        <v>#DIV/0!</v>
      </c>
      <c r="V89" s="165" t="e">
        <f t="shared" ref="V89" si="1248">V88/V84</f>
        <v>#DIV/0!</v>
      </c>
      <c r="W89" s="13" t="e">
        <f t="shared" ref="W89" si="1249">W88/W84</f>
        <v>#DIV/0!</v>
      </c>
      <c r="X89" s="13" t="e">
        <f t="shared" ref="X89" si="1250">X88/X84</f>
        <v>#DIV/0!</v>
      </c>
      <c r="Y89" s="13" t="e">
        <f t="shared" ref="Y89" si="1251">Y88/Y84</f>
        <v>#DIV/0!</v>
      </c>
      <c r="Z89" s="13" t="e">
        <f t="shared" ref="Z89" si="1252">Z88/Z84</f>
        <v>#DIV/0!</v>
      </c>
      <c r="AA89" s="13" t="e">
        <f t="shared" ref="AA89:AD89" si="1253">AA88/AA84</f>
        <v>#DIV/0!</v>
      </c>
      <c r="AB89" s="13" t="e">
        <f t="shared" ref="AB89" si="1254">AB88/AB84</f>
        <v>#DIV/0!</v>
      </c>
      <c r="AC89" s="14" t="e">
        <f t="shared" si="1253"/>
        <v>#DIV/0!</v>
      </c>
      <c r="AD89" s="13">
        <f t="shared" si="1253"/>
        <v>-8.5098544851722233E-2</v>
      </c>
      <c r="AE89" s="13" t="e">
        <f t="shared" ref="AE89" si="1255">AE88/AE84</f>
        <v>#DIV/0!</v>
      </c>
      <c r="AF89" s="13" t="e">
        <f t="shared" ref="AF89" si="1256">AF88/AF84</f>
        <v>#DIV/0!</v>
      </c>
      <c r="AG89" s="13" t="e">
        <f t="shared" ref="AG89" si="1257">AG88/AG84</f>
        <v>#DIV/0!</v>
      </c>
      <c r="AH89" s="13" t="e">
        <f t="shared" ref="AH89" si="1258">AH88/AH84</f>
        <v>#DIV/0!</v>
      </c>
      <c r="AI89" s="13" t="e">
        <f t="shared" ref="AI89" si="1259">AI88/AI84</f>
        <v>#DIV/0!</v>
      </c>
      <c r="AJ89" s="13" t="e">
        <f t="shared" ref="AJ89" si="1260">AJ88/AJ84</f>
        <v>#DIV/0!</v>
      </c>
      <c r="AK89" s="13">
        <f t="shared" ref="AK89" si="1261">AK88/AK84</f>
        <v>1.8298060208051654</v>
      </c>
      <c r="AL89" s="13" t="e">
        <f t="shared" ref="AL89" si="1262">AL88/AL84</f>
        <v>#DIV/0!</v>
      </c>
      <c r="AM89" s="13">
        <f t="shared" ref="AM89" si="1263">AM88/AM84</f>
        <v>0.35523180637219653</v>
      </c>
      <c r="AN89" s="13" t="e">
        <f t="shared" ref="AN89" si="1264">AN88/AN84</f>
        <v>#DIV/0!</v>
      </c>
      <c r="AO89" s="165" t="e">
        <f t="shared" ref="AO89" si="1265">AO88/AO84</f>
        <v>#DIV/0!</v>
      </c>
      <c r="AP89" s="13" t="e">
        <f t="shared" ref="AP89" si="1266">AP88/AP84</f>
        <v>#DIV/0!</v>
      </c>
      <c r="AQ89" s="14" t="e">
        <f t="shared" ref="AQ89" si="1267">AQ88/AQ84</f>
        <v>#DIV/0!</v>
      </c>
      <c r="AR89" s="13">
        <f t="shared" ref="AR89" si="1268">AR88/AR84</f>
        <v>1.2085831559636926</v>
      </c>
      <c r="AS89" s="13" t="e">
        <f t="shared" ref="AS89" si="1269">AS88/AS84</f>
        <v>#DIV/0!</v>
      </c>
      <c r="AT89" s="13" t="e">
        <f t="shared" ref="AT89" si="1270">AT88/AT84</f>
        <v>#DIV/0!</v>
      </c>
      <c r="AU89" s="13">
        <f t="shared" ref="AU89" si="1271">AU88/AU84</f>
        <v>1.2994201601796538</v>
      </c>
      <c r="AV89" s="13" t="e">
        <f t="shared" ref="AV89" si="1272">AV88/AV84</f>
        <v>#DIV/0!</v>
      </c>
      <c r="AW89" s="13" t="e">
        <f t="shared" ref="AW89" si="1273">AW88/AW84</f>
        <v>#DIV/0!</v>
      </c>
      <c r="AX89" s="13" t="e">
        <f t="shared" ref="AX89" si="1274">AX88/AX84</f>
        <v>#DIV/0!</v>
      </c>
      <c r="AY89" s="13" t="e">
        <f t="shared" ref="AY89" si="1275">AY88/AY84</f>
        <v>#DIV/0!</v>
      </c>
      <c r="AZ89" s="13">
        <f t="shared" ref="AZ89" si="1276">AZ88/AZ84</f>
        <v>3.4179600728033592</v>
      </c>
      <c r="BA89" s="13">
        <f t="shared" ref="BA89" si="1277">BA88/BA84</f>
        <v>0.66559095630329235</v>
      </c>
      <c r="BB89" s="14" t="e">
        <f t="shared" ref="BB89" si="1278">BB88/BB84</f>
        <v>#DIV/0!</v>
      </c>
      <c r="BC89" s="13" t="e">
        <f t="shared" ref="BC89" si="1279">BC88/BC84</f>
        <v>#DIV/0!</v>
      </c>
      <c r="BD89" s="13" t="e">
        <f t="shared" ref="BD89" si="1280">BD88/BD84</f>
        <v>#DIV/0!</v>
      </c>
      <c r="BE89" s="13" t="e">
        <f t="shared" ref="BE89" si="1281">BE88/BE84</f>
        <v>#DIV/0!</v>
      </c>
      <c r="BF89" s="13" t="e">
        <f t="shared" ref="BF89" si="1282">BF88/BF84</f>
        <v>#DIV/0!</v>
      </c>
      <c r="BG89" s="13">
        <f t="shared" ref="BG89:BH89" si="1283">BG88/BG84</f>
        <v>1.4212520659491272</v>
      </c>
      <c r="BH89" s="165">
        <f t="shared" si="1283"/>
        <v>0.66069699714827457</v>
      </c>
      <c r="BI89" s="46">
        <f t="shared" ref="BI89" si="1284">BI88/BI84</f>
        <v>0.65895031371006152</v>
      </c>
      <c r="BJ89" s="13">
        <f t="shared" ref="BJ89:BK89" si="1285">BJ88/BJ84</f>
        <v>-0.8600929189362384</v>
      </c>
      <c r="BK89" s="52">
        <f t="shared" si="1285"/>
        <v>0.70098650318933309</v>
      </c>
      <c r="BM89" s="14">
        <f t="shared" ref="BM89" si="1286">BM88/BM84</f>
        <v>0.70288305784113958</v>
      </c>
    </row>
    <row r="90" spans="1:65" ht="15.75" x14ac:dyDescent="0.25">
      <c r="A90" s="130"/>
      <c r="B90" s="5" t="s">
        <v>210</v>
      </c>
      <c r="C90" s="128">
        <f>C85/C82</f>
        <v>0.21275327771156138</v>
      </c>
      <c r="D90" s="128">
        <f t="shared" ref="D90:BK90" si="1287">D85/D82</f>
        <v>0.19862565445026178</v>
      </c>
      <c r="E90" s="128">
        <f t="shared" si="1287"/>
        <v>0</v>
      </c>
      <c r="F90" s="128">
        <f t="shared" si="1287"/>
        <v>0.20651013874066168</v>
      </c>
      <c r="G90" s="128">
        <f t="shared" si="1287"/>
        <v>0.21934604904632152</v>
      </c>
      <c r="H90" s="128" t="e">
        <f t="shared" si="1287"/>
        <v>#DIV/0!</v>
      </c>
      <c r="I90" s="128" t="e">
        <f t="shared" si="1287"/>
        <v>#DIV/0!</v>
      </c>
      <c r="J90" s="128">
        <f t="shared" si="1287"/>
        <v>8.3950617283950618E-2</v>
      </c>
      <c r="K90" s="128" t="e">
        <f t="shared" si="1287"/>
        <v>#DIV/0!</v>
      </c>
      <c r="L90" s="128">
        <f t="shared" si="1287"/>
        <v>0.17052631578947369</v>
      </c>
      <c r="M90" s="128">
        <f t="shared" si="1287"/>
        <v>0.10071942446043165</v>
      </c>
      <c r="N90" s="128" t="e">
        <f t="shared" si="1287"/>
        <v>#DIV/0!</v>
      </c>
      <c r="O90" s="128" t="e">
        <f t="shared" si="1287"/>
        <v>#DIV/0!</v>
      </c>
      <c r="P90" s="128">
        <f t="shared" si="1287"/>
        <v>7.2961373390557943E-2</v>
      </c>
      <c r="Q90" s="128" t="e">
        <f t="shared" si="1287"/>
        <v>#DIV/0!</v>
      </c>
      <c r="R90" s="128">
        <f t="shared" si="1287"/>
        <v>0</v>
      </c>
      <c r="S90" s="128" t="e">
        <f t="shared" si="1287"/>
        <v>#DIV/0!</v>
      </c>
      <c r="T90" s="128" t="e">
        <f t="shared" si="1287"/>
        <v>#DIV/0!</v>
      </c>
      <c r="U90" s="128" t="e">
        <f t="shared" si="1287"/>
        <v>#DIV/0!</v>
      </c>
      <c r="V90" s="180" t="e">
        <f t="shared" si="1287"/>
        <v>#DIV/0!</v>
      </c>
      <c r="W90" s="128" t="e">
        <f t="shared" si="1287"/>
        <v>#DIV/0!</v>
      </c>
      <c r="X90" s="128" t="e">
        <f t="shared" si="1287"/>
        <v>#DIV/0!</v>
      </c>
      <c r="Y90" s="128">
        <f t="shared" si="1287"/>
        <v>0</v>
      </c>
      <c r="Z90" s="128" t="e">
        <f t="shared" si="1287"/>
        <v>#DIV/0!</v>
      </c>
      <c r="AA90" s="128" t="e">
        <f t="shared" si="1287"/>
        <v>#DIV/0!</v>
      </c>
      <c r="AB90" s="128">
        <f t="shared" ref="AB90" si="1288">AB85/AB82</f>
        <v>0</v>
      </c>
      <c r="AC90" s="222" t="e">
        <f t="shared" si="1287"/>
        <v>#DIV/0!</v>
      </c>
      <c r="AD90" s="128">
        <f t="shared" si="1287"/>
        <v>0.19339641007670444</v>
      </c>
      <c r="AE90" s="128" t="e">
        <f t="shared" si="1287"/>
        <v>#DIV/0!</v>
      </c>
      <c r="AF90" s="128" t="e">
        <f t="shared" si="1287"/>
        <v>#DIV/0!</v>
      </c>
      <c r="AG90" s="128" t="e">
        <f t="shared" si="1287"/>
        <v>#DIV/0!</v>
      </c>
      <c r="AH90" s="128" t="e">
        <f t="shared" si="1287"/>
        <v>#DIV/0!</v>
      </c>
      <c r="AI90" s="128" t="e">
        <f t="shared" si="1287"/>
        <v>#DIV/0!</v>
      </c>
      <c r="AJ90" s="128" t="e">
        <f t="shared" si="1287"/>
        <v>#DIV/0!</v>
      </c>
      <c r="AK90" s="128">
        <f t="shared" si="1287"/>
        <v>0.71949234590074229</v>
      </c>
      <c r="AL90" s="128">
        <f t="shared" si="1287"/>
        <v>0</v>
      </c>
      <c r="AM90" s="128">
        <f t="shared" si="1287"/>
        <v>0.31221504756127855</v>
      </c>
      <c r="AN90" s="128" t="e">
        <f t="shared" si="1287"/>
        <v>#DIV/0!</v>
      </c>
      <c r="AO90" s="180" t="e">
        <f t="shared" si="1287"/>
        <v>#DIV/0!</v>
      </c>
      <c r="AP90" s="128" t="e">
        <f t="shared" si="1287"/>
        <v>#DIV/0!</v>
      </c>
      <c r="AQ90" s="222" t="e">
        <f t="shared" si="1287"/>
        <v>#DIV/0!</v>
      </c>
      <c r="AR90" s="128">
        <f t="shared" si="1287"/>
        <v>0.78995029488660551</v>
      </c>
      <c r="AS90" s="128" t="e">
        <f t="shared" si="1287"/>
        <v>#DIV/0!</v>
      </c>
      <c r="AT90" s="128" t="e">
        <f t="shared" si="1287"/>
        <v>#DIV/0!</v>
      </c>
      <c r="AU90" s="128">
        <f t="shared" si="1287"/>
        <v>0.7526740002469412</v>
      </c>
      <c r="AV90" s="128" t="e">
        <f t="shared" si="1287"/>
        <v>#DIV/0!</v>
      </c>
      <c r="AW90" s="128" t="e">
        <f t="shared" si="1287"/>
        <v>#DIV/0!</v>
      </c>
      <c r="AX90" s="128" t="e">
        <f t="shared" si="1287"/>
        <v>#DIV/0!</v>
      </c>
      <c r="AY90" s="128" t="e">
        <f t="shared" si="1287"/>
        <v>#DIV/0!</v>
      </c>
      <c r="AZ90" s="128">
        <f t="shared" si="1287"/>
        <v>0.97147395091452271</v>
      </c>
      <c r="BA90" s="128">
        <f t="shared" si="1287"/>
        <v>0.63715141098852357</v>
      </c>
      <c r="BB90" s="222" t="e">
        <f t="shared" si="1287"/>
        <v>#DIV/0!</v>
      </c>
      <c r="BC90" s="128" t="e">
        <f t="shared" si="1287"/>
        <v>#DIV/0!</v>
      </c>
      <c r="BD90" s="128" t="e">
        <f t="shared" si="1287"/>
        <v>#DIV/0!</v>
      </c>
      <c r="BE90" s="128" t="e">
        <f t="shared" si="1287"/>
        <v>#DIV/0!</v>
      </c>
      <c r="BF90" s="128" t="e">
        <f t="shared" si="1287"/>
        <v>#DIV/0!</v>
      </c>
      <c r="BG90" s="128">
        <f t="shared" si="1287"/>
        <v>2.3248180832946277</v>
      </c>
      <c r="BH90" s="180">
        <f t="shared" si="1287"/>
        <v>0.42551621977661591</v>
      </c>
      <c r="BI90" s="128">
        <f t="shared" si="1287"/>
        <v>0.42485758821874159</v>
      </c>
      <c r="BJ90" s="128">
        <f t="shared" si="1287"/>
        <v>1.8278440105823648E-2</v>
      </c>
      <c r="BK90" s="128">
        <f t="shared" si="1287"/>
        <v>0.4475147420277813</v>
      </c>
      <c r="BM90" s="128" t="e">
        <f t="shared" ref="BM90" si="1289">BM85/BM82</f>
        <v>#DIV/0!</v>
      </c>
    </row>
    <row r="91" spans="1:65" s="183" customFormat="1" ht="15.75" x14ac:dyDescent="0.25">
      <c r="A91" s="130"/>
      <c r="B91" s="5" t="s">
        <v>329</v>
      </c>
      <c r="C91" s="11">
        <f>C85-C82</f>
        <v>-13210</v>
      </c>
      <c r="D91" s="11">
        <f t="shared" ref="D91:BM91" si="1290">D85-D82</f>
        <v>-2449</v>
      </c>
      <c r="E91" s="11">
        <f t="shared" si="1290"/>
        <v>-546</v>
      </c>
      <c r="F91" s="11">
        <f t="shared" si="1290"/>
        <v>-1487</v>
      </c>
      <c r="G91" s="11">
        <f t="shared" si="1290"/>
        <v>-573</v>
      </c>
      <c r="H91" s="11">
        <f t="shared" si="1290"/>
        <v>0</v>
      </c>
      <c r="I91" s="11">
        <f t="shared" si="1290"/>
        <v>0</v>
      </c>
      <c r="J91" s="11">
        <f t="shared" si="1290"/>
        <v>-1113</v>
      </c>
      <c r="K91" s="11">
        <f t="shared" si="1290"/>
        <v>0</v>
      </c>
      <c r="L91" s="11">
        <f t="shared" si="1290"/>
        <v>-394</v>
      </c>
      <c r="M91" s="11">
        <f t="shared" si="1290"/>
        <v>-375</v>
      </c>
      <c r="N91" s="11">
        <f t="shared" si="1290"/>
        <v>0</v>
      </c>
      <c r="O91" s="11">
        <f t="shared" si="1290"/>
        <v>0</v>
      </c>
      <c r="P91" s="11">
        <f t="shared" si="1290"/>
        <v>-216</v>
      </c>
      <c r="Q91" s="11">
        <f t="shared" si="1290"/>
        <v>0</v>
      </c>
      <c r="R91" s="11">
        <f t="shared" si="1290"/>
        <v>-150</v>
      </c>
      <c r="S91" s="11">
        <f t="shared" si="1290"/>
        <v>0</v>
      </c>
      <c r="T91" s="11">
        <f t="shared" si="1290"/>
        <v>0</v>
      </c>
      <c r="U91" s="11">
        <f t="shared" si="1290"/>
        <v>0</v>
      </c>
      <c r="V91" s="9">
        <f t="shared" si="1290"/>
        <v>0</v>
      </c>
      <c r="W91" s="11">
        <f t="shared" si="1290"/>
        <v>0</v>
      </c>
      <c r="X91" s="11">
        <f t="shared" si="1290"/>
        <v>0</v>
      </c>
      <c r="Y91" s="11">
        <f t="shared" si="1290"/>
        <v>-170</v>
      </c>
      <c r="Z91" s="11">
        <f t="shared" si="1290"/>
        <v>0</v>
      </c>
      <c r="AA91" s="11">
        <f t="shared" si="1290"/>
        <v>0</v>
      </c>
      <c r="AB91" s="11">
        <f t="shared" ref="AB91" si="1291">AB85-AB82</f>
        <v>-33</v>
      </c>
      <c r="AC91" s="10">
        <f t="shared" si="1290"/>
        <v>0</v>
      </c>
      <c r="AD91" s="11">
        <f t="shared" si="1290"/>
        <v>-20716</v>
      </c>
      <c r="AE91" s="11">
        <f t="shared" si="1290"/>
        <v>0</v>
      </c>
      <c r="AF91" s="11">
        <f t="shared" si="1290"/>
        <v>1</v>
      </c>
      <c r="AG91" s="11">
        <f t="shared" si="1290"/>
        <v>0</v>
      </c>
      <c r="AH91" s="11">
        <f t="shared" si="1290"/>
        <v>0</v>
      </c>
      <c r="AI91" s="11">
        <f t="shared" si="1290"/>
        <v>0</v>
      </c>
      <c r="AJ91" s="11">
        <f t="shared" si="1290"/>
        <v>0</v>
      </c>
      <c r="AK91" s="11">
        <f t="shared" si="1290"/>
        <v>-39983</v>
      </c>
      <c r="AL91" s="11">
        <f t="shared" si="1290"/>
        <v>-9603</v>
      </c>
      <c r="AM91" s="11">
        <f t="shared" si="1290"/>
        <v>-4712415</v>
      </c>
      <c r="AN91" s="11">
        <f t="shared" si="1290"/>
        <v>0</v>
      </c>
      <c r="AO91" s="9">
        <f t="shared" si="1290"/>
        <v>0</v>
      </c>
      <c r="AP91" s="11">
        <f t="shared" si="1290"/>
        <v>0</v>
      </c>
      <c r="AQ91" s="10">
        <f t="shared" si="1290"/>
        <v>0</v>
      </c>
      <c r="AR91" s="11">
        <f t="shared" si="1290"/>
        <v>-165825</v>
      </c>
      <c r="AS91" s="11">
        <f t="shared" si="1290"/>
        <v>0</v>
      </c>
      <c r="AT91" s="11">
        <f t="shared" si="1290"/>
        <v>0</v>
      </c>
      <c r="AU91" s="11">
        <f t="shared" si="1290"/>
        <v>-86134</v>
      </c>
      <c r="AV91" s="11">
        <f t="shared" si="1290"/>
        <v>0</v>
      </c>
      <c r="AW91" s="11">
        <f t="shared" si="1290"/>
        <v>0</v>
      </c>
      <c r="AX91" s="11">
        <f t="shared" si="1290"/>
        <v>0</v>
      </c>
      <c r="AY91" s="11">
        <f t="shared" si="1290"/>
        <v>0</v>
      </c>
      <c r="AZ91" s="11">
        <f t="shared" si="1290"/>
        <v>-9052</v>
      </c>
      <c r="BA91" s="11">
        <f t="shared" si="1290"/>
        <v>-196341</v>
      </c>
      <c r="BB91" s="10">
        <f t="shared" si="1290"/>
        <v>0</v>
      </c>
      <c r="BC91" s="11">
        <f t="shared" si="1290"/>
        <v>0</v>
      </c>
      <c r="BD91" s="11">
        <f t="shared" si="1290"/>
        <v>0</v>
      </c>
      <c r="BE91" s="11">
        <f t="shared" si="1290"/>
        <v>0</v>
      </c>
      <c r="BF91" s="11">
        <f t="shared" si="1290"/>
        <v>0</v>
      </c>
      <c r="BG91" s="11">
        <f t="shared" si="1290"/>
        <v>34228</v>
      </c>
      <c r="BH91" s="11">
        <f t="shared" si="1290"/>
        <v>-5185124</v>
      </c>
      <c r="BI91" s="11">
        <f t="shared" si="1290"/>
        <v>-5205840</v>
      </c>
      <c r="BJ91" s="11">
        <f t="shared" si="1290"/>
        <v>-469043</v>
      </c>
      <c r="BK91" s="11">
        <f t="shared" si="1290"/>
        <v>-4736797</v>
      </c>
      <c r="BL91" s="11">
        <f t="shared" si="1290"/>
        <v>3836814</v>
      </c>
      <c r="BM91" s="11">
        <f t="shared" si="1290"/>
        <v>3831853</v>
      </c>
    </row>
    <row r="92" spans="1:65" s="183" customFormat="1" ht="15.75" x14ac:dyDescent="0.2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6"/>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44"/>
      <c r="BJ92" s="5"/>
      <c r="BK92" s="50"/>
    </row>
    <row r="93" spans="1:65" ht="15.75" x14ac:dyDescent="0.25">
      <c r="A93" s="15" t="s">
        <v>142</v>
      </c>
      <c r="B93" s="229" t="s">
        <v>298</v>
      </c>
      <c r="C93" s="122">
        <v>874071</v>
      </c>
      <c r="D93" s="122">
        <v>148563</v>
      </c>
      <c r="E93" s="122">
        <v>36632</v>
      </c>
      <c r="F93" s="122">
        <v>76560</v>
      </c>
      <c r="G93" s="122">
        <v>67137</v>
      </c>
      <c r="H93" s="122">
        <v>0</v>
      </c>
      <c r="I93" s="122">
        <v>0</v>
      </c>
      <c r="J93" s="122">
        <v>0</v>
      </c>
      <c r="K93" s="122">
        <v>382</v>
      </c>
      <c r="L93" s="122">
        <v>2863</v>
      </c>
      <c r="M93" s="122">
        <v>83348</v>
      </c>
      <c r="N93" s="122">
        <v>10356</v>
      </c>
      <c r="O93" s="122">
        <v>3059</v>
      </c>
      <c r="P93" s="122">
        <v>13101</v>
      </c>
      <c r="Q93" s="122">
        <v>0</v>
      </c>
      <c r="R93" s="122">
        <v>2858</v>
      </c>
      <c r="S93" s="122">
        <v>890316</v>
      </c>
      <c r="T93" s="122">
        <v>831482</v>
      </c>
      <c r="U93" s="122"/>
      <c r="V93" s="195">
        <v>0</v>
      </c>
      <c r="W93" s="122">
        <v>0</v>
      </c>
      <c r="X93" s="122">
        <v>0</v>
      </c>
      <c r="Y93" s="122">
        <v>158</v>
      </c>
      <c r="Z93" s="122">
        <v>20</v>
      </c>
      <c r="AA93" s="122">
        <v>66</v>
      </c>
      <c r="AB93" s="122">
        <v>1591</v>
      </c>
      <c r="AC93" s="154">
        <v>0</v>
      </c>
      <c r="AD93" s="123">
        <f t="shared" ref="AD93:AD94" si="1292">SUM(C93:AC93)</f>
        <v>3042563</v>
      </c>
      <c r="AE93" s="122">
        <v>3834</v>
      </c>
      <c r="AF93" s="122">
        <v>79</v>
      </c>
      <c r="AG93" s="154">
        <v>879</v>
      </c>
      <c r="AH93" s="122">
        <v>0</v>
      </c>
      <c r="AI93" s="122">
        <v>0</v>
      </c>
      <c r="AJ93" s="122">
        <v>32</v>
      </c>
      <c r="AK93" s="122">
        <v>19957</v>
      </c>
      <c r="AL93" s="122">
        <v>208861</v>
      </c>
      <c r="AM93" s="122">
        <v>163146</v>
      </c>
      <c r="AN93" s="122">
        <v>0</v>
      </c>
      <c r="AO93" s="195">
        <v>362425</v>
      </c>
      <c r="AP93" s="122">
        <v>0</v>
      </c>
      <c r="AQ93" s="154">
        <v>0</v>
      </c>
      <c r="AR93" s="122">
        <v>0</v>
      </c>
      <c r="AS93" s="122"/>
      <c r="AT93" s="122"/>
      <c r="AU93" s="122">
        <v>0</v>
      </c>
      <c r="AV93" s="122"/>
      <c r="AW93" s="122">
        <v>917</v>
      </c>
      <c r="AX93" s="122">
        <v>291</v>
      </c>
      <c r="AY93" s="122">
        <v>1658</v>
      </c>
      <c r="AZ93" s="122">
        <v>0</v>
      </c>
      <c r="BA93" s="122">
        <v>0</v>
      </c>
      <c r="BB93" s="154">
        <v>0</v>
      </c>
      <c r="BC93" s="122">
        <v>29657</v>
      </c>
      <c r="BD93" s="122">
        <v>29659</v>
      </c>
      <c r="BE93" s="122">
        <v>180</v>
      </c>
      <c r="BF93" s="122">
        <v>3518</v>
      </c>
      <c r="BG93" s="122">
        <v>-51520</v>
      </c>
      <c r="BH93" s="9">
        <f>SUM(AE93:BG93)</f>
        <v>773573</v>
      </c>
      <c r="BI93" s="127">
        <f>AD93+BH93</f>
        <v>3816136</v>
      </c>
      <c r="BJ93" s="98">
        <v>85</v>
      </c>
      <c r="BK93" s="51">
        <f t="shared" ref="BK93:BK94" si="1293">BI93-BJ93</f>
        <v>3816051</v>
      </c>
      <c r="BL93">
        <v>9</v>
      </c>
      <c r="BM93" s="30"/>
    </row>
    <row r="94" spans="1:65" s="41" customFormat="1" ht="15.75" x14ac:dyDescent="0.25">
      <c r="A94" s="136" t="s">
        <v>142</v>
      </c>
      <c r="B94" s="225" t="s">
        <v>326</v>
      </c>
      <c r="C94" s="10">
        <v>227259</v>
      </c>
      <c r="D94" s="10">
        <v>38626</v>
      </c>
      <c r="E94" s="10">
        <v>0</v>
      </c>
      <c r="F94" s="10">
        <v>19909</v>
      </c>
      <c r="G94" s="10">
        <v>17454</v>
      </c>
      <c r="H94" s="10">
        <v>0</v>
      </c>
      <c r="I94" s="10">
        <v>0</v>
      </c>
      <c r="J94" s="10">
        <v>0</v>
      </c>
      <c r="K94" s="10">
        <v>100</v>
      </c>
      <c r="L94" s="10">
        <v>745</v>
      </c>
      <c r="M94" s="10">
        <v>21670</v>
      </c>
      <c r="N94" s="10">
        <v>2692</v>
      </c>
      <c r="O94" s="10">
        <v>796</v>
      </c>
      <c r="P94" s="10">
        <v>3405</v>
      </c>
      <c r="Q94" s="10">
        <v>0</v>
      </c>
      <c r="R94" s="10">
        <v>743</v>
      </c>
      <c r="S94" s="10">
        <v>534189</v>
      </c>
      <c r="T94" s="10">
        <v>216186</v>
      </c>
      <c r="U94" s="10"/>
      <c r="V94" s="10">
        <v>0</v>
      </c>
      <c r="W94" s="10">
        <v>0</v>
      </c>
      <c r="X94" s="10">
        <v>0</v>
      </c>
      <c r="Y94" s="10">
        <v>41</v>
      </c>
      <c r="Z94" s="10">
        <v>6</v>
      </c>
      <c r="AA94" s="10">
        <v>17</v>
      </c>
      <c r="AB94" s="10">
        <v>413</v>
      </c>
      <c r="AC94" s="9">
        <v>0</v>
      </c>
      <c r="AD94" s="123">
        <f t="shared" si="1292"/>
        <v>1084251</v>
      </c>
      <c r="AE94" s="10">
        <v>997</v>
      </c>
      <c r="AF94" s="10">
        <v>20</v>
      </c>
      <c r="AG94" s="10">
        <v>228</v>
      </c>
      <c r="AH94" s="10">
        <v>0</v>
      </c>
      <c r="AI94" s="10">
        <v>0</v>
      </c>
      <c r="AJ94" s="10">
        <v>3</v>
      </c>
      <c r="AK94" s="10">
        <v>5188</v>
      </c>
      <c r="AL94" s="10">
        <v>54304</v>
      </c>
      <c r="AM94" s="10">
        <v>42418</v>
      </c>
      <c r="AN94" s="10">
        <v>0</v>
      </c>
      <c r="AO94" s="10">
        <v>94231</v>
      </c>
      <c r="AP94" s="10">
        <v>0</v>
      </c>
      <c r="AQ94" s="9">
        <v>0</v>
      </c>
      <c r="AR94" s="10">
        <v>0</v>
      </c>
      <c r="AS94" s="10"/>
      <c r="AT94" s="10"/>
      <c r="AU94" s="10">
        <v>0</v>
      </c>
      <c r="AV94" s="10"/>
      <c r="AW94" s="10">
        <v>238</v>
      </c>
      <c r="AX94" s="10">
        <v>75</v>
      </c>
      <c r="AY94" s="10">
        <v>431</v>
      </c>
      <c r="AZ94" s="10">
        <v>0</v>
      </c>
      <c r="BA94" s="10">
        <v>0</v>
      </c>
      <c r="BB94" s="10">
        <v>0</v>
      </c>
      <c r="BC94" s="10">
        <v>7710</v>
      </c>
      <c r="BD94" s="10">
        <v>7711</v>
      </c>
      <c r="BE94" s="10">
        <v>45</v>
      </c>
      <c r="BF94" s="10">
        <v>923</v>
      </c>
      <c r="BG94" s="10">
        <v>-13395</v>
      </c>
      <c r="BH94" s="10">
        <f>SUM(AE94:BG94)</f>
        <v>201127</v>
      </c>
      <c r="BI94" s="227">
        <f>AD94+BH94</f>
        <v>1285378</v>
      </c>
      <c r="BJ94" s="10">
        <v>21</v>
      </c>
      <c r="BK94" s="10">
        <f t="shared" si="1293"/>
        <v>1285357</v>
      </c>
      <c r="BM94" s="226"/>
    </row>
    <row r="95" spans="1:65" ht="15.75" x14ac:dyDescent="0.25">
      <c r="A95" s="130"/>
      <c r="B95" s="12" t="s">
        <v>324</v>
      </c>
      <c r="C95" s="9">
        <f>IF('Upto Month COPPY'!$J$4="",0,'Upto Month COPPY'!$J$4)</f>
        <v>216844</v>
      </c>
      <c r="D95" s="9">
        <f>IF('Upto Month COPPY'!$J$5="",0,'Upto Month COPPY'!$J$5)</f>
        <v>37089</v>
      </c>
      <c r="E95" s="9">
        <f>IF('Upto Month COPPY'!$J$6="",0,'Upto Month COPPY'!$J$6)</f>
        <v>0</v>
      </c>
      <c r="F95" s="9">
        <f>IF('Upto Month COPPY'!$J$7="",0,'Upto Month COPPY'!$J$7)</f>
        <v>17279</v>
      </c>
      <c r="G95" s="9">
        <f>IF('Upto Month COPPY'!$J$8="",0,'Upto Month COPPY'!$J$8)</f>
        <v>15243</v>
      </c>
      <c r="H95" s="9">
        <f>IF('Upto Month COPPY'!$J$9="",0,'Upto Month COPPY'!$J$9)</f>
        <v>0</v>
      </c>
      <c r="I95" s="9">
        <f>IF('Upto Month COPPY'!$J$10="",0,'Upto Month COPPY'!$J$10)</f>
        <v>0</v>
      </c>
      <c r="J95" s="9">
        <f>IF('Upto Month COPPY'!$J$11="",0,'Upto Month COPPY'!$J$11)</f>
        <v>0</v>
      </c>
      <c r="K95" s="9">
        <f>IF('Upto Month COPPY'!$J$12="",0,'Upto Month COPPY'!$J$12)</f>
        <v>81</v>
      </c>
      <c r="L95" s="9">
        <f>IF('Upto Month COPPY'!$J$13="",0,'Upto Month COPPY'!$J$13)</f>
        <v>870</v>
      </c>
      <c r="M95" s="9">
        <f>IF('Upto Month COPPY'!$J$14="",0,'Upto Month COPPY'!$J$14)</f>
        <v>20265</v>
      </c>
      <c r="N95" s="9">
        <f>IF('Upto Month COPPY'!$J$15="",0,'Upto Month COPPY'!$J$15)</f>
        <v>3085</v>
      </c>
      <c r="O95" s="9">
        <f>IF('Upto Month COPPY'!$J$16="",0,'Upto Month COPPY'!$J$16)</f>
        <v>335</v>
      </c>
      <c r="P95" s="9">
        <f>IF('Upto Month COPPY'!$J$17="",0,'Upto Month COPPY'!$J$17)</f>
        <v>2724</v>
      </c>
      <c r="Q95" s="9">
        <f>IF('Upto Month COPPY'!$J$18="",0,'Upto Month COPPY'!$J$18)</f>
        <v>0</v>
      </c>
      <c r="R95" s="9">
        <f>IF('Upto Month COPPY'!$J$21="",0,'Upto Month COPPY'!$J$21)</f>
        <v>230</v>
      </c>
      <c r="S95" s="9">
        <f>IF('Upto Month COPPY'!$J$26="",0,'Upto Month COPPY'!$J$26)</f>
        <v>214447</v>
      </c>
      <c r="T95" s="9">
        <f>IF('Upto Month COPPY'!$J$27="",0,'Upto Month COPPY'!$J$27)</f>
        <v>217415</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73</v>
      </c>
      <c r="Z95" s="9">
        <f>IF('Upto Month COPPY'!$J$43="",0,'Upto Month COPPY'!$J$43)</f>
        <v>5</v>
      </c>
      <c r="AA95" s="9">
        <f>IF('Upto Month COPPY'!$J$44="",0,'Upto Month COPPY'!$J$44)</f>
        <v>2</v>
      </c>
      <c r="AB95" s="9">
        <f>IF('Upto Month COPPY'!$J$48="",0,'Upto Month COPPY'!$J$48)</f>
        <v>0</v>
      </c>
      <c r="AC95" s="10">
        <f>IF('Upto Month COPPY'!$J$51="",0,'Upto Month COPPY'!$J$51)</f>
        <v>0</v>
      </c>
      <c r="AD95" s="123">
        <f t="shared" ref="AD95:AD96" si="1294">SUM(C95:AC95)</f>
        <v>745987</v>
      </c>
      <c r="AE95" s="9">
        <f>IF('Upto Month COPPY'!$J$19="",0,'Upto Month COPPY'!$J$19)</f>
        <v>184</v>
      </c>
      <c r="AF95" s="9">
        <f>IF('Upto Month COPPY'!$J$20="",0,'Upto Month COPPY'!$J$20)</f>
        <v>84</v>
      </c>
      <c r="AG95" s="9">
        <f>IF('Upto Month COPPY'!$J$22="",0,'Upto Month COPPY'!$J$22)</f>
        <v>360</v>
      </c>
      <c r="AH95" s="9">
        <f>IF('Upto Month COPPY'!$J$23="",0,'Upto Month COPPY'!$J$23)</f>
        <v>0</v>
      </c>
      <c r="AI95" s="9">
        <f>IF('Upto Month COPPY'!$J$24="",0,'Upto Month COPPY'!$J$24)</f>
        <v>0</v>
      </c>
      <c r="AJ95" s="9">
        <f>IF('Upto Month COPPY'!$J$25="",0,'Upto Month COPPY'!$J$25)</f>
        <v>19</v>
      </c>
      <c r="AK95" s="9">
        <f>IF('Upto Month COPPY'!$J$28="",0,'Upto Month COPPY'!$J$28)</f>
        <v>5589</v>
      </c>
      <c r="AL95" s="9">
        <f>IF('Upto Month COPPY'!$J$29="",0,'Upto Month COPPY'!$J$29)</f>
        <v>75052</v>
      </c>
      <c r="AM95" s="9">
        <f>IF('Upto Month COPPY'!$J$31="",0,'Upto Month COPPY'!$J$31)</f>
        <v>43113</v>
      </c>
      <c r="AN95" s="9">
        <f>IF('Upto Month COPPY'!$J$32="",0,'Upto Month COPPY'!$J$32)</f>
        <v>0</v>
      </c>
      <c r="AO95" s="9">
        <f>IF('Upto Month COPPY'!$J$33="",0,'Upto Month COPPY'!$J$33)</f>
        <v>126197</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291</v>
      </c>
      <c r="AX95" s="9">
        <f>IF('Upto Month COPPY'!$J$46="",0,'Upto Month COPPY'!$J$46)</f>
        <v>26</v>
      </c>
      <c r="AY95" s="9">
        <f>IF('Upto Month COPPY'!$J$47="",0,'Upto Month COPPY'!$J$47)</f>
        <v>85</v>
      </c>
      <c r="AZ95" s="9">
        <f>IF('Upto Month COPPY'!$J$49="",0,'Upto Month COPPY'!$J$49)</f>
        <v>0</v>
      </c>
      <c r="BA95" s="9">
        <f>IF('Upto Month COPPY'!$J$50="",0,'Upto Month COPPY'!$J$50)</f>
        <v>0</v>
      </c>
      <c r="BB95" s="10">
        <f>IF('Upto Month COPPY'!$J$52="",0,'Upto Month COPPY'!$J$52)</f>
        <v>0</v>
      </c>
      <c r="BC95" s="9">
        <f>IF('Upto Month COPPY'!$J$53="",0,'Upto Month COPPY'!$J$53)</f>
        <v>9838</v>
      </c>
      <c r="BD95" s="9">
        <f>IF('Upto Month COPPY'!$J$54="",0,'Upto Month COPPY'!$J$54)</f>
        <v>9847</v>
      </c>
      <c r="BE95" s="9">
        <f>IF('Upto Month COPPY'!$J$55="",0,'Upto Month COPPY'!$J$55)</f>
        <v>0</v>
      </c>
      <c r="BF95" s="9">
        <f>IF('Upto Month COPPY'!$J$56="",0,'Upto Month COPPY'!$J$56)</f>
        <v>1652</v>
      </c>
      <c r="BG95" s="9">
        <f>IF('Upto Month COPPY'!$J$58="",0,'Upto Month COPPY'!$J$58)</f>
        <v>-58597</v>
      </c>
      <c r="BH95" s="9">
        <f>SUM(AE95:BG95)</f>
        <v>213740</v>
      </c>
      <c r="BI95" s="127">
        <f>AD95+BH95</f>
        <v>959727</v>
      </c>
      <c r="BJ95" s="9">
        <f>IF('Upto Month COPPY'!$J$60="",0,'Upto Month COPPY'!$J$60)</f>
        <v>0</v>
      </c>
      <c r="BK95" s="51">
        <f t="shared" ref="BK95:BK96" si="1295">BI95-BJ95</f>
        <v>959727</v>
      </c>
      <c r="BL95">
        <f>'Upto Month COPPY'!$J$61</f>
        <v>959725</v>
      </c>
      <c r="BM95" s="30">
        <f t="shared" ref="BM95:BM99" si="1296">BK95-AD95</f>
        <v>213740</v>
      </c>
    </row>
    <row r="96" spans="1:65" ht="15.75" x14ac:dyDescent="0.25">
      <c r="A96" s="130"/>
      <c r="B96" s="185" t="s">
        <v>325</v>
      </c>
      <c r="C96" s="9">
        <f>IF('Upto Month Current'!$J$4="",0,'Upto Month Current'!$J$4)</f>
        <v>209321</v>
      </c>
      <c r="D96" s="9">
        <f>IF('Upto Month Current'!$J$5="",0,'Upto Month Current'!$J$5)</f>
        <v>35427</v>
      </c>
      <c r="E96" s="9">
        <f>IF('Upto Month Current'!$J$6="",0,'Upto Month Current'!$J$6)</f>
        <v>11</v>
      </c>
      <c r="F96" s="9">
        <f>IF('Upto Month Current'!$J$7="",0,'Upto Month Current'!$J$7)</f>
        <v>17606</v>
      </c>
      <c r="G96" s="9">
        <f>IF('Upto Month Current'!$J$8="",0,'Upto Month Current'!$J$8)</f>
        <v>12269</v>
      </c>
      <c r="H96" s="9">
        <f>IF('Upto Month Current'!$J$9="",0,'Upto Month Current'!$J$9)</f>
        <v>0</v>
      </c>
      <c r="I96" s="9">
        <f>IF('Upto Month Current'!$J$10="",0,'Upto Month Current'!$J$10)</f>
        <v>0</v>
      </c>
      <c r="J96" s="9">
        <f>IF('Upto Month Current'!$J$11="",0,'Upto Month Current'!$J$11)</f>
        <v>0</v>
      </c>
      <c r="K96" s="9">
        <f>IF('Upto Month Current'!$J$12="",0,'Upto Month Current'!$J$12)</f>
        <v>952</v>
      </c>
      <c r="L96" s="9">
        <f>IF('Upto Month Current'!$J$13="",0,'Upto Month Current'!$J$13)</f>
        <v>491</v>
      </c>
      <c r="M96" s="9">
        <f>IF('Upto Month Current'!$J$14="",0,'Upto Month Current'!$J$14)</f>
        <v>16899</v>
      </c>
      <c r="N96" s="9">
        <f>IF('Upto Month Current'!$J$15="",0,'Upto Month Current'!$J$15)</f>
        <v>2386</v>
      </c>
      <c r="O96" s="9">
        <f>IF('Upto Month Current'!$J$16="",0,'Upto Month Current'!$J$16)</f>
        <v>142</v>
      </c>
      <c r="P96" s="9">
        <f>IF('Upto Month Current'!$J$17="",0,'Upto Month Current'!$J$17)</f>
        <v>3142</v>
      </c>
      <c r="Q96" s="9">
        <f>IF('Upto Month Current'!$J$18="",0,'Upto Month Current'!$J$18)</f>
        <v>0</v>
      </c>
      <c r="R96" s="9">
        <f>IF('Upto Month Current'!$J$21="",0,'Upto Month Current'!$J$21)</f>
        <v>428</v>
      </c>
      <c r="S96" s="9">
        <f>IF('Upto Month Current'!$J$26="",0,'Upto Month Current'!$J$26)</f>
        <v>387757</v>
      </c>
      <c r="T96" s="9">
        <f>IF('Upto Month Current'!$J$27="",0,'Upto Month Current'!$J$27)</f>
        <v>266402</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1352</v>
      </c>
      <c r="Z96" s="9">
        <f>IF('Upto Month Current'!$J$43="",0,'Upto Month Current'!$J$43)</f>
        <v>137</v>
      </c>
      <c r="AA96" s="9">
        <f>IF('Upto Month Current'!$J$44="",0,'Upto Month Current'!$J$44)</f>
        <v>135</v>
      </c>
      <c r="AB96" s="9">
        <f>IF('Upto Month Current'!$J$48="",0,'Upto Month Current'!$J$48)</f>
        <v>74</v>
      </c>
      <c r="AC96" s="10">
        <f>IF('Upto Month Current'!$J$51="",0,'Upto Month Current'!$J$51)</f>
        <v>0</v>
      </c>
      <c r="AD96" s="123">
        <f t="shared" si="1294"/>
        <v>954931</v>
      </c>
      <c r="AE96" s="9">
        <f>IF('Upto Month Current'!$J$19="",0,'Upto Month Current'!$J$19)</f>
        <v>438</v>
      </c>
      <c r="AF96" s="9">
        <f>IF('Upto Month Current'!$J$20="",0,'Upto Month Current'!$J$20)</f>
        <v>65</v>
      </c>
      <c r="AG96" s="9">
        <f>IF('Upto Month Current'!$J$22="",0,'Upto Month Current'!$J$22)</f>
        <v>1458</v>
      </c>
      <c r="AH96" s="9">
        <f>IF('Upto Month Current'!$J$23="",0,'Upto Month Current'!$J$23)</f>
        <v>0</v>
      </c>
      <c r="AI96" s="9">
        <f>IF('Upto Month Current'!$J$24="",0,'Upto Month Current'!$J$24)</f>
        <v>0</v>
      </c>
      <c r="AJ96" s="9">
        <f>IF('Upto Month Current'!$J$25="",0,'Upto Month Current'!$J$25)</f>
        <v>117</v>
      </c>
      <c r="AK96" s="9">
        <f>IF('Upto Month Current'!$J$28="",0,'Upto Month Current'!$J$28)</f>
        <v>654</v>
      </c>
      <c r="AL96" s="9">
        <f>IF('Upto Month Current'!$J$29="",0,'Upto Month Current'!$J$29)</f>
        <v>71546</v>
      </c>
      <c r="AM96" s="9">
        <f>IF('Upto Month Current'!$J$31="",0,'Upto Month Current'!$J$31)</f>
        <v>21663</v>
      </c>
      <c r="AN96" s="9">
        <f>IF('Upto Month Current'!$J$32="",0,'Upto Month Current'!$J$32)</f>
        <v>2</v>
      </c>
      <c r="AO96" s="9">
        <f>IF('Upto Month Current'!$J$33="",0,'Upto Month Current'!$J$33)</f>
        <v>88946</v>
      </c>
      <c r="AP96" s="9">
        <f>IF('Upto Month Current'!$J$34="",0,'Upto Month Current'!$J$34)</f>
        <v>0</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26</v>
      </c>
      <c r="AX96" s="9">
        <f>IF('Upto Month Current'!$J$46="",0,'Upto Month Current'!$J$46)</f>
        <v>88</v>
      </c>
      <c r="AY96" s="9">
        <f>IF('Upto Month Current'!$J$47="",0,'Upto Month Current'!$J$47)</f>
        <v>209</v>
      </c>
      <c r="AZ96" s="9">
        <f>IF('Upto Month Current'!$J$49="",0,'Upto Month Current'!$J$49)</f>
        <v>0</v>
      </c>
      <c r="BA96" s="9">
        <f>IF('Upto Month Current'!$J$50="",0,'Upto Month Current'!$J$50)</f>
        <v>0</v>
      </c>
      <c r="BB96" s="10">
        <f>IF('Upto Month Current'!$J$52="",0,'Upto Month Current'!$J$52)</f>
        <v>0</v>
      </c>
      <c r="BC96" s="9">
        <f>IF('Upto Month Current'!$J$53="",0,'Upto Month Current'!$J$53)</f>
        <v>8533</v>
      </c>
      <c r="BD96" s="9">
        <f>IF('Upto Month Current'!$J$54="",0,'Upto Month Current'!$J$54)</f>
        <v>8533</v>
      </c>
      <c r="BE96" s="9">
        <f>IF('Upto Month Current'!$J$55="",0,'Upto Month Current'!$J$55)</f>
        <v>0</v>
      </c>
      <c r="BF96" s="9">
        <f>IF('Upto Month Current'!$J$56="",0,'Upto Month Current'!$J$56)</f>
        <v>678</v>
      </c>
      <c r="BG96" s="9">
        <f>IF('Upto Month Current'!$J$58="",0,'Upto Month Current'!$J$58)</f>
        <v>-61591</v>
      </c>
      <c r="BH96" s="9">
        <f>SUM(AE96:BG96)</f>
        <v>141365</v>
      </c>
      <c r="BI96" s="127">
        <f>AD96+BH96</f>
        <v>1096296</v>
      </c>
      <c r="BJ96" s="9">
        <f>IF('Upto Month Current'!$J$60="",0,'Upto Month Current'!$J$60)</f>
        <v>0</v>
      </c>
      <c r="BK96" s="51">
        <f t="shared" si="1295"/>
        <v>1096296</v>
      </c>
      <c r="BL96">
        <f>'Upto Month Current'!$J$61</f>
        <v>1096298</v>
      </c>
      <c r="BM96" s="30">
        <f t="shared" si="1296"/>
        <v>141365</v>
      </c>
    </row>
    <row r="97" spans="1:65" ht="15.75" x14ac:dyDescent="0.25">
      <c r="A97" s="130"/>
      <c r="B97" s="5" t="s">
        <v>132</v>
      </c>
      <c r="C97" s="11">
        <f>C96-C94</f>
        <v>-17938</v>
      </c>
      <c r="D97" s="11">
        <f t="shared" ref="D97" si="1297">D96-D94</f>
        <v>-3199</v>
      </c>
      <c r="E97" s="11">
        <f t="shared" ref="E97" si="1298">E96-E94</f>
        <v>11</v>
      </c>
      <c r="F97" s="11">
        <f t="shared" ref="F97" si="1299">F96-F94</f>
        <v>-2303</v>
      </c>
      <c r="G97" s="11">
        <f t="shared" ref="G97" si="1300">G96-G94</f>
        <v>-5185</v>
      </c>
      <c r="H97" s="11">
        <f t="shared" ref="H97" si="1301">H96-H94</f>
        <v>0</v>
      </c>
      <c r="I97" s="11">
        <f t="shared" ref="I97" si="1302">I96-I94</f>
        <v>0</v>
      </c>
      <c r="J97" s="11">
        <f t="shared" ref="J97" si="1303">J96-J94</f>
        <v>0</v>
      </c>
      <c r="K97" s="11">
        <f t="shared" ref="K97" si="1304">K96-K94</f>
        <v>852</v>
      </c>
      <c r="L97" s="11">
        <f t="shared" ref="L97" si="1305">L96-L94</f>
        <v>-254</v>
      </c>
      <c r="M97" s="11">
        <f t="shared" ref="M97" si="1306">M96-M94</f>
        <v>-4771</v>
      </c>
      <c r="N97" s="11">
        <f t="shared" ref="N97" si="1307">N96-N94</f>
        <v>-306</v>
      </c>
      <c r="O97" s="11">
        <f t="shared" ref="O97" si="1308">O96-O94</f>
        <v>-654</v>
      </c>
      <c r="P97" s="11">
        <f t="shared" ref="P97" si="1309">P96-P94</f>
        <v>-263</v>
      </c>
      <c r="Q97" s="11">
        <f t="shared" ref="Q97" si="1310">Q96-Q94</f>
        <v>0</v>
      </c>
      <c r="R97" s="11">
        <f t="shared" ref="R97" si="1311">R96-R94</f>
        <v>-315</v>
      </c>
      <c r="S97" s="11">
        <f t="shared" ref="S97" si="1312">S96-S94</f>
        <v>-146432</v>
      </c>
      <c r="T97" s="11">
        <f t="shared" ref="T97:U97" si="1313">T96-T94</f>
        <v>50216</v>
      </c>
      <c r="U97" s="11">
        <f t="shared" si="1313"/>
        <v>0</v>
      </c>
      <c r="V97" s="9">
        <f t="shared" ref="V97" si="1314">V96-V94</f>
        <v>0</v>
      </c>
      <c r="W97" s="11">
        <f t="shared" ref="W97" si="1315">W96-W94</f>
        <v>0</v>
      </c>
      <c r="X97" s="11">
        <f t="shared" ref="X97" si="1316">X96-X94</f>
        <v>0</v>
      </c>
      <c r="Y97" s="11">
        <f t="shared" ref="Y97" si="1317">Y96-Y94</f>
        <v>1311</v>
      </c>
      <c r="Z97" s="11">
        <f t="shared" ref="Z97" si="1318">Z96-Z94</f>
        <v>131</v>
      </c>
      <c r="AA97" s="11">
        <f t="shared" ref="AA97:AD97" si="1319">AA96-AA94</f>
        <v>118</v>
      </c>
      <c r="AB97" s="11">
        <f t="shared" ref="AB97" si="1320">AB96-AB94</f>
        <v>-339</v>
      </c>
      <c r="AC97" s="10">
        <f t="shared" si="1319"/>
        <v>0</v>
      </c>
      <c r="AD97" s="11">
        <f t="shared" si="1319"/>
        <v>-129320</v>
      </c>
      <c r="AE97" s="11">
        <f t="shared" ref="AE97" si="1321">AE96-AE94</f>
        <v>-559</v>
      </c>
      <c r="AF97" s="11">
        <f t="shared" ref="AF97" si="1322">AF96-AF94</f>
        <v>45</v>
      </c>
      <c r="AG97" s="11">
        <f t="shared" ref="AG97" si="1323">AG96-AG94</f>
        <v>1230</v>
      </c>
      <c r="AH97" s="11">
        <f t="shared" ref="AH97" si="1324">AH96-AH94</f>
        <v>0</v>
      </c>
      <c r="AI97" s="11">
        <f t="shared" ref="AI97" si="1325">AI96-AI94</f>
        <v>0</v>
      </c>
      <c r="AJ97" s="11">
        <f t="shared" ref="AJ97" si="1326">AJ96-AJ94</f>
        <v>114</v>
      </c>
      <c r="AK97" s="11">
        <f t="shared" ref="AK97" si="1327">AK96-AK94</f>
        <v>-4534</v>
      </c>
      <c r="AL97" s="11">
        <f t="shared" ref="AL97" si="1328">AL96-AL94</f>
        <v>17242</v>
      </c>
      <c r="AM97" s="11">
        <f t="shared" ref="AM97" si="1329">AM96-AM94</f>
        <v>-20755</v>
      </c>
      <c r="AN97" s="11">
        <f t="shared" ref="AN97" si="1330">AN96-AN94</f>
        <v>2</v>
      </c>
      <c r="AO97" s="9">
        <f t="shared" ref="AO97" si="1331">AO96-AO94</f>
        <v>-5285</v>
      </c>
      <c r="AP97" s="11">
        <f t="shared" ref="AP97" si="1332">AP96-AP94</f>
        <v>0</v>
      </c>
      <c r="AQ97" s="10">
        <f t="shared" ref="AQ97" si="1333">AQ96-AQ94</f>
        <v>0</v>
      </c>
      <c r="AR97" s="11">
        <f t="shared" ref="AR97" si="1334">AR96-AR94</f>
        <v>0</v>
      </c>
      <c r="AS97" s="11">
        <f t="shared" ref="AS97" si="1335">AS96-AS94</f>
        <v>0</v>
      </c>
      <c r="AT97" s="11">
        <f t="shared" ref="AT97" si="1336">AT96-AT94</f>
        <v>0</v>
      </c>
      <c r="AU97" s="11">
        <f t="shared" ref="AU97" si="1337">AU96-AU94</f>
        <v>0</v>
      </c>
      <c r="AV97" s="11">
        <f t="shared" ref="AV97" si="1338">AV96-AV94</f>
        <v>0</v>
      </c>
      <c r="AW97" s="11">
        <f t="shared" ref="AW97" si="1339">AW96-AW94</f>
        <v>-212</v>
      </c>
      <c r="AX97" s="11">
        <f t="shared" ref="AX97" si="1340">AX96-AX94</f>
        <v>13</v>
      </c>
      <c r="AY97" s="11">
        <f t="shared" ref="AY97" si="1341">AY96-AY94</f>
        <v>-222</v>
      </c>
      <c r="AZ97" s="11">
        <f t="shared" ref="AZ97" si="1342">AZ96-AZ94</f>
        <v>0</v>
      </c>
      <c r="BA97" s="11">
        <f t="shared" ref="BA97" si="1343">BA96-BA94</f>
        <v>0</v>
      </c>
      <c r="BB97" s="10">
        <f t="shared" ref="BB97" si="1344">BB96-BB94</f>
        <v>0</v>
      </c>
      <c r="BC97" s="11">
        <f t="shared" ref="BC97" si="1345">BC96-BC94</f>
        <v>823</v>
      </c>
      <c r="BD97" s="11">
        <f t="shared" ref="BD97" si="1346">BD96-BD94</f>
        <v>822</v>
      </c>
      <c r="BE97" s="11">
        <f t="shared" ref="BE97" si="1347">BE96-BE94</f>
        <v>-45</v>
      </c>
      <c r="BF97" s="11">
        <f t="shared" ref="BF97" si="1348">BF96-BF94</f>
        <v>-245</v>
      </c>
      <c r="BG97" s="11">
        <f t="shared" ref="BG97:BH97" si="1349">BG96-BG94</f>
        <v>-48196</v>
      </c>
      <c r="BH97" s="9">
        <f t="shared" si="1349"/>
        <v>-59762</v>
      </c>
      <c r="BI97" s="45">
        <f t="shared" ref="BI97" si="1350">BI96-BI94</f>
        <v>-189082</v>
      </c>
      <c r="BJ97" s="11">
        <f t="shared" ref="BJ97:BK97" si="1351">BJ96-BJ94</f>
        <v>-21</v>
      </c>
      <c r="BK97" s="51">
        <f t="shared" si="1351"/>
        <v>-189061</v>
      </c>
      <c r="BM97" s="30">
        <f t="shared" si="1296"/>
        <v>-59741</v>
      </c>
    </row>
    <row r="98" spans="1:65" ht="15.75" x14ac:dyDescent="0.25">
      <c r="A98" s="130"/>
      <c r="B98" s="5" t="s">
        <v>133</v>
      </c>
      <c r="C98" s="13">
        <f>C97/C94</f>
        <v>-7.8931967490836447E-2</v>
      </c>
      <c r="D98" s="13">
        <f t="shared" ref="D98" si="1352">D97/D94</f>
        <v>-8.2819862268938019E-2</v>
      </c>
      <c r="E98" s="13" t="e">
        <f t="shared" ref="E98" si="1353">E97/E94</f>
        <v>#DIV/0!</v>
      </c>
      <c r="F98" s="13">
        <f t="shared" ref="F98" si="1354">F97/F94</f>
        <v>-0.1156763272891657</v>
      </c>
      <c r="G98" s="13">
        <f t="shared" ref="G98" si="1355">G97/G94</f>
        <v>-0.29706657499713535</v>
      </c>
      <c r="H98" s="13" t="e">
        <f t="shared" ref="H98" si="1356">H97/H94</f>
        <v>#DIV/0!</v>
      </c>
      <c r="I98" s="13" t="e">
        <f t="shared" ref="I98" si="1357">I97/I94</f>
        <v>#DIV/0!</v>
      </c>
      <c r="J98" s="13" t="e">
        <f t="shared" ref="J98" si="1358">J97/J94</f>
        <v>#DIV/0!</v>
      </c>
      <c r="K98" s="13">
        <f t="shared" ref="K98" si="1359">K97/K94</f>
        <v>8.52</v>
      </c>
      <c r="L98" s="13">
        <f t="shared" ref="L98" si="1360">L97/L94</f>
        <v>-0.34093959731543622</v>
      </c>
      <c r="M98" s="13">
        <f t="shared" ref="M98" si="1361">M97/M94</f>
        <v>-0.2201661282879557</v>
      </c>
      <c r="N98" s="13">
        <f t="shared" ref="N98" si="1362">N97/N94</f>
        <v>-0.11367013372956909</v>
      </c>
      <c r="O98" s="13">
        <f t="shared" ref="O98" si="1363">O97/O94</f>
        <v>-0.82160804020100497</v>
      </c>
      <c r="P98" s="13">
        <f t="shared" ref="P98" si="1364">P97/P94</f>
        <v>-7.7239353891336265E-2</v>
      </c>
      <c r="Q98" s="13" t="e">
        <f t="shared" ref="Q98" si="1365">Q97/Q94</f>
        <v>#DIV/0!</v>
      </c>
      <c r="R98" s="13">
        <f t="shared" ref="R98" si="1366">R97/R94</f>
        <v>-0.42395693135935397</v>
      </c>
      <c r="S98" s="13">
        <f t="shared" ref="S98" si="1367">S97/S94</f>
        <v>-0.27412020839066326</v>
      </c>
      <c r="T98" s="13">
        <f t="shared" ref="T98:U98" si="1368">T97/T94</f>
        <v>0.23228146133422145</v>
      </c>
      <c r="U98" s="13" t="e">
        <f t="shared" si="1368"/>
        <v>#DIV/0!</v>
      </c>
      <c r="V98" s="165" t="e">
        <f t="shared" ref="V98" si="1369">V97/V94</f>
        <v>#DIV/0!</v>
      </c>
      <c r="W98" s="13" t="e">
        <f t="shared" ref="W98" si="1370">W97/W94</f>
        <v>#DIV/0!</v>
      </c>
      <c r="X98" s="13" t="e">
        <f t="shared" ref="X98" si="1371">X97/X94</f>
        <v>#DIV/0!</v>
      </c>
      <c r="Y98" s="13">
        <f t="shared" ref="Y98" si="1372">Y97/Y94</f>
        <v>31.975609756097562</v>
      </c>
      <c r="Z98" s="13">
        <f t="shared" ref="Z98" si="1373">Z97/Z94</f>
        <v>21.833333333333332</v>
      </c>
      <c r="AA98" s="13">
        <f t="shared" ref="AA98:AD98" si="1374">AA97/AA94</f>
        <v>6.9411764705882355</v>
      </c>
      <c r="AB98" s="13">
        <f t="shared" ref="AB98" si="1375">AB97/AB94</f>
        <v>-0.82082324455205813</v>
      </c>
      <c r="AC98" s="14" t="e">
        <f t="shared" si="1374"/>
        <v>#DIV/0!</v>
      </c>
      <c r="AD98" s="13">
        <f t="shared" si="1374"/>
        <v>-0.11927127574703643</v>
      </c>
      <c r="AE98" s="13">
        <f t="shared" ref="AE98" si="1376">AE97/AE94</f>
        <v>-0.56068204613841521</v>
      </c>
      <c r="AF98" s="13">
        <f t="shared" ref="AF98" si="1377">AF97/AF94</f>
        <v>2.25</v>
      </c>
      <c r="AG98" s="13">
        <f t="shared" ref="AG98" si="1378">AG97/AG94</f>
        <v>5.3947368421052628</v>
      </c>
      <c r="AH98" s="13" t="e">
        <f t="shared" ref="AH98" si="1379">AH97/AH94</f>
        <v>#DIV/0!</v>
      </c>
      <c r="AI98" s="13" t="e">
        <f t="shared" ref="AI98" si="1380">AI97/AI94</f>
        <v>#DIV/0!</v>
      </c>
      <c r="AJ98" s="13">
        <f t="shared" ref="AJ98" si="1381">AJ97/AJ94</f>
        <v>38</v>
      </c>
      <c r="AK98" s="13">
        <f t="shared" ref="AK98" si="1382">AK97/AK94</f>
        <v>-0.87393986121819589</v>
      </c>
      <c r="AL98" s="13">
        <f t="shared" ref="AL98" si="1383">AL97/AL94</f>
        <v>0.3175088391278727</v>
      </c>
      <c r="AM98" s="13">
        <f t="shared" ref="AM98" si="1384">AM97/AM94</f>
        <v>-0.48929699655806497</v>
      </c>
      <c r="AN98" s="13" t="e">
        <f t="shared" ref="AN98" si="1385">AN97/AN94</f>
        <v>#DIV/0!</v>
      </c>
      <c r="AO98" s="165">
        <f t="shared" ref="AO98" si="1386">AO97/AO94</f>
        <v>-5.6085576933280978E-2</v>
      </c>
      <c r="AP98" s="13" t="e">
        <f t="shared" ref="AP98" si="1387">AP97/AP94</f>
        <v>#DIV/0!</v>
      </c>
      <c r="AQ98" s="14" t="e">
        <f t="shared" ref="AQ98" si="1388">AQ97/AQ94</f>
        <v>#DIV/0!</v>
      </c>
      <c r="AR98" s="13" t="e">
        <f t="shared" ref="AR98" si="1389">AR97/AR94</f>
        <v>#DIV/0!</v>
      </c>
      <c r="AS98" s="13" t="e">
        <f t="shared" ref="AS98" si="1390">AS97/AS94</f>
        <v>#DIV/0!</v>
      </c>
      <c r="AT98" s="13" t="e">
        <f t="shared" ref="AT98" si="1391">AT97/AT94</f>
        <v>#DIV/0!</v>
      </c>
      <c r="AU98" s="13" t="e">
        <f t="shared" ref="AU98" si="1392">AU97/AU94</f>
        <v>#DIV/0!</v>
      </c>
      <c r="AV98" s="13" t="e">
        <f t="shared" ref="AV98" si="1393">AV97/AV94</f>
        <v>#DIV/0!</v>
      </c>
      <c r="AW98" s="13">
        <f t="shared" ref="AW98" si="1394">AW97/AW94</f>
        <v>-0.89075630252100846</v>
      </c>
      <c r="AX98" s="13">
        <f t="shared" ref="AX98" si="1395">AX97/AX94</f>
        <v>0.17333333333333334</v>
      </c>
      <c r="AY98" s="13">
        <f t="shared" ref="AY98" si="1396">AY97/AY94</f>
        <v>-0.51508120649651967</v>
      </c>
      <c r="AZ98" s="13" t="e">
        <f t="shared" ref="AZ98" si="1397">AZ97/AZ94</f>
        <v>#DIV/0!</v>
      </c>
      <c r="BA98" s="13" t="e">
        <f t="shared" ref="BA98" si="1398">BA97/BA94</f>
        <v>#DIV/0!</v>
      </c>
      <c r="BB98" s="14" t="e">
        <f t="shared" ref="BB98" si="1399">BB97/BB94</f>
        <v>#DIV/0!</v>
      </c>
      <c r="BC98" s="13">
        <f t="shared" ref="BC98" si="1400">BC97/BC94</f>
        <v>0.10674448767833981</v>
      </c>
      <c r="BD98" s="13">
        <f t="shared" ref="BD98" si="1401">BD97/BD94</f>
        <v>0.10660095966800674</v>
      </c>
      <c r="BE98" s="13">
        <f t="shared" ref="BE98" si="1402">BE97/BE94</f>
        <v>-1</v>
      </c>
      <c r="BF98" s="13">
        <f t="shared" ref="BF98" si="1403">BF97/BF94</f>
        <v>-0.26543878656554715</v>
      </c>
      <c r="BG98" s="13">
        <f t="shared" ref="BG98:BH98" si="1404">BG97/BG94</f>
        <v>3.59805897723031</v>
      </c>
      <c r="BH98" s="165">
        <f t="shared" si="1404"/>
        <v>-0.29713564066485354</v>
      </c>
      <c r="BI98" s="46">
        <f t="shared" ref="BI98" si="1405">BI97/BI94</f>
        <v>-0.14710225318933418</v>
      </c>
      <c r="BJ98" s="13">
        <f t="shared" ref="BJ98:BK98" si="1406">BJ97/BJ94</f>
        <v>-1</v>
      </c>
      <c r="BK98" s="52">
        <f t="shared" si="1406"/>
        <v>-0.14708831865388372</v>
      </c>
      <c r="BM98" s="165" t="e">
        <f t="shared" ref="BM98" si="1407">BM97/BM94</f>
        <v>#DIV/0!</v>
      </c>
    </row>
    <row r="99" spans="1:65" ht="15.75" x14ac:dyDescent="0.25">
      <c r="A99" s="130"/>
      <c r="B99" s="5" t="s">
        <v>134</v>
      </c>
      <c r="C99" s="11">
        <f>C96-C95</f>
        <v>-7523</v>
      </c>
      <c r="D99" s="11">
        <f t="shared" ref="D99:BK99" si="1408">D96-D95</f>
        <v>-1662</v>
      </c>
      <c r="E99" s="11">
        <f t="shared" si="1408"/>
        <v>11</v>
      </c>
      <c r="F99" s="11">
        <f t="shared" si="1408"/>
        <v>327</v>
      </c>
      <c r="G99" s="11">
        <f t="shared" si="1408"/>
        <v>-2974</v>
      </c>
      <c r="H99" s="11">
        <f t="shared" si="1408"/>
        <v>0</v>
      </c>
      <c r="I99" s="11">
        <f t="shared" si="1408"/>
        <v>0</v>
      </c>
      <c r="J99" s="11">
        <f t="shared" si="1408"/>
        <v>0</v>
      </c>
      <c r="K99" s="11">
        <f t="shared" si="1408"/>
        <v>871</v>
      </c>
      <c r="L99" s="11">
        <f t="shared" si="1408"/>
        <v>-379</v>
      </c>
      <c r="M99" s="11">
        <f t="shared" si="1408"/>
        <v>-3366</v>
      </c>
      <c r="N99" s="11">
        <f t="shared" si="1408"/>
        <v>-699</v>
      </c>
      <c r="O99" s="11">
        <f t="shared" si="1408"/>
        <v>-193</v>
      </c>
      <c r="P99" s="11">
        <f t="shared" si="1408"/>
        <v>418</v>
      </c>
      <c r="Q99" s="11">
        <f t="shared" si="1408"/>
        <v>0</v>
      </c>
      <c r="R99" s="11">
        <f t="shared" si="1408"/>
        <v>198</v>
      </c>
      <c r="S99" s="11">
        <f t="shared" si="1408"/>
        <v>173310</v>
      </c>
      <c r="T99" s="11">
        <f t="shared" si="1408"/>
        <v>48987</v>
      </c>
      <c r="U99" s="11">
        <f t="shared" ref="U99" si="1409">U96-U95</f>
        <v>0</v>
      </c>
      <c r="V99" s="9">
        <f t="shared" si="1408"/>
        <v>0</v>
      </c>
      <c r="W99" s="11">
        <f t="shared" si="1408"/>
        <v>0</v>
      </c>
      <c r="X99" s="11">
        <f t="shared" si="1408"/>
        <v>0</v>
      </c>
      <c r="Y99" s="11">
        <f t="shared" si="1408"/>
        <v>1279</v>
      </c>
      <c r="Z99" s="11">
        <f t="shared" si="1408"/>
        <v>132</v>
      </c>
      <c r="AA99" s="11">
        <f t="shared" si="1408"/>
        <v>133</v>
      </c>
      <c r="AB99" s="11">
        <f t="shared" ref="AB99" si="1410">AB96-AB95</f>
        <v>74</v>
      </c>
      <c r="AC99" s="10">
        <f t="shared" ref="AC99:AD99" si="1411">AC96-AC95</f>
        <v>0</v>
      </c>
      <c r="AD99" s="11">
        <f t="shared" si="1411"/>
        <v>208944</v>
      </c>
      <c r="AE99" s="11">
        <f t="shared" si="1408"/>
        <v>254</v>
      </c>
      <c r="AF99" s="11">
        <f t="shared" si="1408"/>
        <v>-19</v>
      </c>
      <c r="AG99" s="11">
        <f t="shared" si="1408"/>
        <v>1098</v>
      </c>
      <c r="AH99" s="11">
        <f t="shared" si="1408"/>
        <v>0</v>
      </c>
      <c r="AI99" s="11">
        <f t="shared" si="1408"/>
        <v>0</v>
      </c>
      <c r="AJ99" s="11">
        <f t="shared" si="1408"/>
        <v>98</v>
      </c>
      <c r="AK99" s="11">
        <f t="shared" si="1408"/>
        <v>-4935</v>
      </c>
      <c r="AL99" s="11">
        <f t="shared" si="1408"/>
        <v>-3506</v>
      </c>
      <c r="AM99" s="11">
        <f t="shared" si="1408"/>
        <v>-21450</v>
      </c>
      <c r="AN99" s="11">
        <f t="shared" si="1408"/>
        <v>2</v>
      </c>
      <c r="AO99" s="9">
        <f t="shared" si="1408"/>
        <v>-37251</v>
      </c>
      <c r="AP99" s="11">
        <f t="shared" si="1408"/>
        <v>0</v>
      </c>
      <c r="AQ99" s="10">
        <f t="shared" si="1408"/>
        <v>0</v>
      </c>
      <c r="AR99" s="11">
        <f t="shared" si="1408"/>
        <v>0</v>
      </c>
      <c r="AS99" s="11">
        <f t="shared" si="1408"/>
        <v>0</v>
      </c>
      <c r="AT99" s="11">
        <f t="shared" si="1408"/>
        <v>0</v>
      </c>
      <c r="AU99" s="11">
        <f t="shared" si="1408"/>
        <v>0</v>
      </c>
      <c r="AV99" s="11">
        <f t="shared" si="1408"/>
        <v>0</v>
      </c>
      <c r="AW99" s="11">
        <f t="shared" si="1408"/>
        <v>-265</v>
      </c>
      <c r="AX99" s="11">
        <f t="shared" si="1408"/>
        <v>62</v>
      </c>
      <c r="AY99" s="11">
        <f t="shared" si="1408"/>
        <v>124</v>
      </c>
      <c r="AZ99" s="11">
        <f t="shared" si="1408"/>
        <v>0</v>
      </c>
      <c r="BA99" s="11">
        <f t="shared" si="1408"/>
        <v>0</v>
      </c>
      <c r="BB99" s="10">
        <f t="shared" si="1408"/>
        <v>0</v>
      </c>
      <c r="BC99" s="11">
        <f t="shared" si="1408"/>
        <v>-1305</v>
      </c>
      <c r="BD99" s="11">
        <f t="shared" si="1408"/>
        <v>-1314</v>
      </c>
      <c r="BE99" s="11">
        <f t="shared" si="1408"/>
        <v>0</v>
      </c>
      <c r="BF99" s="11">
        <f t="shared" si="1408"/>
        <v>-974</v>
      </c>
      <c r="BG99" s="11">
        <f t="shared" si="1408"/>
        <v>-2994</v>
      </c>
      <c r="BH99" s="9">
        <f t="shared" si="1408"/>
        <v>-72375</v>
      </c>
      <c r="BI99" s="45">
        <f t="shared" si="1408"/>
        <v>136569</v>
      </c>
      <c r="BJ99" s="11">
        <f t="shared" si="1408"/>
        <v>0</v>
      </c>
      <c r="BK99" s="51">
        <f t="shared" si="1408"/>
        <v>136569</v>
      </c>
      <c r="BM99" s="30">
        <f t="shared" si="1296"/>
        <v>-72375</v>
      </c>
    </row>
    <row r="100" spans="1:65" ht="15.75" x14ac:dyDescent="0.25">
      <c r="A100" s="130"/>
      <c r="B100" s="5" t="s">
        <v>135</v>
      </c>
      <c r="C100" s="13">
        <f>C99/C95</f>
        <v>-3.4693143457969783E-2</v>
      </c>
      <c r="D100" s="13">
        <f t="shared" ref="D100" si="1412">D99/D95</f>
        <v>-4.4811129984631562E-2</v>
      </c>
      <c r="E100" s="13" t="e">
        <f t="shared" ref="E100" si="1413">E99/E95</f>
        <v>#DIV/0!</v>
      </c>
      <c r="F100" s="13">
        <f t="shared" ref="F100" si="1414">F99/F95</f>
        <v>1.8924706290873314E-2</v>
      </c>
      <c r="G100" s="13">
        <f t="shared" ref="G100" si="1415">G99/G95</f>
        <v>-0.19510595027225611</v>
      </c>
      <c r="H100" s="13" t="e">
        <f t="shared" ref="H100" si="1416">H99/H95</f>
        <v>#DIV/0!</v>
      </c>
      <c r="I100" s="13" t="e">
        <f t="shared" ref="I100" si="1417">I99/I95</f>
        <v>#DIV/0!</v>
      </c>
      <c r="J100" s="13" t="e">
        <f t="shared" ref="J100" si="1418">J99/J95</f>
        <v>#DIV/0!</v>
      </c>
      <c r="K100" s="13">
        <f t="shared" ref="K100" si="1419">K99/K95</f>
        <v>10.753086419753087</v>
      </c>
      <c r="L100" s="13">
        <f t="shared" ref="L100" si="1420">L99/L95</f>
        <v>-0.43563218390804598</v>
      </c>
      <c r="M100" s="13">
        <f t="shared" ref="M100" si="1421">M99/M95</f>
        <v>-0.16609918578830496</v>
      </c>
      <c r="N100" s="13">
        <f t="shared" ref="N100" si="1422">N99/N95</f>
        <v>-0.22658022690437601</v>
      </c>
      <c r="O100" s="13">
        <f t="shared" ref="O100" si="1423">O99/O95</f>
        <v>-0.57611940298507458</v>
      </c>
      <c r="P100" s="13">
        <f t="shared" ref="P100" si="1424">P99/P95</f>
        <v>0.15345080763582966</v>
      </c>
      <c r="Q100" s="13" t="e">
        <f t="shared" ref="Q100" si="1425">Q99/Q95</f>
        <v>#DIV/0!</v>
      </c>
      <c r="R100" s="13">
        <f t="shared" ref="R100" si="1426">R99/R95</f>
        <v>0.86086956521739133</v>
      </c>
      <c r="S100" s="13">
        <f t="shared" ref="S100" si="1427">S99/S95</f>
        <v>0.80817171608835747</v>
      </c>
      <c r="T100" s="13">
        <f t="shared" ref="T100:U100" si="1428">T99/T95</f>
        <v>0.22531564059517512</v>
      </c>
      <c r="U100" s="13" t="e">
        <f t="shared" si="1428"/>
        <v>#DIV/0!</v>
      </c>
      <c r="V100" s="165" t="e">
        <f t="shared" ref="V100" si="1429">V99/V95</f>
        <v>#DIV/0!</v>
      </c>
      <c r="W100" s="13" t="e">
        <f t="shared" ref="W100" si="1430">W99/W95</f>
        <v>#DIV/0!</v>
      </c>
      <c r="X100" s="13" t="e">
        <f t="shared" ref="X100" si="1431">X99/X95</f>
        <v>#DIV/0!</v>
      </c>
      <c r="Y100" s="13">
        <f t="shared" ref="Y100" si="1432">Y99/Y95</f>
        <v>17.520547945205479</v>
      </c>
      <c r="Z100" s="13">
        <f t="shared" ref="Z100" si="1433">Z99/Z95</f>
        <v>26.4</v>
      </c>
      <c r="AA100" s="13">
        <f t="shared" ref="AA100:AD100" si="1434">AA99/AA95</f>
        <v>66.5</v>
      </c>
      <c r="AB100" s="13" t="e">
        <f t="shared" ref="AB100" si="1435">AB99/AB95</f>
        <v>#DIV/0!</v>
      </c>
      <c r="AC100" s="14" t="e">
        <f t="shared" si="1434"/>
        <v>#DIV/0!</v>
      </c>
      <c r="AD100" s="13">
        <f t="shared" si="1434"/>
        <v>0.28009067182135883</v>
      </c>
      <c r="AE100" s="13">
        <f t="shared" ref="AE100" si="1436">AE99/AE95</f>
        <v>1.3804347826086956</v>
      </c>
      <c r="AF100" s="13">
        <f t="shared" ref="AF100" si="1437">AF99/AF95</f>
        <v>-0.22619047619047619</v>
      </c>
      <c r="AG100" s="13">
        <f t="shared" ref="AG100" si="1438">AG99/AG95</f>
        <v>3.05</v>
      </c>
      <c r="AH100" s="13" t="e">
        <f t="shared" ref="AH100" si="1439">AH99/AH95</f>
        <v>#DIV/0!</v>
      </c>
      <c r="AI100" s="13" t="e">
        <f t="shared" ref="AI100" si="1440">AI99/AI95</f>
        <v>#DIV/0!</v>
      </c>
      <c r="AJ100" s="13">
        <f t="shared" ref="AJ100" si="1441">AJ99/AJ95</f>
        <v>5.1578947368421053</v>
      </c>
      <c r="AK100" s="13">
        <f t="shared" ref="AK100" si="1442">AK99/AK95</f>
        <v>-0.88298443370907143</v>
      </c>
      <c r="AL100" s="13">
        <f t="shared" ref="AL100" si="1443">AL99/AL95</f>
        <v>-4.6714278100516975E-2</v>
      </c>
      <c r="AM100" s="13">
        <f t="shared" ref="AM100" si="1444">AM99/AM95</f>
        <v>-0.4975297474079744</v>
      </c>
      <c r="AN100" s="13" t="e">
        <f t="shared" ref="AN100" si="1445">AN99/AN95</f>
        <v>#DIV/0!</v>
      </c>
      <c r="AO100" s="165">
        <f t="shared" ref="AO100" si="1446">AO99/AO95</f>
        <v>-0.29518134345507419</v>
      </c>
      <c r="AP100" s="13" t="e">
        <f t="shared" ref="AP100" si="1447">AP99/AP95</f>
        <v>#DIV/0!</v>
      </c>
      <c r="AQ100" s="14"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f t="shared" ref="AW100" si="1454">AW99/AW95</f>
        <v>-0.9106529209621993</v>
      </c>
      <c r="AX100" s="13">
        <f t="shared" ref="AX100" si="1455">AX99/AX95</f>
        <v>2.3846153846153846</v>
      </c>
      <c r="AY100" s="13">
        <f t="shared" ref="AY100" si="1456">AY99/AY95</f>
        <v>1.4588235294117646</v>
      </c>
      <c r="AZ100" s="13" t="e">
        <f t="shared" ref="AZ100" si="1457">AZ99/AZ95</f>
        <v>#DIV/0!</v>
      </c>
      <c r="BA100" s="13" t="e">
        <f t="shared" ref="BA100" si="1458">BA99/BA95</f>
        <v>#DIV/0!</v>
      </c>
      <c r="BB100" s="14" t="e">
        <f t="shared" ref="BB100" si="1459">BB99/BB95</f>
        <v>#DIV/0!</v>
      </c>
      <c r="BC100" s="13">
        <f t="shared" ref="BC100" si="1460">BC99/BC95</f>
        <v>-0.13264891238056514</v>
      </c>
      <c r="BD100" s="13">
        <f t="shared" ref="BD100" si="1461">BD99/BD95</f>
        <v>-0.13344165735757083</v>
      </c>
      <c r="BE100" s="13" t="e">
        <f t="shared" ref="BE100" si="1462">BE99/BE95</f>
        <v>#DIV/0!</v>
      </c>
      <c r="BF100" s="13">
        <f t="shared" ref="BF100" si="1463">BF99/BF95</f>
        <v>-0.58958837772397099</v>
      </c>
      <c r="BG100" s="13">
        <f t="shared" ref="BG100:BH100" si="1464">BG99/BG95</f>
        <v>5.1094765943648993E-2</v>
      </c>
      <c r="BH100" s="165">
        <f t="shared" si="1464"/>
        <v>-0.33861233274071301</v>
      </c>
      <c r="BI100" s="46">
        <f t="shared" ref="BI100" si="1465">BI99/BI95</f>
        <v>0.14229984151743152</v>
      </c>
      <c r="BJ100" s="13" t="e">
        <f t="shared" ref="BJ100:BK100" si="1466">BJ99/BJ95</f>
        <v>#DIV/0!</v>
      </c>
      <c r="BK100" s="52">
        <f t="shared" si="1466"/>
        <v>0.14229984151743152</v>
      </c>
      <c r="BM100" s="14">
        <f t="shared" ref="BM100" si="1467">BM99/BM95</f>
        <v>-0.33861233274071301</v>
      </c>
    </row>
    <row r="101" spans="1:65" ht="15.75" x14ac:dyDescent="0.25">
      <c r="A101" s="130"/>
      <c r="B101" s="5" t="s">
        <v>210</v>
      </c>
      <c r="C101" s="128">
        <f>C96/C93</f>
        <v>0.23947825748709201</v>
      </c>
      <c r="D101" s="128">
        <f t="shared" ref="D101:BK101" si="1468">D96/D93</f>
        <v>0.23846448981240281</v>
      </c>
      <c r="E101" s="128">
        <f t="shared" si="1468"/>
        <v>3.0028390478270366E-4</v>
      </c>
      <c r="F101" s="128">
        <f t="shared" si="1468"/>
        <v>0.22996342737722048</v>
      </c>
      <c r="G101" s="128">
        <f t="shared" si="1468"/>
        <v>0.18274572888273233</v>
      </c>
      <c r="H101" s="128" t="e">
        <f t="shared" si="1468"/>
        <v>#DIV/0!</v>
      </c>
      <c r="I101" s="128" t="e">
        <f t="shared" si="1468"/>
        <v>#DIV/0!</v>
      </c>
      <c r="J101" s="128" t="e">
        <f t="shared" si="1468"/>
        <v>#DIV/0!</v>
      </c>
      <c r="K101" s="128">
        <f t="shared" si="1468"/>
        <v>2.4921465968586389</v>
      </c>
      <c r="L101" s="128">
        <f t="shared" si="1468"/>
        <v>0.17149842822214462</v>
      </c>
      <c r="M101" s="128">
        <f t="shared" si="1468"/>
        <v>0.20275231559245574</v>
      </c>
      <c r="N101" s="128">
        <f t="shared" si="1468"/>
        <v>0.23039783700270375</v>
      </c>
      <c r="O101" s="128">
        <f t="shared" si="1468"/>
        <v>4.6420398823144818E-2</v>
      </c>
      <c r="P101" s="128">
        <f t="shared" si="1468"/>
        <v>0.23982902068544387</v>
      </c>
      <c r="Q101" s="128" t="e">
        <f t="shared" si="1468"/>
        <v>#DIV/0!</v>
      </c>
      <c r="R101" s="128">
        <f t="shared" si="1468"/>
        <v>0.14975507347795661</v>
      </c>
      <c r="S101" s="128">
        <f t="shared" si="1468"/>
        <v>0.4355273857821268</v>
      </c>
      <c r="T101" s="128">
        <f t="shared" si="1468"/>
        <v>0.32039418772745532</v>
      </c>
      <c r="U101" s="128" t="e">
        <f t="shared" si="1468"/>
        <v>#DIV/0!</v>
      </c>
      <c r="V101" s="180" t="e">
        <f t="shared" si="1468"/>
        <v>#DIV/0!</v>
      </c>
      <c r="W101" s="128" t="e">
        <f t="shared" si="1468"/>
        <v>#DIV/0!</v>
      </c>
      <c r="X101" s="128" t="e">
        <f t="shared" si="1468"/>
        <v>#DIV/0!</v>
      </c>
      <c r="Y101" s="128">
        <f t="shared" si="1468"/>
        <v>8.5569620253164551</v>
      </c>
      <c r="Z101" s="128">
        <f t="shared" si="1468"/>
        <v>6.85</v>
      </c>
      <c r="AA101" s="128">
        <f t="shared" si="1468"/>
        <v>2.0454545454545454</v>
      </c>
      <c r="AB101" s="128">
        <f t="shared" ref="AB101" si="1469">AB96/AB93</f>
        <v>4.6511627906976744E-2</v>
      </c>
      <c r="AC101" s="222" t="e">
        <f t="shared" si="1468"/>
        <v>#DIV/0!</v>
      </c>
      <c r="AD101" s="128">
        <f t="shared" si="1468"/>
        <v>0.31385742875332406</v>
      </c>
      <c r="AE101" s="128">
        <f t="shared" si="1468"/>
        <v>0.11424100156494522</v>
      </c>
      <c r="AF101" s="128">
        <f t="shared" si="1468"/>
        <v>0.82278481012658233</v>
      </c>
      <c r="AG101" s="128">
        <f t="shared" si="1468"/>
        <v>1.658703071672355</v>
      </c>
      <c r="AH101" s="128" t="e">
        <f t="shared" si="1468"/>
        <v>#DIV/0!</v>
      </c>
      <c r="AI101" s="128" t="e">
        <f t="shared" si="1468"/>
        <v>#DIV/0!</v>
      </c>
      <c r="AJ101" s="128">
        <f t="shared" si="1468"/>
        <v>3.65625</v>
      </c>
      <c r="AK101" s="128">
        <f t="shared" si="1468"/>
        <v>3.2770456481435083E-2</v>
      </c>
      <c r="AL101" s="128">
        <f t="shared" si="1468"/>
        <v>0.34255318130239731</v>
      </c>
      <c r="AM101" s="128">
        <f t="shared" si="1468"/>
        <v>0.13278290610863888</v>
      </c>
      <c r="AN101" s="128" t="e">
        <f t="shared" si="1468"/>
        <v>#DIV/0!</v>
      </c>
      <c r="AO101" s="180">
        <f t="shared" si="1468"/>
        <v>0.24541905221770022</v>
      </c>
      <c r="AP101" s="128" t="e">
        <f t="shared" si="1468"/>
        <v>#DIV/0!</v>
      </c>
      <c r="AQ101" s="222" t="e">
        <f t="shared" si="1468"/>
        <v>#DIV/0!</v>
      </c>
      <c r="AR101" s="128" t="e">
        <f t="shared" si="1468"/>
        <v>#DIV/0!</v>
      </c>
      <c r="AS101" s="128" t="e">
        <f t="shared" si="1468"/>
        <v>#DIV/0!</v>
      </c>
      <c r="AT101" s="128" t="e">
        <f t="shared" si="1468"/>
        <v>#DIV/0!</v>
      </c>
      <c r="AU101" s="128" t="e">
        <f t="shared" si="1468"/>
        <v>#DIV/0!</v>
      </c>
      <c r="AV101" s="128" t="e">
        <f t="shared" si="1468"/>
        <v>#DIV/0!</v>
      </c>
      <c r="AW101" s="128">
        <f t="shared" si="1468"/>
        <v>2.8353326063249727E-2</v>
      </c>
      <c r="AX101" s="128">
        <f t="shared" si="1468"/>
        <v>0.30240549828178692</v>
      </c>
      <c r="AY101" s="128">
        <f t="shared" si="1468"/>
        <v>0.12605548854041013</v>
      </c>
      <c r="AZ101" s="128" t="e">
        <f t="shared" si="1468"/>
        <v>#DIV/0!</v>
      </c>
      <c r="BA101" s="128" t="e">
        <f t="shared" si="1468"/>
        <v>#DIV/0!</v>
      </c>
      <c r="BB101" s="222" t="e">
        <f t="shared" si="1468"/>
        <v>#DIV/0!</v>
      </c>
      <c r="BC101" s="128">
        <f t="shared" si="1468"/>
        <v>0.28772296591024044</v>
      </c>
      <c r="BD101" s="128">
        <f t="shared" si="1468"/>
        <v>0.2877035638423413</v>
      </c>
      <c r="BE101" s="128">
        <f t="shared" si="1468"/>
        <v>0</v>
      </c>
      <c r="BF101" s="128">
        <f t="shared" si="1468"/>
        <v>0.19272313814667424</v>
      </c>
      <c r="BG101" s="128">
        <f t="shared" si="1468"/>
        <v>1.1954774844720497</v>
      </c>
      <c r="BH101" s="180">
        <f t="shared" si="1468"/>
        <v>0.18274293440955153</v>
      </c>
      <c r="BI101" s="128">
        <f t="shared" si="1468"/>
        <v>0.28727906971868927</v>
      </c>
      <c r="BJ101" s="128">
        <f t="shared" si="1468"/>
        <v>0</v>
      </c>
      <c r="BK101" s="128">
        <f t="shared" si="1468"/>
        <v>0.2872854686690508</v>
      </c>
      <c r="BM101" s="128" t="e">
        <f t="shared" ref="BM101" si="1470">BM96/BM93</f>
        <v>#DIV/0!</v>
      </c>
    </row>
    <row r="102" spans="1:65" s="183" customFormat="1" ht="15.75" x14ac:dyDescent="0.25">
      <c r="A102" s="130"/>
      <c r="B102" s="5" t="s">
        <v>329</v>
      </c>
      <c r="C102" s="11">
        <f>C96-C93</f>
        <v>-664750</v>
      </c>
      <c r="D102" s="11">
        <f t="shared" ref="D102:BM102" si="1471">D96-D93</f>
        <v>-113136</v>
      </c>
      <c r="E102" s="11">
        <f t="shared" si="1471"/>
        <v>-36621</v>
      </c>
      <c r="F102" s="11">
        <f t="shared" si="1471"/>
        <v>-58954</v>
      </c>
      <c r="G102" s="11">
        <f t="shared" si="1471"/>
        <v>-54868</v>
      </c>
      <c r="H102" s="11">
        <f t="shared" si="1471"/>
        <v>0</v>
      </c>
      <c r="I102" s="11">
        <f t="shared" si="1471"/>
        <v>0</v>
      </c>
      <c r="J102" s="11">
        <f t="shared" si="1471"/>
        <v>0</v>
      </c>
      <c r="K102" s="11">
        <f t="shared" si="1471"/>
        <v>570</v>
      </c>
      <c r="L102" s="11">
        <f t="shared" si="1471"/>
        <v>-2372</v>
      </c>
      <c r="M102" s="11">
        <f t="shared" si="1471"/>
        <v>-66449</v>
      </c>
      <c r="N102" s="11">
        <f t="shared" si="1471"/>
        <v>-7970</v>
      </c>
      <c r="O102" s="11">
        <f t="shared" si="1471"/>
        <v>-2917</v>
      </c>
      <c r="P102" s="11">
        <f t="shared" si="1471"/>
        <v>-9959</v>
      </c>
      <c r="Q102" s="11">
        <f t="shared" si="1471"/>
        <v>0</v>
      </c>
      <c r="R102" s="11">
        <f t="shared" si="1471"/>
        <v>-2430</v>
      </c>
      <c r="S102" s="11">
        <f t="shared" si="1471"/>
        <v>-502559</v>
      </c>
      <c r="T102" s="11">
        <f t="shared" si="1471"/>
        <v>-565080</v>
      </c>
      <c r="U102" s="11">
        <f t="shared" si="1471"/>
        <v>0</v>
      </c>
      <c r="V102" s="9">
        <f t="shared" si="1471"/>
        <v>0</v>
      </c>
      <c r="W102" s="11">
        <f t="shared" si="1471"/>
        <v>0</v>
      </c>
      <c r="X102" s="11">
        <f t="shared" si="1471"/>
        <v>0</v>
      </c>
      <c r="Y102" s="11">
        <f t="shared" si="1471"/>
        <v>1194</v>
      </c>
      <c r="Z102" s="11">
        <f t="shared" si="1471"/>
        <v>117</v>
      </c>
      <c r="AA102" s="11">
        <f t="shared" si="1471"/>
        <v>69</v>
      </c>
      <c r="AB102" s="11">
        <f t="shared" ref="AB102" si="1472">AB96-AB93</f>
        <v>-1517</v>
      </c>
      <c r="AC102" s="10">
        <f t="shared" si="1471"/>
        <v>0</v>
      </c>
      <c r="AD102" s="11">
        <f t="shared" si="1471"/>
        <v>-2087632</v>
      </c>
      <c r="AE102" s="11">
        <f t="shared" si="1471"/>
        <v>-3396</v>
      </c>
      <c r="AF102" s="11">
        <f t="shared" si="1471"/>
        <v>-14</v>
      </c>
      <c r="AG102" s="11">
        <f t="shared" si="1471"/>
        <v>579</v>
      </c>
      <c r="AH102" s="11">
        <f t="shared" si="1471"/>
        <v>0</v>
      </c>
      <c r="AI102" s="11">
        <f t="shared" si="1471"/>
        <v>0</v>
      </c>
      <c r="AJ102" s="11">
        <f t="shared" si="1471"/>
        <v>85</v>
      </c>
      <c r="AK102" s="11">
        <f t="shared" si="1471"/>
        <v>-19303</v>
      </c>
      <c r="AL102" s="11">
        <f t="shared" si="1471"/>
        <v>-137315</v>
      </c>
      <c r="AM102" s="11">
        <f t="shared" si="1471"/>
        <v>-141483</v>
      </c>
      <c r="AN102" s="11">
        <f t="shared" si="1471"/>
        <v>2</v>
      </c>
      <c r="AO102" s="9">
        <f t="shared" si="1471"/>
        <v>-273479</v>
      </c>
      <c r="AP102" s="11">
        <f t="shared" si="1471"/>
        <v>0</v>
      </c>
      <c r="AQ102" s="10">
        <f t="shared" si="1471"/>
        <v>0</v>
      </c>
      <c r="AR102" s="11">
        <f t="shared" si="1471"/>
        <v>0</v>
      </c>
      <c r="AS102" s="11">
        <f t="shared" si="1471"/>
        <v>0</v>
      </c>
      <c r="AT102" s="11">
        <f t="shared" si="1471"/>
        <v>0</v>
      </c>
      <c r="AU102" s="11">
        <f t="shared" si="1471"/>
        <v>0</v>
      </c>
      <c r="AV102" s="11">
        <f t="shared" si="1471"/>
        <v>0</v>
      </c>
      <c r="AW102" s="11">
        <f t="shared" si="1471"/>
        <v>-891</v>
      </c>
      <c r="AX102" s="11">
        <f t="shared" si="1471"/>
        <v>-203</v>
      </c>
      <c r="AY102" s="11">
        <f t="shared" si="1471"/>
        <v>-1449</v>
      </c>
      <c r="AZ102" s="11">
        <f t="shared" si="1471"/>
        <v>0</v>
      </c>
      <c r="BA102" s="11">
        <f t="shared" si="1471"/>
        <v>0</v>
      </c>
      <c r="BB102" s="10">
        <f t="shared" si="1471"/>
        <v>0</v>
      </c>
      <c r="BC102" s="11">
        <f t="shared" si="1471"/>
        <v>-21124</v>
      </c>
      <c r="BD102" s="11">
        <f t="shared" si="1471"/>
        <v>-21126</v>
      </c>
      <c r="BE102" s="11">
        <f t="shared" si="1471"/>
        <v>-180</v>
      </c>
      <c r="BF102" s="11">
        <f t="shared" si="1471"/>
        <v>-2840</v>
      </c>
      <c r="BG102" s="11">
        <f t="shared" si="1471"/>
        <v>-10071</v>
      </c>
      <c r="BH102" s="11">
        <f t="shared" si="1471"/>
        <v>-632208</v>
      </c>
      <c r="BI102" s="11">
        <f t="shared" si="1471"/>
        <v>-2719840</v>
      </c>
      <c r="BJ102" s="11">
        <f t="shared" si="1471"/>
        <v>-85</v>
      </c>
      <c r="BK102" s="11">
        <f t="shared" si="1471"/>
        <v>-2719755</v>
      </c>
      <c r="BL102" s="11">
        <f t="shared" si="1471"/>
        <v>1096289</v>
      </c>
      <c r="BM102" s="11">
        <f t="shared" si="1471"/>
        <v>141365</v>
      </c>
    </row>
    <row r="103" spans="1:65" s="183" customFormat="1" ht="15.75" x14ac:dyDescent="0.2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6"/>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44"/>
      <c r="BJ103" s="5"/>
      <c r="BK103" s="50"/>
    </row>
    <row r="104" spans="1:65" ht="15.75" x14ac:dyDescent="0.25">
      <c r="A104" s="15" t="s">
        <v>42</v>
      </c>
      <c r="B104" s="229" t="s">
        <v>298</v>
      </c>
      <c r="C104" s="122">
        <v>1439983</v>
      </c>
      <c r="D104" s="122">
        <v>244893</v>
      </c>
      <c r="E104" s="122">
        <v>23170</v>
      </c>
      <c r="F104" s="122">
        <v>159053</v>
      </c>
      <c r="G104" s="122">
        <v>99520</v>
      </c>
      <c r="H104" s="122">
        <v>0</v>
      </c>
      <c r="I104" s="122">
        <v>0</v>
      </c>
      <c r="J104" s="122">
        <v>0</v>
      </c>
      <c r="K104" s="122">
        <v>120</v>
      </c>
      <c r="L104" s="122">
        <v>2477</v>
      </c>
      <c r="M104" s="122">
        <v>187773</v>
      </c>
      <c r="N104" s="122">
        <v>1058</v>
      </c>
      <c r="O104" s="122">
        <v>24597</v>
      </c>
      <c r="P104" s="122">
        <v>157750</v>
      </c>
      <c r="Q104" s="122">
        <v>0</v>
      </c>
      <c r="R104" s="122">
        <v>10398</v>
      </c>
      <c r="S104" s="122">
        <v>0</v>
      </c>
      <c r="T104" s="122">
        <v>0</v>
      </c>
      <c r="U104" s="122"/>
      <c r="V104" s="195">
        <v>0</v>
      </c>
      <c r="W104" s="122">
        <v>0</v>
      </c>
      <c r="X104" s="122">
        <v>0</v>
      </c>
      <c r="Y104" s="122">
        <v>2088</v>
      </c>
      <c r="Z104" s="122">
        <v>774</v>
      </c>
      <c r="AA104" s="122">
        <v>420</v>
      </c>
      <c r="AB104" s="122">
        <v>2622</v>
      </c>
      <c r="AC104" s="154">
        <v>0</v>
      </c>
      <c r="AD104" s="123">
        <f t="shared" ref="AD104:AD105" si="1473">SUM(C104:AC104)</f>
        <v>2356696</v>
      </c>
      <c r="AE104" s="122">
        <v>6495</v>
      </c>
      <c r="AF104" s="122">
        <v>208</v>
      </c>
      <c r="AG104" s="122">
        <v>96</v>
      </c>
      <c r="AH104" s="122">
        <v>0</v>
      </c>
      <c r="AI104" s="122">
        <v>0</v>
      </c>
      <c r="AJ104" s="122">
        <v>0</v>
      </c>
      <c r="AK104" s="122">
        <v>5033</v>
      </c>
      <c r="AL104" s="122">
        <v>11085</v>
      </c>
      <c r="AM104" s="122">
        <v>394</v>
      </c>
      <c r="AN104" s="122">
        <v>289</v>
      </c>
      <c r="AO104" s="195">
        <v>78894</v>
      </c>
      <c r="AP104" s="122">
        <v>177168</v>
      </c>
      <c r="AQ104" s="154">
        <v>0</v>
      </c>
      <c r="AR104" s="122">
        <v>0</v>
      </c>
      <c r="AS104" s="122"/>
      <c r="AT104" s="122"/>
      <c r="AU104" s="122">
        <v>0</v>
      </c>
      <c r="AV104" s="122"/>
      <c r="AW104" s="122">
        <v>4939</v>
      </c>
      <c r="AX104" s="122">
        <v>1512</v>
      </c>
      <c r="AY104" s="122">
        <v>388</v>
      </c>
      <c r="AZ104" s="122"/>
      <c r="BA104" s="122"/>
      <c r="BB104" s="154">
        <v>0</v>
      </c>
      <c r="BC104" s="122">
        <v>6341</v>
      </c>
      <c r="BD104" s="122">
        <v>6341</v>
      </c>
      <c r="BE104" s="122">
        <v>65</v>
      </c>
      <c r="BF104" s="122">
        <v>900</v>
      </c>
      <c r="BG104" s="139">
        <f>934138</f>
        <v>934138</v>
      </c>
      <c r="BH104" s="9">
        <f>SUM(AE104:BG104)</f>
        <v>1234286</v>
      </c>
      <c r="BI104" s="127">
        <f>AD104+BH104</f>
        <v>3590982</v>
      </c>
      <c r="BJ104" s="98">
        <v>148013</v>
      </c>
      <c r="BK104" s="51">
        <f t="shared" ref="BK104:BK105" si="1474">BI104-BJ104</f>
        <v>3442969</v>
      </c>
      <c r="BL104">
        <v>10</v>
      </c>
      <c r="BM104" s="30"/>
    </row>
    <row r="105" spans="1:65" s="41" customFormat="1" ht="15.75" x14ac:dyDescent="0.25">
      <c r="A105" s="136" t="s">
        <v>42</v>
      </c>
      <c r="B105" s="225" t="s">
        <v>326</v>
      </c>
      <c r="C105" s="10">
        <v>374396</v>
      </c>
      <c r="D105" s="10">
        <v>63672</v>
      </c>
      <c r="E105" s="10">
        <v>0</v>
      </c>
      <c r="F105" s="10">
        <v>41353</v>
      </c>
      <c r="G105" s="10">
        <v>25878</v>
      </c>
      <c r="H105" s="10">
        <v>0</v>
      </c>
      <c r="I105" s="10">
        <v>0</v>
      </c>
      <c r="J105" s="10">
        <v>0</v>
      </c>
      <c r="K105" s="10">
        <v>32</v>
      </c>
      <c r="L105" s="10">
        <v>644</v>
      </c>
      <c r="M105" s="10">
        <v>48820</v>
      </c>
      <c r="N105" s="10">
        <v>275</v>
      </c>
      <c r="O105" s="10">
        <v>6395</v>
      </c>
      <c r="P105" s="10">
        <v>41015</v>
      </c>
      <c r="Q105" s="10">
        <v>0</v>
      </c>
      <c r="R105" s="10">
        <v>2704</v>
      </c>
      <c r="S105" s="10">
        <v>0</v>
      </c>
      <c r="T105" s="10">
        <v>0</v>
      </c>
      <c r="U105" s="10"/>
      <c r="V105" s="10">
        <v>0</v>
      </c>
      <c r="W105" s="10">
        <v>0</v>
      </c>
      <c r="X105" s="10">
        <v>0</v>
      </c>
      <c r="Y105" s="10">
        <v>545</v>
      </c>
      <c r="Z105" s="10">
        <v>199</v>
      </c>
      <c r="AA105" s="10">
        <v>110</v>
      </c>
      <c r="AB105" s="10">
        <v>682</v>
      </c>
      <c r="AC105" s="9">
        <v>0</v>
      </c>
      <c r="AD105" s="123">
        <f t="shared" si="1473"/>
        <v>606720</v>
      </c>
      <c r="AE105" s="10">
        <v>1689</v>
      </c>
      <c r="AF105" s="10">
        <v>53</v>
      </c>
      <c r="AG105" s="10">
        <v>25</v>
      </c>
      <c r="AH105" s="10">
        <v>0</v>
      </c>
      <c r="AI105" s="10">
        <v>0</v>
      </c>
      <c r="AJ105" s="10">
        <v>0</v>
      </c>
      <c r="AK105" s="10">
        <v>1309</v>
      </c>
      <c r="AL105" s="10">
        <v>2882</v>
      </c>
      <c r="AM105" s="10">
        <v>103</v>
      </c>
      <c r="AN105" s="10">
        <v>75</v>
      </c>
      <c r="AO105" s="10">
        <v>20514</v>
      </c>
      <c r="AP105" s="10">
        <v>46063</v>
      </c>
      <c r="AQ105" s="9">
        <v>0</v>
      </c>
      <c r="AR105" s="10">
        <v>0</v>
      </c>
      <c r="AS105" s="10"/>
      <c r="AT105" s="10"/>
      <c r="AU105" s="10">
        <v>0</v>
      </c>
      <c r="AV105" s="10"/>
      <c r="AW105" s="10">
        <v>1284</v>
      </c>
      <c r="AX105" s="10">
        <v>393</v>
      </c>
      <c r="AY105" s="10">
        <v>101</v>
      </c>
      <c r="AZ105" s="10">
        <v>0</v>
      </c>
      <c r="BA105" s="10">
        <v>0</v>
      </c>
      <c r="BB105" s="10">
        <v>0</v>
      </c>
      <c r="BC105" s="10">
        <v>1648</v>
      </c>
      <c r="BD105" s="10">
        <v>1648</v>
      </c>
      <c r="BE105" s="10">
        <v>17</v>
      </c>
      <c r="BF105" s="10">
        <v>234</v>
      </c>
      <c r="BG105" s="10">
        <v>251297</v>
      </c>
      <c r="BH105" s="10">
        <f>SUM(AE105:BG105)</f>
        <v>329335</v>
      </c>
      <c r="BI105" s="227">
        <f>AD105+BH105</f>
        <v>936055</v>
      </c>
      <c r="BJ105" s="10">
        <f>31739</f>
        <v>31739</v>
      </c>
      <c r="BK105" s="10">
        <f t="shared" si="1474"/>
        <v>904316</v>
      </c>
      <c r="BM105" s="226"/>
    </row>
    <row r="106" spans="1:65" ht="15.75" x14ac:dyDescent="0.25">
      <c r="A106" s="130"/>
      <c r="B106" s="12" t="s">
        <v>324</v>
      </c>
      <c r="C106" s="9">
        <f>IF('Upto Month COPPY'!$K$4="",0,'Upto Month COPPY'!$K$4)</f>
        <v>386696</v>
      </c>
      <c r="D106" s="9">
        <f>IF('Upto Month COPPY'!$K$5="",0,'Upto Month COPPY'!$K$5)</f>
        <v>64991</v>
      </c>
      <c r="E106" s="9">
        <f>IF('Upto Month COPPY'!$K$6="",0,'Upto Month COPPY'!$K$6)</f>
        <v>27</v>
      </c>
      <c r="F106" s="9">
        <f>IF('Upto Month COPPY'!$K$7="",0,'Upto Month COPPY'!$K$7)</f>
        <v>30039</v>
      </c>
      <c r="G106" s="9">
        <f>IF('Upto Month COPPY'!$K$8="",0,'Upto Month COPPY'!$K$8)</f>
        <v>19449</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413</v>
      </c>
      <c r="M106" s="9">
        <f>IF('Upto Month COPPY'!$K$14="",0,'Upto Month COPPY'!$K$14)</f>
        <v>31179</v>
      </c>
      <c r="N106" s="9">
        <f>IF('Upto Month COPPY'!$K$15="",0,'Upto Month COPPY'!$K$15)</f>
        <v>60</v>
      </c>
      <c r="O106" s="9">
        <f>IF('Upto Month COPPY'!$K$16="",0,'Upto Month COPPY'!$K$16)</f>
        <v>716</v>
      </c>
      <c r="P106" s="9">
        <f>IF('Upto Month COPPY'!$K$17="",0,'Upto Month COPPY'!$K$17)</f>
        <v>53837</v>
      </c>
      <c r="Q106" s="9">
        <f>IF('Upto Month COPPY'!$K$18="",0,'Upto Month COPPY'!$K$18)</f>
        <v>0</v>
      </c>
      <c r="R106" s="9">
        <f>IF('Upto Month COPPY'!$K$21="",0,'Upto Month COPPY'!$K$21)</f>
        <v>395</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1250</v>
      </c>
      <c r="Z106" s="9">
        <f>IF('Upto Month COPPY'!$K$43="",0,'Upto Month COPPY'!$K$43)</f>
        <v>310</v>
      </c>
      <c r="AA106" s="9">
        <f>IF('Upto Month COPPY'!$K$44="",0,'Upto Month COPPY'!$K$44)</f>
        <v>173</v>
      </c>
      <c r="AB106" s="9">
        <f>IF('Upto Month COPPY'!$K$48="",0,'Upto Month COPPY'!$K$48)</f>
        <v>0</v>
      </c>
      <c r="AC106" s="10">
        <f>IF('Upto Month COPPY'!$K$51="",0,'Upto Month COPPY'!$K$51)</f>
        <v>0</v>
      </c>
      <c r="AD106" s="123">
        <f t="shared" ref="AD106:AD107" si="1475">SUM(C106:AC106)</f>
        <v>589535</v>
      </c>
      <c r="AE106" s="9">
        <f>IF('Upto Month COPPY'!$K$19="",0,'Upto Month COPPY'!$K$19)</f>
        <v>1581</v>
      </c>
      <c r="AF106" s="9">
        <f>IF('Upto Month COPPY'!$K$20="",0,'Upto Month COPPY'!$K$20)</f>
        <v>164</v>
      </c>
      <c r="AG106" s="9">
        <f>IF('Upto Month COPPY'!$K$22="",0,'Upto Month COPPY'!$K$22)</f>
        <v>3229</v>
      </c>
      <c r="AH106" s="9">
        <f>IF('Upto Month COPPY'!$K$23="",0,'Upto Month COPPY'!$K$23)</f>
        <v>0</v>
      </c>
      <c r="AI106" s="9">
        <f>IF('Upto Month COPPY'!$K$24="",0,'Upto Month COPPY'!$K$24)</f>
        <v>0</v>
      </c>
      <c r="AJ106" s="9">
        <f>IF('Upto Month COPPY'!$K$25="",0,'Upto Month COPPY'!$K$25)</f>
        <v>0</v>
      </c>
      <c r="AK106" s="9">
        <f>IF('Upto Month COPPY'!$K$28="",0,'Upto Month COPPY'!$K$28)</f>
        <v>7754</v>
      </c>
      <c r="AL106" s="9">
        <f>IF('Upto Month COPPY'!$K$29="",0,'Upto Month COPPY'!$K$29)</f>
        <v>19793</v>
      </c>
      <c r="AM106" s="9">
        <f>IF('Upto Month COPPY'!$K$31="",0,'Upto Month COPPY'!$K$31)</f>
        <v>30</v>
      </c>
      <c r="AN106" s="9">
        <f>IF('Upto Month COPPY'!$K$32="",0,'Upto Month COPPY'!$K$32)</f>
        <v>0</v>
      </c>
      <c r="AO106" s="9">
        <f>IF('Upto Month COPPY'!$K$33="",0,'Upto Month COPPY'!$K$33)</f>
        <v>22619</v>
      </c>
      <c r="AP106" s="9">
        <f>IF('Upto Month COPPY'!$K$34="",0,'Upto Month COPPY'!$K$34)</f>
        <v>19551</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6</v>
      </c>
      <c r="AX106" s="9">
        <f>IF('Upto Month COPPY'!$K$46="",0,'Upto Month COPPY'!$K$46)</f>
        <v>434</v>
      </c>
      <c r="AY106" s="9">
        <f>IF('Upto Month COPPY'!$K$47="",0,'Upto Month COPPY'!$K$47)</f>
        <v>20</v>
      </c>
      <c r="AZ106" s="9">
        <f>IF('Upto Month COPPY'!$K$49="",0,'Upto Month COPPY'!$K$49)</f>
        <v>0</v>
      </c>
      <c r="BA106" s="9">
        <f>IF('Upto Month COPPY'!$K$50="",0,'Upto Month COPPY'!$K$50)</f>
        <v>0</v>
      </c>
      <c r="BB106" s="10">
        <f>IF('Upto Month COPPY'!$K$52="",0,'Upto Month COPPY'!$K$52)</f>
        <v>0</v>
      </c>
      <c r="BC106" s="9">
        <f>IF('Upto Month COPPY'!$K$53="",0,'Upto Month COPPY'!$K$53)</f>
        <v>2456</v>
      </c>
      <c r="BD106" s="9">
        <f>IF('Upto Month COPPY'!$K$54="",0,'Upto Month COPPY'!$K$54)</f>
        <v>2456</v>
      </c>
      <c r="BE106" s="9">
        <f>IF('Upto Month COPPY'!$K$55="",0,'Upto Month COPPY'!$K$55)</f>
        <v>0</v>
      </c>
      <c r="BF106" s="9">
        <f>IF('Upto Month COPPY'!$K$56="",0,'Upto Month COPPY'!$K$56)</f>
        <v>533</v>
      </c>
      <c r="BG106" s="9">
        <f>IF('Upto Month COPPY'!$K$58="",0,'Upto Month COPPY'!$K$58)</f>
        <v>87360</v>
      </c>
      <c r="BH106" s="9">
        <f>SUM(AE106:BG106)</f>
        <v>167986</v>
      </c>
      <c r="BI106" s="127">
        <f>AD106+BH106</f>
        <v>757521</v>
      </c>
      <c r="BJ106" s="9">
        <f>IF('Upto Month COPPY'!$K$60="",0,'Upto Month COPPY'!$K$60)</f>
        <v>0</v>
      </c>
      <c r="BK106" s="51">
        <f t="shared" ref="BK106:BK107" si="1476">BI106-BJ106</f>
        <v>757521</v>
      </c>
      <c r="BL106">
        <f>'Upto Month COPPY'!$K$61</f>
        <v>757520</v>
      </c>
      <c r="BM106" s="30">
        <f t="shared" ref="BM106:BM110" si="1477">BK106-AD106</f>
        <v>167986</v>
      </c>
    </row>
    <row r="107" spans="1:65" ht="15.75" x14ac:dyDescent="0.25">
      <c r="A107" s="130"/>
      <c r="B107" s="185" t="s">
        <v>325</v>
      </c>
      <c r="C107" s="9">
        <f>IF('Upto Month Current'!$K$4="",0,'Upto Month Current'!$K$4)</f>
        <v>425368</v>
      </c>
      <c r="D107" s="9">
        <f>IF('Upto Month Current'!$K$5="",0,'Upto Month Current'!$K$5)</f>
        <v>71533</v>
      </c>
      <c r="E107" s="9">
        <f>IF('Upto Month Current'!$K$6="",0,'Upto Month Current'!$K$6)</f>
        <v>129</v>
      </c>
      <c r="F107" s="9">
        <f>IF('Upto Month Current'!$K$7="",0,'Upto Month Current'!$K$7)</f>
        <v>38267</v>
      </c>
      <c r="G107" s="9">
        <f>IF('Upto Month Current'!$K$8="",0,'Upto Month Current'!$K$8)</f>
        <v>23046</v>
      </c>
      <c r="H107" s="9">
        <f>IF('Upto Month Current'!$K$9="",0,'Upto Month Current'!$K$9)</f>
        <v>0</v>
      </c>
      <c r="I107" s="9">
        <f>IF('Upto Month Current'!$K$10="",0,'Upto Month Current'!$K$10)</f>
        <v>0</v>
      </c>
      <c r="J107" s="9">
        <f>IF('Upto Month Current'!$K$11="",0,'Upto Month Current'!$K$11)</f>
        <v>20</v>
      </c>
      <c r="K107" s="9">
        <f>IF('Upto Month Current'!$K$12="",0,'Upto Month Current'!$K$12)</f>
        <v>0</v>
      </c>
      <c r="L107" s="9">
        <f>IF('Upto Month Current'!$K$13="",0,'Upto Month Current'!$K$13)</f>
        <v>123</v>
      </c>
      <c r="M107" s="9">
        <f>IF('Upto Month Current'!$K$14="",0,'Upto Month Current'!$K$14)</f>
        <v>32258</v>
      </c>
      <c r="N107" s="9">
        <f>IF('Upto Month Current'!$K$15="",0,'Upto Month Current'!$K$15)</f>
        <v>101</v>
      </c>
      <c r="O107" s="9">
        <f>IF('Upto Month Current'!$K$16="",0,'Upto Month Current'!$K$16)</f>
        <v>1685</v>
      </c>
      <c r="P107" s="9">
        <f>IF('Upto Month Current'!$K$17="",0,'Upto Month Current'!$K$17)</f>
        <v>69755</v>
      </c>
      <c r="Q107" s="9">
        <f>IF('Upto Month Current'!$K$18="",0,'Upto Month Current'!$K$18)</f>
        <v>0</v>
      </c>
      <c r="R107" s="9">
        <f>IF('Upto Month Current'!$K$21="",0,'Upto Month Current'!$K$21)</f>
        <v>608</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1364</v>
      </c>
      <c r="Z107" s="9">
        <f>IF('Upto Month Current'!$K$43="",0,'Upto Month Current'!$K$43)</f>
        <v>221</v>
      </c>
      <c r="AA107" s="9">
        <f>IF('Upto Month Current'!$K$44="",0,'Upto Month Current'!$K$44)</f>
        <v>821</v>
      </c>
      <c r="AB107" s="9">
        <f>IF('Upto Month Current'!$K$48="",0,'Upto Month Current'!$K$48)</f>
        <v>0</v>
      </c>
      <c r="AC107" s="10">
        <f>IF('Upto Month Current'!$K$51="",0,'Upto Month Current'!$K$51)</f>
        <v>0</v>
      </c>
      <c r="AD107" s="123">
        <f t="shared" si="1475"/>
        <v>665299</v>
      </c>
      <c r="AE107" s="9">
        <f>IF('Upto Month Current'!$K$19="",0,'Upto Month Current'!$K$19)</f>
        <v>1101</v>
      </c>
      <c r="AF107" s="9">
        <f>IF('Upto Month Current'!$K$20="",0,'Upto Month Current'!$K$20)</f>
        <v>132</v>
      </c>
      <c r="AG107" s="9">
        <f>IF('Upto Month Current'!$K$22="",0,'Upto Month Current'!$K$22)</f>
        <v>193</v>
      </c>
      <c r="AH107" s="9">
        <f>IF('Upto Month Current'!$K$23="",0,'Upto Month Current'!$K$23)</f>
        <v>0</v>
      </c>
      <c r="AI107" s="9">
        <f>IF('Upto Month Current'!$K$24="",0,'Upto Month Current'!$K$24)</f>
        <v>0</v>
      </c>
      <c r="AJ107" s="9">
        <f>IF('Upto Month Current'!$K$25="",0,'Upto Month Current'!$K$25)</f>
        <v>17</v>
      </c>
      <c r="AK107" s="9">
        <f>IF('Upto Month Current'!$K$28="",0,'Upto Month Current'!$K$28)</f>
        <v>1590</v>
      </c>
      <c r="AL107" s="9">
        <f>IF('Upto Month Current'!$K$29="",0,'Upto Month Current'!$K$29)</f>
        <v>4935</v>
      </c>
      <c r="AM107" s="9">
        <f>IF('Upto Month Current'!$K$31="",0,'Upto Month Current'!$K$31)</f>
        <v>8</v>
      </c>
      <c r="AN107" s="9">
        <f>IF('Upto Month Current'!$K$32="",0,'Upto Month Current'!$K$32)</f>
        <v>0</v>
      </c>
      <c r="AO107" s="9">
        <f>IF('Upto Month Current'!$K$33="",0,'Upto Month Current'!$K$33)</f>
        <v>26340</v>
      </c>
      <c r="AP107" s="9">
        <f>IF('Upto Month Current'!$K$34="",0,'Upto Month Current'!$K$34)</f>
        <v>52410</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918</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682</v>
      </c>
      <c r="BD107" s="9">
        <f>IF('Upto Month Current'!$K$54="",0,'Upto Month Current'!$K$54)</f>
        <v>682</v>
      </c>
      <c r="BE107" s="9">
        <f>IF('Upto Month Current'!$K$55="",0,'Upto Month Current'!$K$55)</f>
        <v>0</v>
      </c>
      <c r="BF107" s="9">
        <f>IF('Upto Month Current'!$K$56="",0,'Upto Month Current'!$K$56)</f>
        <v>1649</v>
      </c>
      <c r="BG107" s="9">
        <f>IF('Upto Month Current'!$K$58="",0,'Upto Month Current'!$K$58)</f>
        <v>145833</v>
      </c>
      <c r="BH107" s="9">
        <f>SUM(AE107:BG107)</f>
        <v>236490</v>
      </c>
      <c r="BI107" s="127">
        <f>AD107+BH107</f>
        <v>901789</v>
      </c>
      <c r="BJ107" s="9">
        <f>IF('Upto Month Current'!$K$60="",0,'Upto Month Current'!$K$60)</f>
        <v>0</v>
      </c>
      <c r="BK107" s="51">
        <f t="shared" si="1476"/>
        <v>901789</v>
      </c>
      <c r="BL107">
        <f>'Upto Month Current'!$K$61</f>
        <v>901789</v>
      </c>
      <c r="BM107" s="30">
        <f t="shared" si="1477"/>
        <v>236490</v>
      </c>
    </row>
    <row r="108" spans="1:65" ht="15.75" x14ac:dyDescent="0.25">
      <c r="A108" s="130"/>
      <c r="B108" s="5" t="s">
        <v>132</v>
      </c>
      <c r="C108" s="11">
        <f>C107-C105</f>
        <v>50972</v>
      </c>
      <c r="D108" s="11">
        <f t="shared" ref="D108" si="1478">D107-D105</f>
        <v>7861</v>
      </c>
      <c r="E108" s="11">
        <f t="shared" ref="E108" si="1479">E107-E105</f>
        <v>129</v>
      </c>
      <c r="F108" s="11">
        <f t="shared" ref="F108" si="1480">F107-F105</f>
        <v>-3086</v>
      </c>
      <c r="G108" s="11">
        <f t="shared" ref="G108" si="1481">G107-G105</f>
        <v>-2832</v>
      </c>
      <c r="H108" s="11">
        <f t="shared" ref="H108" si="1482">H107-H105</f>
        <v>0</v>
      </c>
      <c r="I108" s="11">
        <f t="shared" ref="I108" si="1483">I107-I105</f>
        <v>0</v>
      </c>
      <c r="J108" s="11">
        <f t="shared" ref="J108" si="1484">J107-J105</f>
        <v>20</v>
      </c>
      <c r="K108" s="11">
        <f t="shared" ref="K108" si="1485">K107-K105</f>
        <v>-32</v>
      </c>
      <c r="L108" s="11">
        <f t="shared" ref="L108" si="1486">L107-L105</f>
        <v>-521</v>
      </c>
      <c r="M108" s="11">
        <f t="shared" ref="M108" si="1487">M107-M105</f>
        <v>-16562</v>
      </c>
      <c r="N108" s="11">
        <f t="shared" ref="N108" si="1488">N107-N105</f>
        <v>-174</v>
      </c>
      <c r="O108" s="11">
        <f t="shared" ref="O108" si="1489">O107-O105</f>
        <v>-4710</v>
      </c>
      <c r="P108" s="11">
        <f t="shared" ref="P108" si="1490">P107-P105</f>
        <v>28740</v>
      </c>
      <c r="Q108" s="11">
        <f t="shared" ref="Q108" si="1491">Q107-Q105</f>
        <v>0</v>
      </c>
      <c r="R108" s="11">
        <f t="shared" ref="R108" si="1492">R107-R105</f>
        <v>-2096</v>
      </c>
      <c r="S108" s="11">
        <f t="shared" ref="S108" si="1493">S107-S105</f>
        <v>0</v>
      </c>
      <c r="T108" s="11">
        <f t="shared" ref="T108:U108" si="1494">T107-T105</f>
        <v>0</v>
      </c>
      <c r="U108" s="11">
        <f t="shared" si="1494"/>
        <v>0</v>
      </c>
      <c r="V108" s="9">
        <f t="shared" ref="V108" si="1495">V107-V105</f>
        <v>0</v>
      </c>
      <c r="W108" s="11">
        <f t="shared" ref="W108" si="1496">W107-W105</f>
        <v>0</v>
      </c>
      <c r="X108" s="11">
        <f t="shared" ref="X108" si="1497">X107-X105</f>
        <v>0</v>
      </c>
      <c r="Y108" s="11">
        <f t="shared" ref="Y108" si="1498">Y107-Y105</f>
        <v>819</v>
      </c>
      <c r="Z108" s="11">
        <f t="shared" ref="Z108" si="1499">Z107-Z105</f>
        <v>22</v>
      </c>
      <c r="AA108" s="11">
        <f t="shared" ref="AA108:AD108" si="1500">AA107-AA105</f>
        <v>711</v>
      </c>
      <c r="AB108" s="11">
        <f t="shared" ref="AB108" si="1501">AB107-AB105</f>
        <v>-682</v>
      </c>
      <c r="AC108" s="10">
        <f t="shared" si="1500"/>
        <v>0</v>
      </c>
      <c r="AD108" s="11">
        <f t="shared" si="1500"/>
        <v>58579</v>
      </c>
      <c r="AE108" s="11">
        <f t="shared" ref="AE108" si="1502">AE107-AE105</f>
        <v>-588</v>
      </c>
      <c r="AF108" s="11">
        <f t="shared" ref="AF108" si="1503">AF107-AF105</f>
        <v>79</v>
      </c>
      <c r="AG108" s="11">
        <f t="shared" ref="AG108" si="1504">AG107-AG105</f>
        <v>168</v>
      </c>
      <c r="AH108" s="11">
        <f t="shared" ref="AH108" si="1505">AH107-AH105</f>
        <v>0</v>
      </c>
      <c r="AI108" s="11">
        <f t="shared" ref="AI108" si="1506">AI107-AI105</f>
        <v>0</v>
      </c>
      <c r="AJ108" s="11">
        <f t="shared" ref="AJ108" si="1507">AJ107-AJ105</f>
        <v>17</v>
      </c>
      <c r="AK108" s="11">
        <f t="shared" ref="AK108" si="1508">AK107-AK105</f>
        <v>281</v>
      </c>
      <c r="AL108" s="11">
        <f t="shared" ref="AL108" si="1509">AL107-AL105</f>
        <v>2053</v>
      </c>
      <c r="AM108" s="11">
        <f t="shared" ref="AM108" si="1510">AM107-AM105</f>
        <v>-95</v>
      </c>
      <c r="AN108" s="11">
        <f t="shared" ref="AN108" si="1511">AN107-AN105</f>
        <v>-75</v>
      </c>
      <c r="AO108" s="9">
        <f t="shared" ref="AO108" si="1512">AO107-AO105</f>
        <v>5826</v>
      </c>
      <c r="AP108" s="11">
        <f t="shared" ref="AP108" si="1513">AP107-AP105</f>
        <v>6347</v>
      </c>
      <c r="AQ108" s="10">
        <f t="shared" ref="AQ108" si="1514">AQ107-AQ105</f>
        <v>0</v>
      </c>
      <c r="AR108" s="11">
        <f t="shared" ref="AR108" si="1515">AR107-AR105</f>
        <v>0</v>
      </c>
      <c r="AS108" s="11">
        <f t="shared" ref="AS108" si="1516">AS107-AS105</f>
        <v>0</v>
      </c>
      <c r="AT108" s="11">
        <f t="shared" ref="AT108" si="1517">AT107-AT105</f>
        <v>0</v>
      </c>
      <c r="AU108" s="11">
        <f t="shared" ref="AU108" si="1518">AU107-AU105</f>
        <v>0</v>
      </c>
      <c r="AV108" s="11">
        <f t="shared" ref="AV108" si="1519">AV107-AV105</f>
        <v>0</v>
      </c>
      <c r="AW108" s="11">
        <f t="shared" ref="AW108" si="1520">AW107-AW105</f>
        <v>-1284</v>
      </c>
      <c r="AX108" s="11">
        <f t="shared" ref="AX108" si="1521">AX107-AX105</f>
        <v>525</v>
      </c>
      <c r="AY108" s="11">
        <f t="shared" ref="AY108" si="1522">AY107-AY105</f>
        <v>-101</v>
      </c>
      <c r="AZ108" s="11">
        <f t="shared" ref="AZ108" si="1523">AZ107-AZ105</f>
        <v>0</v>
      </c>
      <c r="BA108" s="11">
        <f t="shared" ref="BA108" si="1524">BA107-BA105</f>
        <v>0</v>
      </c>
      <c r="BB108" s="10">
        <f t="shared" ref="BB108" si="1525">BB107-BB105</f>
        <v>0</v>
      </c>
      <c r="BC108" s="11">
        <f t="shared" ref="BC108" si="1526">BC107-BC105</f>
        <v>-966</v>
      </c>
      <c r="BD108" s="11">
        <f t="shared" ref="BD108" si="1527">BD107-BD105</f>
        <v>-966</v>
      </c>
      <c r="BE108" s="11">
        <f t="shared" ref="BE108" si="1528">BE107-BE105</f>
        <v>-17</v>
      </c>
      <c r="BF108" s="11">
        <f t="shared" ref="BF108" si="1529">BF107-BF105</f>
        <v>1415</v>
      </c>
      <c r="BG108" s="11">
        <f t="shared" ref="BG108:BH108" si="1530">BG107-BG105</f>
        <v>-105464</v>
      </c>
      <c r="BH108" s="9">
        <f t="shared" si="1530"/>
        <v>-92845</v>
      </c>
      <c r="BI108" s="45">
        <f t="shared" ref="BI108" si="1531">BI107-BI105</f>
        <v>-34266</v>
      </c>
      <c r="BJ108" s="11">
        <f t="shared" ref="BJ108:BK108" si="1532">BJ107-BJ105</f>
        <v>-31739</v>
      </c>
      <c r="BK108" s="51">
        <f t="shared" si="1532"/>
        <v>-2527</v>
      </c>
      <c r="BM108" s="30">
        <f t="shared" si="1477"/>
        <v>-61106</v>
      </c>
    </row>
    <row r="109" spans="1:65" ht="15.75" x14ac:dyDescent="0.25">
      <c r="A109" s="130"/>
      <c r="B109" s="5" t="s">
        <v>133</v>
      </c>
      <c r="C109" s="13">
        <f>C108/C105</f>
        <v>0.13614461692966806</v>
      </c>
      <c r="D109" s="13">
        <f t="shared" ref="D109" si="1533">D108/D105</f>
        <v>0.1234608619173263</v>
      </c>
      <c r="E109" s="13" t="e">
        <f t="shared" ref="E109" si="1534">E108/E105</f>
        <v>#DIV/0!</v>
      </c>
      <c r="F109" s="13">
        <f t="shared" ref="F109" si="1535">F108/F105</f>
        <v>-7.4625782893623191E-2</v>
      </c>
      <c r="G109" s="13">
        <f t="shared" ref="G109" si="1536">G108/G105</f>
        <v>-0.10943658706236958</v>
      </c>
      <c r="H109" s="13" t="e">
        <f t="shared" ref="H109" si="1537">H108/H105</f>
        <v>#DIV/0!</v>
      </c>
      <c r="I109" s="13" t="e">
        <f t="shared" ref="I109" si="1538">I108/I105</f>
        <v>#DIV/0!</v>
      </c>
      <c r="J109" s="13" t="e">
        <f t="shared" ref="J109" si="1539">J108/J105</f>
        <v>#DIV/0!</v>
      </c>
      <c r="K109" s="13">
        <f t="shared" ref="K109" si="1540">K108/K105</f>
        <v>-1</v>
      </c>
      <c r="L109" s="13">
        <f t="shared" ref="L109" si="1541">L108/L105</f>
        <v>-0.80900621118012417</v>
      </c>
      <c r="M109" s="13">
        <f t="shared" ref="M109" si="1542">M108/M105</f>
        <v>-0.33924621056943877</v>
      </c>
      <c r="N109" s="13">
        <f t="shared" ref="N109" si="1543">N108/N105</f>
        <v>-0.63272727272727269</v>
      </c>
      <c r="O109" s="13">
        <f t="shared" ref="O109" si="1544">O108/O105</f>
        <v>-0.7365129007036747</v>
      </c>
      <c r="P109" s="13">
        <f t="shared" ref="P109" si="1545">P108/P105</f>
        <v>0.70071924905522365</v>
      </c>
      <c r="Q109" s="13" t="e">
        <f t="shared" ref="Q109" si="1546">Q108/Q105</f>
        <v>#DIV/0!</v>
      </c>
      <c r="R109" s="13">
        <f t="shared" ref="R109" si="1547">R108/R105</f>
        <v>-0.7751479289940828</v>
      </c>
      <c r="S109" s="13" t="e">
        <f t="shared" ref="S109" si="1548">S108/S105</f>
        <v>#DIV/0!</v>
      </c>
      <c r="T109" s="13" t="e">
        <f t="shared" ref="T109:U109" si="1549">T108/T105</f>
        <v>#DIV/0!</v>
      </c>
      <c r="U109" s="13" t="e">
        <f t="shared" si="1549"/>
        <v>#DIV/0!</v>
      </c>
      <c r="V109" s="165" t="e">
        <f t="shared" ref="V109" si="1550">V108/V105</f>
        <v>#DIV/0!</v>
      </c>
      <c r="W109" s="13" t="e">
        <f t="shared" ref="W109" si="1551">W108/W105</f>
        <v>#DIV/0!</v>
      </c>
      <c r="X109" s="13" t="e">
        <f t="shared" ref="X109" si="1552">X108/X105</f>
        <v>#DIV/0!</v>
      </c>
      <c r="Y109" s="13">
        <f t="shared" ref="Y109" si="1553">Y108/Y105</f>
        <v>1.5027522935779816</v>
      </c>
      <c r="Z109" s="13">
        <f t="shared" ref="Z109" si="1554">Z108/Z105</f>
        <v>0.11055276381909548</v>
      </c>
      <c r="AA109" s="13">
        <f t="shared" ref="AA109:AD109" si="1555">AA108/AA105</f>
        <v>6.4636363636363638</v>
      </c>
      <c r="AB109" s="13">
        <f t="shared" ref="AB109" si="1556">AB108/AB105</f>
        <v>-1</v>
      </c>
      <c r="AC109" s="14" t="e">
        <f t="shared" si="1555"/>
        <v>#DIV/0!</v>
      </c>
      <c r="AD109" s="13">
        <f t="shared" si="1555"/>
        <v>9.6550303270042201E-2</v>
      </c>
      <c r="AE109" s="13">
        <f t="shared" ref="AE109" si="1557">AE108/AE105</f>
        <v>-0.34813499111900531</v>
      </c>
      <c r="AF109" s="13">
        <f t="shared" ref="AF109" si="1558">AF108/AF105</f>
        <v>1.4905660377358489</v>
      </c>
      <c r="AG109" s="13">
        <f t="shared" ref="AG109" si="1559">AG108/AG105</f>
        <v>6.72</v>
      </c>
      <c r="AH109" s="13" t="e">
        <f t="shared" ref="AH109" si="1560">AH108/AH105</f>
        <v>#DIV/0!</v>
      </c>
      <c r="AI109" s="13" t="e">
        <f t="shared" ref="AI109" si="1561">AI108/AI105</f>
        <v>#DIV/0!</v>
      </c>
      <c r="AJ109" s="13" t="e">
        <f t="shared" ref="AJ109" si="1562">AJ108/AJ105</f>
        <v>#DIV/0!</v>
      </c>
      <c r="AK109" s="13">
        <f t="shared" ref="AK109" si="1563">AK108/AK105</f>
        <v>0.21466768525592056</v>
      </c>
      <c r="AL109" s="13">
        <f t="shared" ref="AL109" si="1564">AL108/AL105</f>
        <v>0.71235253296321999</v>
      </c>
      <c r="AM109" s="13">
        <f t="shared" ref="AM109" si="1565">AM108/AM105</f>
        <v>-0.92233009708737868</v>
      </c>
      <c r="AN109" s="13">
        <f t="shared" ref="AN109" si="1566">AN108/AN105</f>
        <v>-1</v>
      </c>
      <c r="AO109" s="165">
        <f t="shared" ref="AO109" si="1567">AO108/AO105</f>
        <v>0.28400116993272889</v>
      </c>
      <c r="AP109" s="13">
        <f t="shared" ref="AP109" si="1568">AP108/AP105</f>
        <v>0.13778954909580357</v>
      </c>
      <c r="AQ109" s="14" t="e">
        <f t="shared" ref="AQ109" si="1569">AQ108/AQ105</f>
        <v>#DIV/0!</v>
      </c>
      <c r="AR109" s="13" t="e">
        <f t="shared" ref="AR109" si="1570">AR108/AR105</f>
        <v>#DIV/0!</v>
      </c>
      <c r="AS109" s="13" t="e">
        <f t="shared" ref="AS109" si="1571">AS108/AS105</f>
        <v>#DIV/0!</v>
      </c>
      <c r="AT109" s="13" t="e">
        <f t="shared" ref="AT109" si="1572">AT108/AT105</f>
        <v>#DIV/0!</v>
      </c>
      <c r="AU109" s="13" t="e">
        <f t="shared" ref="AU109" si="1573">AU108/AU105</f>
        <v>#DIV/0!</v>
      </c>
      <c r="AV109" s="13" t="e">
        <f t="shared" ref="AV109" si="1574">AV108/AV105</f>
        <v>#DIV/0!</v>
      </c>
      <c r="AW109" s="13">
        <f t="shared" ref="AW109" si="1575">AW108/AW105</f>
        <v>-1</v>
      </c>
      <c r="AX109" s="13">
        <f t="shared" ref="AX109" si="1576">AX108/AX105</f>
        <v>1.3358778625954197</v>
      </c>
      <c r="AY109" s="13">
        <f t="shared" ref="AY109" si="1577">AY108/AY105</f>
        <v>-1</v>
      </c>
      <c r="AZ109" s="13" t="e">
        <f t="shared" ref="AZ109" si="1578">AZ108/AZ105</f>
        <v>#DIV/0!</v>
      </c>
      <c r="BA109" s="13" t="e">
        <f t="shared" ref="BA109" si="1579">BA108/BA105</f>
        <v>#DIV/0!</v>
      </c>
      <c r="BB109" s="14" t="e">
        <f t="shared" ref="BB109" si="1580">BB108/BB105</f>
        <v>#DIV/0!</v>
      </c>
      <c r="BC109" s="13">
        <f t="shared" ref="BC109" si="1581">BC108/BC105</f>
        <v>-0.58616504854368934</v>
      </c>
      <c r="BD109" s="13">
        <f t="shared" ref="BD109" si="1582">BD108/BD105</f>
        <v>-0.58616504854368934</v>
      </c>
      <c r="BE109" s="13">
        <f t="shared" ref="BE109" si="1583">BE108/BE105</f>
        <v>-1</v>
      </c>
      <c r="BF109" s="13">
        <f t="shared" ref="BF109" si="1584">BF108/BF105</f>
        <v>6.0470085470085468</v>
      </c>
      <c r="BG109" s="13">
        <f t="shared" ref="BG109:BH109" si="1585">BG108/BG105</f>
        <v>-0.41967870686876485</v>
      </c>
      <c r="BH109" s="165">
        <f t="shared" si="1585"/>
        <v>-0.28191658949094389</v>
      </c>
      <c r="BI109" s="46">
        <f t="shared" ref="BI109" si="1586">BI108/BI105</f>
        <v>-3.6606823317005946E-2</v>
      </c>
      <c r="BJ109" s="13">
        <f t="shared" ref="BJ109:BK109" si="1587">BJ108/BJ105</f>
        <v>-1</v>
      </c>
      <c r="BK109" s="52">
        <f t="shared" si="1587"/>
        <v>-2.7943771867356103E-3</v>
      </c>
      <c r="BM109" s="165" t="e">
        <f t="shared" ref="BM109" si="1588">BM108/BM105</f>
        <v>#DIV/0!</v>
      </c>
    </row>
    <row r="110" spans="1:65" ht="15.75" x14ac:dyDescent="0.25">
      <c r="A110" s="130"/>
      <c r="B110" s="5" t="s">
        <v>134</v>
      </c>
      <c r="C110" s="11">
        <f>C107-C106</f>
        <v>38672</v>
      </c>
      <c r="D110" s="11">
        <f t="shared" ref="D110:BK110" si="1589">D107-D106</f>
        <v>6542</v>
      </c>
      <c r="E110" s="11">
        <f t="shared" si="1589"/>
        <v>102</v>
      </c>
      <c r="F110" s="11">
        <f t="shared" si="1589"/>
        <v>8228</v>
      </c>
      <c r="G110" s="11">
        <f t="shared" si="1589"/>
        <v>3597</v>
      </c>
      <c r="H110" s="11">
        <f t="shared" si="1589"/>
        <v>0</v>
      </c>
      <c r="I110" s="11">
        <f t="shared" si="1589"/>
        <v>0</v>
      </c>
      <c r="J110" s="11">
        <f t="shared" si="1589"/>
        <v>20</v>
      </c>
      <c r="K110" s="11">
        <f t="shared" si="1589"/>
        <v>0</v>
      </c>
      <c r="L110" s="11">
        <f t="shared" si="1589"/>
        <v>-290</v>
      </c>
      <c r="M110" s="11">
        <f t="shared" si="1589"/>
        <v>1079</v>
      </c>
      <c r="N110" s="11">
        <f t="shared" si="1589"/>
        <v>41</v>
      </c>
      <c r="O110" s="11">
        <f t="shared" si="1589"/>
        <v>969</v>
      </c>
      <c r="P110" s="11">
        <f t="shared" si="1589"/>
        <v>15918</v>
      </c>
      <c r="Q110" s="11">
        <f t="shared" si="1589"/>
        <v>0</v>
      </c>
      <c r="R110" s="11">
        <f t="shared" si="1589"/>
        <v>213</v>
      </c>
      <c r="S110" s="11">
        <f t="shared" si="1589"/>
        <v>0</v>
      </c>
      <c r="T110" s="11">
        <f t="shared" si="1589"/>
        <v>0</v>
      </c>
      <c r="U110" s="11">
        <f t="shared" ref="U110" si="1590">U107-U106</f>
        <v>0</v>
      </c>
      <c r="V110" s="9">
        <f t="shared" si="1589"/>
        <v>0</v>
      </c>
      <c r="W110" s="11">
        <f t="shared" si="1589"/>
        <v>0</v>
      </c>
      <c r="X110" s="11">
        <f t="shared" si="1589"/>
        <v>0</v>
      </c>
      <c r="Y110" s="11">
        <f t="shared" si="1589"/>
        <v>114</v>
      </c>
      <c r="Z110" s="11">
        <f t="shared" si="1589"/>
        <v>-89</v>
      </c>
      <c r="AA110" s="11">
        <f t="shared" si="1589"/>
        <v>648</v>
      </c>
      <c r="AB110" s="11">
        <f t="shared" ref="AB110" si="1591">AB107-AB106</f>
        <v>0</v>
      </c>
      <c r="AC110" s="10">
        <f t="shared" ref="AC110:AD110" si="1592">AC107-AC106</f>
        <v>0</v>
      </c>
      <c r="AD110" s="11">
        <f t="shared" si="1592"/>
        <v>75764</v>
      </c>
      <c r="AE110" s="11">
        <f t="shared" si="1589"/>
        <v>-480</v>
      </c>
      <c r="AF110" s="11">
        <f t="shared" si="1589"/>
        <v>-32</v>
      </c>
      <c r="AG110" s="11">
        <f t="shared" si="1589"/>
        <v>-3036</v>
      </c>
      <c r="AH110" s="11">
        <f t="shared" si="1589"/>
        <v>0</v>
      </c>
      <c r="AI110" s="11">
        <f t="shared" si="1589"/>
        <v>0</v>
      </c>
      <c r="AJ110" s="11">
        <f t="shared" si="1589"/>
        <v>17</v>
      </c>
      <c r="AK110" s="11">
        <f t="shared" si="1589"/>
        <v>-6164</v>
      </c>
      <c r="AL110" s="11">
        <f t="shared" si="1589"/>
        <v>-14858</v>
      </c>
      <c r="AM110" s="11">
        <f t="shared" si="1589"/>
        <v>-22</v>
      </c>
      <c r="AN110" s="11">
        <f t="shared" si="1589"/>
        <v>0</v>
      </c>
      <c r="AO110" s="9">
        <f t="shared" si="1589"/>
        <v>3721</v>
      </c>
      <c r="AP110" s="11">
        <f t="shared" si="1589"/>
        <v>32859</v>
      </c>
      <c r="AQ110" s="10">
        <f t="shared" si="1589"/>
        <v>0</v>
      </c>
      <c r="AR110" s="11">
        <f t="shared" si="1589"/>
        <v>0</v>
      </c>
      <c r="AS110" s="11">
        <f t="shared" si="1589"/>
        <v>0</v>
      </c>
      <c r="AT110" s="11">
        <f t="shared" si="1589"/>
        <v>0</v>
      </c>
      <c r="AU110" s="11">
        <f t="shared" si="1589"/>
        <v>0</v>
      </c>
      <c r="AV110" s="11">
        <f t="shared" si="1589"/>
        <v>0</v>
      </c>
      <c r="AW110" s="11">
        <f t="shared" si="1589"/>
        <v>-6</v>
      </c>
      <c r="AX110" s="11">
        <f t="shared" si="1589"/>
        <v>484</v>
      </c>
      <c r="AY110" s="11">
        <f t="shared" si="1589"/>
        <v>-20</v>
      </c>
      <c r="AZ110" s="11">
        <f t="shared" si="1589"/>
        <v>0</v>
      </c>
      <c r="BA110" s="11">
        <f t="shared" si="1589"/>
        <v>0</v>
      </c>
      <c r="BB110" s="10">
        <f t="shared" si="1589"/>
        <v>0</v>
      </c>
      <c r="BC110" s="11">
        <f t="shared" si="1589"/>
        <v>-1774</v>
      </c>
      <c r="BD110" s="11">
        <f t="shared" si="1589"/>
        <v>-1774</v>
      </c>
      <c r="BE110" s="11">
        <f t="shared" si="1589"/>
        <v>0</v>
      </c>
      <c r="BF110" s="11">
        <f t="shared" si="1589"/>
        <v>1116</v>
      </c>
      <c r="BG110" s="11">
        <f t="shared" si="1589"/>
        <v>58473</v>
      </c>
      <c r="BH110" s="9">
        <f t="shared" si="1589"/>
        <v>68504</v>
      </c>
      <c r="BI110" s="45">
        <f t="shared" si="1589"/>
        <v>144268</v>
      </c>
      <c r="BJ110" s="11">
        <f t="shared" si="1589"/>
        <v>0</v>
      </c>
      <c r="BK110" s="51">
        <f t="shared" si="1589"/>
        <v>144268</v>
      </c>
      <c r="BM110" s="30">
        <f t="shared" si="1477"/>
        <v>68504</v>
      </c>
    </row>
    <row r="111" spans="1:65" ht="15.75" x14ac:dyDescent="0.25">
      <c r="A111" s="130"/>
      <c r="B111" s="5" t="s">
        <v>135</v>
      </c>
      <c r="C111" s="13">
        <f>C110/C106</f>
        <v>0.10000620642571943</v>
      </c>
      <c r="D111" s="13">
        <f t="shared" ref="D111" si="1593">D110/D106</f>
        <v>0.10066009139727039</v>
      </c>
      <c r="E111" s="13">
        <f t="shared" ref="E111" si="1594">E110/E106</f>
        <v>3.7777777777777777</v>
      </c>
      <c r="F111" s="13">
        <f t="shared" ref="F111" si="1595">F110/F106</f>
        <v>0.27391058290888509</v>
      </c>
      <c r="G111" s="13">
        <f t="shared" ref="G111" si="1596">G110/G106</f>
        <v>0.18494524140058616</v>
      </c>
      <c r="H111" s="13" t="e">
        <f t="shared" ref="H111" si="1597">H110/H106</f>
        <v>#DIV/0!</v>
      </c>
      <c r="I111" s="13" t="e">
        <f t="shared" ref="I111" si="1598">I110/I106</f>
        <v>#DIV/0!</v>
      </c>
      <c r="J111" s="13" t="e">
        <f t="shared" ref="J111" si="1599">J110/J106</f>
        <v>#DIV/0!</v>
      </c>
      <c r="K111" s="13" t="e">
        <f t="shared" ref="K111" si="1600">K110/K106</f>
        <v>#DIV/0!</v>
      </c>
      <c r="L111" s="13">
        <f t="shared" ref="L111" si="1601">L110/L106</f>
        <v>-0.70217917675544794</v>
      </c>
      <c r="M111" s="13">
        <f t="shared" ref="M111" si="1602">M110/M106</f>
        <v>3.4606626254851024E-2</v>
      </c>
      <c r="N111" s="13">
        <f t="shared" ref="N111" si="1603">N110/N106</f>
        <v>0.68333333333333335</v>
      </c>
      <c r="O111" s="13">
        <f t="shared" ref="O111" si="1604">O110/O106</f>
        <v>1.3533519553072626</v>
      </c>
      <c r="P111" s="13">
        <f t="shared" ref="P111" si="1605">P110/P106</f>
        <v>0.29567026394487061</v>
      </c>
      <c r="Q111" s="13" t="e">
        <f t="shared" ref="Q111" si="1606">Q110/Q106</f>
        <v>#DIV/0!</v>
      </c>
      <c r="R111" s="13">
        <f t="shared" ref="R111" si="1607">R110/R106</f>
        <v>0.53924050632911391</v>
      </c>
      <c r="S111" s="13" t="e">
        <f t="shared" ref="S111" si="1608">S110/S106</f>
        <v>#DIV/0!</v>
      </c>
      <c r="T111" s="13" t="e">
        <f t="shared" ref="T111:U111" si="1609">T110/T106</f>
        <v>#DIV/0!</v>
      </c>
      <c r="U111" s="13" t="e">
        <f t="shared" si="1609"/>
        <v>#DIV/0!</v>
      </c>
      <c r="V111" s="165" t="e">
        <f t="shared" ref="V111" si="1610">V110/V106</f>
        <v>#DIV/0!</v>
      </c>
      <c r="W111" s="13" t="e">
        <f t="shared" ref="W111" si="1611">W110/W106</f>
        <v>#DIV/0!</v>
      </c>
      <c r="X111" s="13" t="e">
        <f t="shared" ref="X111" si="1612">X110/X106</f>
        <v>#DIV/0!</v>
      </c>
      <c r="Y111" s="13">
        <f t="shared" ref="Y111" si="1613">Y110/Y106</f>
        <v>9.1200000000000003E-2</v>
      </c>
      <c r="Z111" s="13">
        <f t="shared" ref="Z111" si="1614">Z110/Z106</f>
        <v>-0.2870967741935484</v>
      </c>
      <c r="AA111" s="13">
        <f t="shared" ref="AA111:AD111" si="1615">AA110/AA106</f>
        <v>3.745664739884393</v>
      </c>
      <c r="AB111" s="13" t="e">
        <f t="shared" ref="AB111" si="1616">AB110/AB106</f>
        <v>#DIV/0!</v>
      </c>
      <c r="AC111" s="14" t="e">
        <f t="shared" si="1615"/>
        <v>#DIV/0!</v>
      </c>
      <c r="AD111" s="13">
        <f t="shared" si="1615"/>
        <v>0.12851484644677585</v>
      </c>
      <c r="AE111" s="13">
        <f t="shared" ref="AE111" si="1617">AE110/AE106</f>
        <v>-0.30360531309297911</v>
      </c>
      <c r="AF111" s="13">
        <f t="shared" ref="AF111" si="1618">AF110/AF106</f>
        <v>-0.1951219512195122</v>
      </c>
      <c r="AG111" s="13">
        <f t="shared" ref="AG111" si="1619">AG110/AG106</f>
        <v>-0.94022917311861254</v>
      </c>
      <c r="AH111" s="13" t="e">
        <f t="shared" ref="AH111" si="1620">AH110/AH106</f>
        <v>#DIV/0!</v>
      </c>
      <c r="AI111" s="13" t="e">
        <f t="shared" ref="AI111" si="1621">AI110/AI106</f>
        <v>#DIV/0!</v>
      </c>
      <c r="AJ111" s="13" t="e">
        <f t="shared" ref="AJ111" si="1622">AJ110/AJ106</f>
        <v>#DIV/0!</v>
      </c>
      <c r="AK111" s="13">
        <f t="shared" ref="AK111" si="1623">AK110/AK106</f>
        <v>-0.79494454475109622</v>
      </c>
      <c r="AL111" s="13">
        <f t="shared" ref="AL111" si="1624">AL110/AL106</f>
        <v>-0.75066942858586372</v>
      </c>
      <c r="AM111" s="13">
        <f t="shared" ref="AM111" si="1625">AM110/AM106</f>
        <v>-0.73333333333333328</v>
      </c>
      <c r="AN111" s="13" t="e">
        <f t="shared" ref="AN111" si="1626">AN110/AN106</f>
        <v>#DIV/0!</v>
      </c>
      <c r="AO111" s="165">
        <f t="shared" ref="AO111" si="1627">AO110/AO106</f>
        <v>0.16450771475308368</v>
      </c>
      <c r="AP111" s="13">
        <f t="shared" ref="AP111" si="1628">AP110/AP106</f>
        <v>1.6806812950744208</v>
      </c>
      <c r="AQ111" s="14" t="e">
        <f t="shared" ref="AQ111" si="1629">AQ110/AQ106</f>
        <v>#DIV/0!</v>
      </c>
      <c r="AR111" s="13" t="e">
        <f t="shared" ref="AR111" si="1630">AR110/AR106</f>
        <v>#DIV/0!</v>
      </c>
      <c r="AS111" s="13" t="e">
        <f t="shared" ref="AS111" si="1631">AS110/AS106</f>
        <v>#DIV/0!</v>
      </c>
      <c r="AT111" s="13" t="e">
        <f t="shared" ref="AT111" si="1632">AT110/AT106</f>
        <v>#DIV/0!</v>
      </c>
      <c r="AU111" s="13" t="e">
        <f t="shared" ref="AU111" si="1633">AU110/AU106</f>
        <v>#DIV/0!</v>
      </c>
      <c r="AV111" s="13" t="e">
        <f t="shared" ref="AV111" si="1634">AV110/AV106</f>
        <v>#DIV/0!</v>
      </c>
      <c r="AW111" s="13">
        <f t="shared" ref="AW111" si="1635">AW110/AW106</f>
        <v>-1</v>
      </c>
      <c r="AX111" s="13">
        <f t="shared" ref="AX111" si="1636">AX110/AX106</f>
        <v>1.1152073732718895</v>
      </c>
      <c r="AY111" s="13">
        <f t="shared" ref="AY111" si="1637">AY110/AY106</f>
        <v>-1</v>
      </c>
      <c r="AZ111" s="13" t="e">
        <f t="shared" ref="AZ111" si="1638">AZ110/AZ106</f>
        <v>#DIV/0!</v>
      </c>
      <c r="BA111" s="13" t="e">
        <f t="shared" ref="BA111" si="1639">BA110/BA106</f>
        <v>#DIV/0!</v>
      </c>
      <c r="BB111" s="14" t="e">
        <f t="shared" ref="BB111" si="1640">BB110/BB106</f>
        <v>#DIV/0!</v>
      </c>
      <c r="BC111" s="13">
        <f t="shared" ref="BC111" si="1641">BC110/BC106</f>
        <v>-0.72231270358306188</v>
      </c>
      <c r="BD111" s="13">
        <f t="shared" ref="BD111" si="1642">BD110/BD106</f>
        <v>-0.72231270358306188</v>
      </c>
      <c r="BE111" s="13" t="e">
        <f t="shared" ref="BE111" si="1643">BE110/BE106</f>
        <v>#DIV/0!</v>
      </c>
      <c r="BF111" s="13">
        <f t="shared" ref="BF111" si="1644">BF110/BF106</f>
        <v>2.0938086303939962</v>
      </c>
      <c r="BG111" s="13">
        <f t="shared" ref="BG111:BH111" si="1645">BG110/BG106</f>
        <v>0.66933379120879122</v>
      </c>
      <c r="BH111" s="165">
        <f t="shared" si="1645"/>
        <v>0.40779588775255082</v>
      </c>
      <c r="BI111" s="46">
        <f t="shared" ref="BI111" si="1646">BI110/BI106</f>
        <v>0.19044752554714656</v>
      </c>
      <c r="BJ111" s="13" t="e">
        <f t="shared" ref="BJ111:BK111" si="1647">BJ110/BJ106</f>
        <v>#DIV/0!</v>
      </c>
      <c r="BK111" s="52">
        <f t="shared" si="1647"/>
        <v>0.19044752554714656</v>
      </c>
      <c r="BM111" s="14">
        <f t="shared" ref="BM111" si="1648">BM110/BM106</f>
        <v>0.40779588775255082</v>
      </c>
    </row>
    <row r="112" spans="1:65" ht="15.75" x14ac:dyDescent="0.25">
      <c r="A112" s="130"/>
      <c r="B112" s="5" t="s">
        <v>210</v>
      </c>
      <c r="C112" s="128">
        <f>C107/C104</f>
        <v>0.2953979317811391</v>
      </c>
      <c r="D112" s="128">
        <f t="shared" ref="D112:BK112" si="1649">D107/D104</f>
        <v>0.2920989983380497</v>
      </c>
      <c r="E112" s="128">
        <f t="shared" si="1649"/>
        <v>5.5675442382391027E-3</v>
      </c>
      <c r="F112" s="128">
        <f t="shared" si="1649"/>
        <v>0.24059275838871319</v>
      </c>
      <c r="G112" s="128">
        <f t="shared" si="1649"/>
        <v>0.23157154340836014</v>
      </c>
      <c r="H112" s="128" t="e">
        <f t="shared" si="1649"/>
        <v>#DIV/0!</v>
      </c>
      <c r="I112" s="128" t="e">
        <f t="shared" si="1649"/>
        <v>#DIV/0!</v>
      </c>
      <c r="J112" s="128" t="e">
        <f t="shared" si="1649"/>
        <v>#DIV/0!</v>
      </c>
      <c r="K112" s="128">
        <f t="shared" si="1649"/>
        <v>0</v>
      </c>
      <c r="L112" s="128">
        <f t="shared" si="1649"/>
        <v>4.9656842955187727E-2</v>
      </c>
      <c r="M112" s="128">
        <f t="shared" si="1649"/>
        <v>0.17179253673318315</v>
      </c>
      <c r="N112" s="128">
        <f t="shared" si="1649"/>
        <v>9.5463137996219277E-2</v>
      </c>
      <c r="O112" s="128">
        <f t="shared" si="1649"/>
        <v>6.8504289140952149E-2</v>
      </c>
      <c r="P112" s="128">
        <f t="shared" si="1649"/>
        <v>0.44218700475435818</v>
      </c>
      <c r="Q112" s="128" t="e">
        <f t="shared" si="1649"/>
        <v>#DIV/0!</v>
      </c>
      <c r="R112" s="128">
        <f t="shared" si="1649"/>
        <v>5.8472783227543755E-2</v>
      </c>
      <c r="S112" s="128" t="e">
        <f t="shared" si="1649"/>
        <v>#DIV/0!</v>
      </c>
      <c r="T112" s="128" t="e">
        <f t="shared" si="1649"/>
        <v>#DIV/0!</v>
      </c>
      <c r="U112" s="128" t="e">
        <f t="shared" si="1649"/>
        <v>#DIV/0!</v>
      </c>
      <c r="V112" s="180" t="e">
        <f t="shared" si="1649"/>
        <v>#DIV/0!</v>
      </c>
      <c r="W112" s="128" t="e">
        <f t="shared" si="1649"/>
        <v>#DIV/0!</v>
      </c>
      <c r="X112" s="128" t="e">
        <f t="shared" si="1649"/>
        <v>#DIV/0!</v>
      </c>
      <c r="Y112" s="128">
        <f t="shared" si="1649"/>
        <v>0.65325670498084287</v>
      </c>
      <c r="Z112" s="128">
        <f t="shared" si="1649"/>
        <v>0.28552971576227393</v>
      </c>
      <c r="AA112" s="128">
        <f t="shared" si="1649"/>
        <v>1.9547619047619047</v>
      </c>
      <c r="AB112" s="128">
        <f t="shared" ref="AB112" si="1650">AB107/AB104</f>
        <v>0</v>
      </c>
      <c r="AC112" s="222" t="e">
        <f t="shared" si="1649"/>
        <v>#DIV/0!</v>
      </c>
      <c r="AD112" s="128">
        <f t="shared" si="1649"/>
        <v>0.28230157814160162</v>
      </c>
      <c r="AE112" s="128">
        <f t="shared" si="1649"/>
        <v>0.16951501154734411</v>
      </c>
      <c r="AF112" s="128">
        <f t="shared" si="1649"/>
        <v>0.63461538461538458</v>
      </c>
      <c r="AG112" s="128">
        <f t="shared" si="1649"/>
        <v>2.0104166666666665</v>
      </c>
      <c r="AH112" s="128" t="e">
        <f t="shared" si="1649"/>
        <v>#DIV/0!</v>
      </c>
      <c r="AI112" s="128" t="e">
        <f t="shared" si="1649"/>
        <v>#DIV/0!</v>
      </c>
      <c r="AJ112" s="128" t="e">
        <f t="shared" si="1649"/>
        <v>#DIV/0!</v>
      </c>
      <c r="AK112" s="128">
        <f t="shared" si="1649"/>
        <v>0.31591496125571228</v>
      </c>
      <c r="AL112" s="128">
        <f t="shared" si="1649"/>
        <v>0.44519621109607577</v>
      </c>
      <c r="AM112" s="128">
        <f t="shared" si="1649"/>
        <v>2.030456852791878E-2</v>
      </c>
      <c r="AN112" s="128">
        <f t="shared" si="1649"/>
        <v>0</v>
      </c>
      <c r="AO112" s="180">
        <f t="shared" si="1649"/>
        <v>0.33386569320860904</v>
      </c>
      <c r="AP112" s="128">
        <f t="shared" si="1649"/>
        <v>0.29582091574099162</v>
      </c>
      <c r="AQ112" s="222" t="e">
        <f t="shared" si="1649"/>
        <v>#DIV/0!</v>
      </c>
      <c r="AR112" s="128" t="e">
        <f t="shared" si="1649"/>
        <v>#DIV/0!</v>
      </c>
      <c r="AS112" s="128" t="e">
        <f t="shared" si="1649"/>
        <v>#DIV/0!</v>
      </c>
      <c r="AT112" s="128" t="e">
        <f t="shared" si="1649"/>
        <v>#DIV/0!</v>
      </c>
      <c r="AU112" s="128" t="e">
        <f t="shared" si="1649"/>
        <v>#DIV/0!</v>
      </c>
      <c r="AV112" s="128" t="e">
        <f t="shared" si="1649"/>
        <v>#DIV/0!</v>
      </c>
      <c r="AW112" s="128">
        <f t="shared" si="1649"/>
        <v>0</v>
      </c>
      <c r="AX112" s="128">
        <f t="shared" si="1649"/>
        <v>0.6071428571428571</v>
      </c>
      <c r="AY112" s="128">
        <f t="shared" si="1649"/>
        <v>0</v>
      </c>
      <c r="AZ112" s="128" t="e">
        <f t="shared" si="1649"/>
        <v>#DIV/0!</v>
      </c>
      <c r="BA112" s="128" t="e">
        <f t="shared" si="1649"/>
        <v>#DIV/0!</v>
      </c>
      <c r="BB112" s="222" t="e">
        <f t="shared" si="1649"/>
        <v>#DIV/0!</v>
      </c>
      <c r="BC112" s="128">
        <f t="shared" si="1649"/>
        <v>0.10755401356252957</v>
      </c>
      <c r="BD112" s="128">
        <f t="shared" si="1649"/>
        <v>0.10755401356252957</v>
      </c>
      <c r="BE112" s="128">
        <f t="shared" si="1649"/>
        <v>0</v>
      </c>
      <c r="BF112" s="128">
        <f t="shared" si="1649"/>
        <v>1.8322222222222222</v>
      </c>
      <c r="BG112" s="128">
        <f t="shared" si="1649"/>
        <v>0.15611504938242529</v>
      </c>
      <c r="BH112" s="180">
        <f t="shared" si="1649"/>
        <v>0.19160065009244212</v>
      </c>
      <c r="BI112" s="128">
        <f t="shared" si="1649"/>
        <v>0.25112601511230076</v>
      </c>
      <c r="BJ112" s="128">
        <f t="shared" si="1649"/>
        <v>0</v>
      </c>
      <c r="BK112" s="128">
        <f t="shared" si="1649"/>
        <v>0.26192190519287278</v>
      </c>
      <c r="BM112" s="128" t="e">
        <f t="shared" ref="BM112" si="1651">BM107/BM104</f>
        <v>#DIV/0!</v>
      </c>
    </row>
    <row r="113" spans="1:69" s="183" customFormat="1" ht="15.75" x14ac:dyDescent="0.25">
      <c r="A113" s="130"/>
      <c r="B113" s="5" t="s">
        <v>329</v>
      </c>
      <c r="C113" s="11">
        <f>C107-C104</f>
        <v>-1014615</v>
      </c>
      <c r="D113" s="11">
        <f t="shared" ref="D113:BM113" si="1652">D107-D104</f>
        <v>-173360</v>
      </c>
      <c r="E113" s="11">
        <f t="shared" si="1652"/>
        <v>-23041</v>
      </c>
      <c r="F113" s="11">
        <f t="shared" si="1652"/>
        <v>-120786</v>
      </c>
      <c r="G113" s="11">
        <f t="shared" si="1652"/>
        <v>-76474</v>
      </c>
      <c r="H113" s="11">
        <f t="shared" si="1652"/>
        <v>0</v>
      </c>
      <c r="I113" s="11">
        <f t="shared" si="1652"/>
        <v>0</v>
      </c>
      <c r="J113" s="11">
        <f t="shared" si="1652"/>
        <v>20</v>
      </c>
      <c r="K113" s="11">
        <f t="shared" si="1652"/>
        <v>-120</v>
      </c>
      <c r="L113" s="11">
        <f t="shared" si="1652"/>
        <v>-2354</v>
      </c>
      <c r="M113" s="11">
        <f t="shared" si="1652"/>
        <v>-155515</v>
      </c>
      <c r="N113" s="11">
        <f t="shared" si="1652"/>
        <v>-957</v>
      </c>
      <c r="O113" s="11">
        <f t="shared" si="1652"/>
        <v>-22912</v>
      </c>
      <c r="P113" s="11">
        <f t="shared" si="1652"/>
        <v>-87995</v>
      </c>
      <c r="Q113" s="11">
        <f t="shared" si="1652"/>
        <v>0</v>
      </c>
      <c r="R113" s="11">
        <f t="shared" si="1652"/>
        <v>-9790</v>
      </c>
      <c r="S113" s="11">
        <f t="shared" si="1652"/>
        <v>0</v>
      </c>
      <c r="T113" s="11">
        <f t="shared" si="1652"/>
        <v>0</v>
      </c>
      <c r="U113" s="11">
        <f t="shared" si="1652"/>
        <v>0</v>
      </c>
      <c r="V113" s="9">
        <f t="shared" si="1652"/>
        <v>0</v>
      </c>
      <c r="W113" s="11">
        <f t="shared" si="1652"/>
        <v>0</v>
      </c>
      <c r="X113" s="11">
        <f t="shared" si="1652"/>
        <v>0</v>
      </c>
      <c r="Y113" s="11">
        <f t="shared" si="1652"/>
        <v>-724</v>
      </c>
      <c r="Z113" s="11">
        <f t="shared" si="1652"/>
        <v>-553</v>
      </c>
      <c r="AA113" s="11">
        <f t="shared" si="1652"/>
        <v>401</v>
      </c>
      <c r="AB113" s="11">
        <f t="shared" ref="AB113" si="1653">AB107-AB104</f>
        <v>-2622</v>
      </c>
      <c r="AC113" s="10">
        <f t="shared" si="1652"/>
        <v>0</v>
      </c>
      <c r="AD113" s="11">
        <f t="shared" si="1652"/>
        <v>-1691397</v>
      </c>
      <c r="AE113" s="11">
        <f t="shared" si="1652"/>
        <v>-5394</v>
      </c>
      <c r="AF113" s="11">
        <f t="shared" si="1652"/>
        <v>-76</v>
      </c>
      <c r="AG113" s="11">
        <f t="shared" si="1652"/>
        <v>97</v>
      </c>
      <c r="AH113" s="11">
        <f t="shared" si="1652"/>
        <v>0</v>
      </c>
      <c r="AI113" s="11">
        <f t="shared" si="1652"/>
        <v>0</v>
      </c>
      <c r="AJ113" s="11">
        <f t="shared" si="1652"/>
        <v>17</v>
      </c>
      <c r="AK113" s="11">
        <f t="shared" si="1652"/>
        <v>-3443</v>
      </c>
      <c r="AL113" s="11">
        <f t="shared" si="1652"/>
        <v>-6150</v>
      </c>
      <c r="AM113" s="11">
        <f t="shared" si="1652"/>
        <v>-386</v>
      </c>
      <c r="AN113" s="11">
        <f t="shared" si="1652"/>
        <v>-289</v>
      </c>
      <c r="AO113" s="9">
        <f t="shared" si="1652"/>
        <v>-52554</v>
      </c>
      <c r="AP113" s="11">
        <f t="shared" si="1652"/>
        <v>-124758</v>
      </c>
      <c r="AQ113" s="10">
        <f t="shared" si="1652"/>
        <v>0</v>
      </c>
      <c r="AR113" s="11">
        <f t="shared" si="1652"/>
        <v>0</v>
      </c>
      <c r="AS113" s="11">
        <f t="shared" si="1652"/>
        <v>0</v>
      </c>
      <c r="AT113" s="11">
        <f t="shared" si="1652"/>
        <v>0</v>
      </c>
      <c r="AU113" s="11">
        <f t="shared" si="1652"/>
        <v>0</v>
      </c>
      <c r="AV113" s="11">
        <f t="shared" si="1652"/>
        <v>0</v>
      </c>
      <c r="AW113" s="11">
        <f t="shared" si="1652"/>
        <v>-4939</v>
      </c>
      <c r="AX113" s="11">
        <f t="shared" si="1652"/>
        <v>-594</v>
      </c>
      <c r="AY113" s="11">
        <f t="shared" si="1652"/>
        <v>-388</v>
      </c>
      <c r="AZ113" s="11">
        <f t="shared" si="1652"/>
        <v>0</v>
      </c>
      <c r="BA113" s="11">
        <f t="shared" si="1652"/>
        <v>0</v>
      </c>
      <c r="BB113" s="10">
        <f t="shared" si="1652"/>
        <v>0</v>
      </c>
      <c r="BC113" s="11">
        <f t="shared" si="1652"/>
        <v>-5659</v>
      </c>
      <c r="BD113" s="11">
        <f t="shared" si="1652"/>
        <v>-5659</v>
      </c>
      <c r="BE113" s="11">
        <f t="shared" si="1652"/>
        <v>-65</v>
      </c>
      <c r="BF113" s="11">
        <f t="shared" si="1652"/>
        <v>749</v>
      </c>
      <c r="BG113" s="11">
        <f t="shared" si="1652"/>
        <v>-788305</v>
      </c>
      <c r="BH113" s="11">
        <f t="shared" si="1652"/>
        <v>-997796</v>
      </c>
      <c r="BI113" s="11">
        <f t="shared" si="1652"/>
        <v>-2689193</v>
      </c>
      <c r="BJ113" s="11">
        <f t="shared" si="1652"/>
        <v>-148013</v>
      </c>
      <c r="BK113" s="11">
        <f t="shared" si="1652"/>
        <v>-2541180</v>
      </c>
      <c r="BL113" s="11">
        <f t="shared" si="1652"/>
        <v>901779</v>
      </c>
      <c r="BM113" s="11">
        <f t="shared" si="1652"/>
        <v>236490</v>
      </c>
    </row>
    <row r="114" spans="1:69" s="183" customFormat="1" ht="15.75" x14ac:dyDescent="0.2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6"/>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44"/>
      <c r="BJ114" s="5"/>
      <c r="BK114" s="50"/>
    </row>
    <row r="115" spans="1:69" ht="15.75" x14ac:dyDescent="0.25">
      <c r="A115" s="15" t="s">
        <v>143</v>
      </c>
      <c r="B115" s="229" t="s">
        <v>298</v>
      </c>
      <c r="C115" s="122">
        <v>0</v>
      </c>
      <c r="D115" s="122">
        <v>0</v>
      </c>
      <c r="E115" s="122">
        <v>0</v>
      </c>
      <c r="F115" s="122">
        <v>0</v>
      </c>
      <c r="G115" s="122">
        <v>0</v>
      </c>
      <c r="H115" s="122">
        <v>2899829</v>
      </c>
      <c r="I115" s="122">
        <v>0</v>
      </c>
      <c r="J115" s="122">
        <v>0</v>
      </c>
      <c r="K115" s="122">
        <v>0</v>
      </c>
      <c r="L115" s="122">
        <v>0</v>
      </c>
      <c r="M115" s="122">
        <v>0</v>
      </c>
      <c r="N115" s="122">
        <v>0</v>
      </c>
      <c r="O115" s="122">
        <v>0</v>
      </c>
      <c r="P115" s="122">
        <v>0</v>
      </c>
      <c r="Q115" s="122">
        <v>0</v>
      </c>
      <c r="R115" s="122">
        <v>0</v>
      </c>
      <c r="S115" s="122">
        <v>0</v>
      </c>
      <c r="T115" s="122">
        <v>0</v>
      </c>
      <c r="U115" s="122"/>
      <c r="V115" s="195">
        <v>0</v>
      </c>
      <c r="W115" s="122">
        <v>0</v>
      </c>
      <c r="X115" s="122">
        <v>0</v>
      </c>
      <c r="Y115" s="122">
        <v>0</v>
      </c>
      <c r="Z115" s="122">
        <v>0</v>
      </c>
      <c r="AA115" s="122">
        <v>0</v>
      </c>
      <c r="AB115" s="122"/>
      <c r="AC115" s="154">
        <v>0</v>
      </c>
      <c r="AD115" s="123">
        <f t="shared" ref="AD115:AD116" si="1654">SUM(C115:AC115)</f>
        <v>2899829</v>
      </c>
      <c r="AE115" s="122">
        <v>0</v>
      </c>
      <c r="AF115" s="122">
        <v>0</v>
      </c>
      <c r="AG115" s="122">
        <v>0</v>
      </c>
      <c r="AH115" s="122">
        <v>0</v>
      </c>
      <c r="AI115" s="122">
        <v>0</v>
      </c>
      <c r="AJ115" s="122">
        <v>0</v>
      </c>
      <c r="AK115" s="122">
        <v>0</v>
      </c>
      <c r="AL115" s="122">
        <v>0</v>
      </c>
      <c r="AM115" s="122">
        <v>0</v>
      </c>
      <c r="AN115" s="122">
        <v>0</v>
      </c>
      <c r="AO115" s="195">
        <v>0</v>
      </c>
      <c r="AP115" s="122">
        <v>0</v>
      </c>
      <c r="AQ115" s="154">
        <v>0</v>
      </c>
      <c r="AR115" s="122">
        <v>0</v>
      </c>
      <c r="AS115" s="122"/>
      <c r="AT115" s="122"/>
      <c r="AU115" s="122">
        <v>0</v>
      </c>
      <c r="AV115" s="122"/>
      <c r="AW115" s="122">
        <v>0</v>
      </c>
      <c r="AX115" s="122">
        <v>0</v>
      </c>
      <c r="AY115" s="122">
        <v>0</v>
      </c>
      <c r="AZ115" s="122">
        <v>0</v>
      </c>
      <c r="BA115" s="122">
        <v>0</v>
      </c>
      <c r="BB115" s="154">
        <v>0</v>
      </c>
      <c r="BC115" s="122">
        <v>0</v>
      </c>
      <c r="BD115" s="122">
        <v>0</v>
      </c>
      <c r="BE115" s="122">
        <v>0</v>
      </c>
      <c r="BF115" s="122">
        <v>0</v>
      </c>
      <c r="BG115" s="122">
        <v>72291171</v>
      </c>
      <c r="BH115" s="9">
        <f>SUM(AE115:BG115)</f>
        <v>72291171</v>
      </c>
      <c r="BI115" s="127">
        <f>AD115+BH115</f>
        <v>75191000</v>
      </c>
      <c r="BJ115" s="98">
        <v>72243000</v>
      </c>
      <c r="BK115" s="51">
        <f t="shared" ref="BK115:BK116" si="1655">BI115-BJ115</f>
        <v>2948000</v>
      </c>
      <c r="BL115">
        <v>11</v>
      </c>
      <c r="BM115" s="30"/>
      <c r="BP115">
        <f>3496425-53457</f>
        <v>3442968</v>
      </c>
      <c r="BQ115" s="30">
        <f>+BP115-BK104</f>
        <v>-1</v>
      </c>
    </row>
    <row r="116" spans="1:69" s="41" customFormat="1" ht="15.75" x14ac:dyDescent="0.25">
      <c r="A116" s="136" t="s">
        <v>143</v>
      </c>
      <c r="B116" s="225" t="s">
        <v>326</v>
      </c>
      <c r="C116" s="10">
        <v>0</v>
      </c>
      <c r="D116" s="10">
        <v>0</v>
      </c>
      <c r="E116" s="10">
        <v>0</v>
      </c>
      <c r="F116" s="10">
        <v>0</v>
      </c>
      <c r="G116" s="10">
        <v>0</v>
      </c>
      <c r="H116" s="10">
        <v>753955</v>
      </c>
      <c r="I116" s="10">
        <v>0</v>
      </c>
      <c r="J116" s="10">
        <v>0</v>
      </c>
      <c r="K116" s="10">
        <v>0</v>
      </c>
      <c r="L116" s="10">
        <v>0</v>
      </c>
      <c r="M116" s="10">
        <v>0</v>
      </c>
      <c r="N116" s="10">
        <v>0</v>
      </c>
      <c r="O116" s="10">
        <v>0</v>
      </c>
      <c r="P116" s="10">
        <v>0</v>
      </c>
      <c r="Q116" s="10">
        <v>0</v>
      </c>
      <c r="R116" s="10">
        <v>0</v>
      </c>
      <c r="S116" s="10">
        <v>0</v>
      </c>
      <c r="T116" s="10">
        <v>0</v>
      </c>
      <c r="U116" s="10"/>
      <c r="V116" s="10">
        <v>0</v>
      </c>
      <c r="W116" s="10">
        <v>0</v>
      </c>
      <c r="X116" s="10">
        <v>0</v>
      </c>
      <c r="Y116" s="10">
        <v>0</v>
      </c>
      <c r="Z116" s="10">
        <v>0</v>
      </c>
      <c r="AA116" s="10">
        <v>0</v>
      </c>
      <c r="AB116" s="10">
        <v>0</v>
      </c>
      <c r="AC116" s="9">
        <v>0</v>
      </c>
      <c r="AD116" s="123">
        <f t="shared" si="1654"/>
        <v>753955</v>
      </c>
      <c r="AE116" s="10">
        <v>0</v>
      </c>
      <c r="AF116" s="10">
        <v>0</v>
      </c>
      <c r="AG116" s="10">
        <v>0</v>
      </c>
      <c r="AH116" s="10">
        <v>0</v>
      </c>
      <c r="AI116" s="10">
        <v>0</v>
      </c>
      <c r="AJ116" s="10">
        <v>0</v>
      </c>
      <c r="AK116" s="10">
        <v>0</v>
      </c>
      <c r="AL116" s="10">
        <v>0</v>
      </c>
      <c r="AM116" s="10">
        <v>0</v>
      </c>
      <c r="AN116" s="10">
        <v>0</v>
      </c>
      <c r="AO116" s="10">
        <v>0</v>
      </c>
      <c r="AP116" s="10">
        <v>0</v>
      </c>
      <c r="AQ116" s="9">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12043</v>
      </c>
      <c r="BH116" s="10">
        <f>SUM(AE116:BG116)</f>
        <v>12043</v>
      </c>
      <c r="BI116" s="227">
        <f>AD116+BH116</f>
        <v>765998</v>
      </c>
      <c r="BJ116" s="10">
        <v>0</v>
      </c>
      <c r="BK116" s="10">
        <f t="shared" si="1655"/>
        <v>765998</v>
      </c>
      <c r="BM116" s="226"/>
    </row>
    <row r="117" spans="1:69" ht="15.75" x14ac:dyDescent="0.25">
      <c r="A117" s="130"/>
      <c r="B117" s="12" t="s">
        <v>324</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701921</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123">
        <f t="shared" ref="AD117:AD118" si="1656">SUM(C117:AC117)</f>
        <v>701921</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18738604</v>
      </c>
      <c r="BH117" s="9">
        <f>SUM(AE117:BG117)</f>
        <v>18738604</v>
      </c>
      <c r="BI117" s="127">
        <f>AD117+BH117</f>
        <v>19440525</v>
      </c>
      <c r="BJ117" s="9">
        <f>IF('Upto Month COPPY'!$L$60="",0,'Upto Month COPPY'!$L$60)</f>
        <v>18736821</v>
      </c>
      <c r="BK117" s="51">
        <f t="shared" ref="BK117:BK118" si="1657">BI117-BJ117</f>
        <v>703704</v>
      </c>
      <c r="BL117">
        <f>'Upto Month COPPY'!$L$61</f>
        <v>703703</v>
      </c>
      <c r="BM117" s="30">
        <f t="shared" ref="BM117:BM121" si="1658">BK117-AD117</f>
        <v>1783</v>
      </c>
    </row>
    <row r="118" spans="1:69" ht="15.75" x14ac:dyDescent="0.25">
      <c r="A118" s="130"/>
      <c r="B118" s="185" t="s">
        <v>325</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846915</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123">
        <f t="shared" si="1656"/>
        <v>846915</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19055042</v>
      </c>
      <c r="BH118" s="9">
        <f>SUM(AE118:BG118)</f>
        <v>19055042</v>
      </c>
      <c r="BI118" s="127">
        <f>AD118+BH118</f>
        <v>19901957</v>
      </c>
      <c r="BJ118" s="9">
        <f>IF('Upto Month Current'!$L$60="",0,'Upto Month Current'!$L$60)</f>
        <v>19047240</v>
      </c>
      <c r="BK118" s="51">
        <f t="shared" si="1657"/>
        <v>854717</v>
      </c>
      <c r="BL118">
        <f>'Upto Month Current'!$L$61</f>
        <v>854717</v>
      </c>
      <c r="BM118" s="30">
        <f t="shared" si="1658"/>
        <v>7802</v>
      </c>
    </row>
    <row r="119" spans="1:69" ht="15.75" x14ac:dyDescent="0.25">
      <c r="A119" s="130"/>
      <c r="B119" s="5" t="s">
        <v>132</v>
      </c>
      <c r="C119" s="11">
        <f>C118-C116</f>
        <v>0</v>
      </c>
      <c r="D119" s="11">
        <f t="shared" ref="D119" si="1659">D118-D116</f>
        <v>0</v>
      </c>
      <c r="E119" s="11">
        <f t="shared" ref="E119" si="1660">E118-E116</f>
        <v>0</v>
      </c>
      <c r="F119" s="11">
        <f t="shared" ref="F119" si="1661">F118-F116</f>
        <v>0</v>
      </c>
      <c r="G119" s="11">
        <f t="shared" ref="G119" si="1662">G118-G116</f>
        <v>0</v>
      </c>
      <c r="H119" s="11">
        <f t="shared" ref="H119" si="1663">H118-H116</f>
        <v>92960</v>
      </c>
      <c r="I119" s="11">
        <f t="shared" ref="I119" si="1664">I118-I116</f>
        <v>0</v>
      </c>
      <c r="J119" s="11">
        <f t="shared" ref="J119" si="1665">J118-J116</f>
        <v>0</v>
      </c>
      <c r="K119" s="11">
        <f t="shared" ref="K119" si="1666">K118-K116</f>
        <v>0</v>
      </c>
      <c r="L119" s="11">
        <f t="shared" ref="L119" si="1667">L118-L116</f>
        <v>0</v>
      </c>
      <c r="M119" s="11">
        <f t="shared" ref="M119" si="1668">M118-M116</f>
        <v>0</v>
      </c>
      <c r="N119" s="11">
        <f t="shared" ref="N119" si="1669">N118-N116</f>
        <v>0</v>
      </c>
      <c r="O119" s="11">
        <f t="shared" ref="O119" si="1670">O118-O116</f>
        <v>0</v>
      </c>
      <c r="P119" s="11">
        <f t="shared" ref="P119" si="1671">P118-P116</f>
        <v>0</v>
      </c>
      <c r="Q119" s="11">
        <f t="shared" ref="Q119" si="1672">Q118-Q116</f>
        <v>0</v>
      </c>
      <c r="R119" s="11">
        <f t="shared" ref="R119" si="1673">R118-R116</f>
        <v>0</v>
      </c>
      <c r="S119" s="11">
        <f t="shared" ref="S119" si="1674">S118-S116</f>
        <v>0</v>
      </c>
      <c r="T119" s="11">
        <f t="shared" ref="T119:U119" si="1675">T118-T116</f>
        <v>0</v>
      </c>
      <c r="U119" s="11">
        <f t="shared" si="1675"/>
        <v>0</v>
      </c>
      <c r="V119" s="9">
        <f t="shared" ref="V119" si="1676">V118-V116</f>
        <v>0</v>
      </c>
      <c r="W119" s="11">
        <f t="shared" ref="W119" si="1677">W118-W116</f>
        <v>0</v>
      </c>
      <c r="X119" s="11">
        <f t="shared" ref="X119" si="1678">X118-X116</f>
        <v>0</v>
      </c>
      <c r="Y119" s="11">
        <f t="shared" ref="Y119" si="1679">Y118-Y116</f>
        <v>0</v>
      </c>
      <c r="Z119" s="11">
        <f t="shared" ref="Z119" si="1680">Z118-Z116</f>
        <v>0</v>
      </c>
      <c r="AA119" s="11">
        <f t="shared" ref="AA119:AD119" si="1681">AA118-AA116</f>
        <v>0</v>
      </c>
      <c r="AB119" s="11">
        <f t="shared" ref="AB119" si="1682">AB118-AB116</f>
        <v>0</v>
      </c>
      <c r="AC119" s="10">
        <f t="shared" si="1681"/>
        <v>0</v>
      </c>
      <c r="AD119" s="11">
        <f t="shared" si="1681"/>
        <v>92960</v>
      </c>
      <c r="AE119" s="11">
        <f t="shared" ref="AE119" si="1683">AE118-AE116</f>
        <v>0</v>
      </c>
      <c r="AF119" s="11">
        <f t="shared" ref="AF119" si="1684">AF118-AF116</f>
        <v>0</v>
      </c>
      <c r="AG119" s="11">
        <f t="shared" ref="AG119" si="1685">AG118-AG116</f>
        <v>0</v>
      </c>
      <c r="AH119" s="11">
        <f t="shared" ref="AH119" si="1686">AH118-AH116</f>
        <v>0</v>
      </c>
      <c r="AI119" s="11">
        <f t="shared" ref="AI119" si="1687">AI118-AI116</f>
        <v>0</v>
      </c>
      <c r="AJ119" s="11">
        <f t="shared" ref="AJ119" si="1688">AJ118-AJ116</f>
        <v>0</v>
      </c>
      <c r="AK119" s="11">
        <f t="shared" ref="AK119" si="1689">AK118-AK116</f>
        <v>0</v>
      </c>
      <c r="AL119" s="11">
        <f t="shared" ref="AL119" si="1690">AL118-AL116</f>
        <v>0</v>
      </c>
      <c r="AM119" s="11">
        <f t="shared" ref="AM119" si="1691">AM118-AM116</f>
        <v>0</v>
      </c>
      <c r="AN119" s="11">
        <f t="shared" ref="AN119" si="1692">AN118-AN116</f>
        <v>0</v>
      </c>
      <c r="AO119" s="9">
        <f t="shared" ref="AO119" si="1693">AO118-AO116</f>
        <v>0</v>
      </c>
      <c r="AP119" s="11">
        <f t="shared" ref="AP119" si="1694">AP118-AP116</f>
        <v>0</v>
      </c>
      <c r="AQ119" s="10">
        <f t="shared" ref="AQ119" si="1695">AQ118-AQ116</f>
        <v>0</v>
      </c>
      <c r="AR119" s="11">
        <f t="shared" ref="AR119" si="1696">AR118-AR116</f>
        <v>0</v>
      </c>
      <c r="AS119" s="11">
        <f t="shared" ref="AS119" si="1697">AS118-AS116</f>
        <v>0</v>
      </c>
      <c r="AT119" s="11">
        <f t="shared" ref="AT119" si="1698">AT118-AT116</f>
        <v>0</v>
      </c>
      <c r="AU119" s="11">
        <f t="shared" ref="AU119" si="1699">AU118-AU116</f>
        <v>0</v>
      </c>
      <c r="AV119" s="11">
        <f t="shared" ref="AV119" si="1700">AV118-AV116</f>
        <v>0</v>
      </c>
      <c r="AW119" s="11">
        <f t="shared" ref="AW119" si="1701">AW118-AW116</f>
        <v>0</v>
      </c>
      <c r="AX119" s="11">
        <f t="shared" ref="AX119" si="1702">AX118-AX116</f>
        <v>0</v>
      </c>
      <c r="AY119" s="11">
        <f t="shared" ref="AY119" si="1703">AY118-AY116</f>
        <v>0</v>
      </c>
      <c r="AZ119" s="11">
        <f t="shared" ref="AZ119" si="1704">AZ118-AZ116</f>
        <v>0</v>
      </c>
      <c r="BA119" s="11">
        <f t="shared" ref="BA119" si="1705">BA118-BA116</f>
        <v>0</v>
      </c>
      <c r="BB119" s="10">
        <f t="shared" ref="BB119" si="1706">BB118-BB116</f>
        <v>0</v>
      </c>
      <c r="BC119" s="11">
        <f t="shared" ref="BC119" si="1707">BC118-BC116</f>
        <v>0</v>
      </c>
      <c r="BD119" s="11">
        <f t="shared" ref="BD119" si="1708">BD118-BD116</f>
        <v>0</v>
      </c>
      <c r="BE119" s="11">
        <f t="shared" ref="BE119" si="1709">BE118-BE116</f>
        <v>0</v>
      </c>
      <c r="BF119" s="11">
        <f t="shared" ref="BF119" si="1710">BF118-BF116</f>
        <v>0</v>
      </c>
      <c r="BG119" s="11">
        <f t="shared" ref="BG119:BH119" si="1711">BG118-BG116</f>
        <v>19042999</v>
      </c>
      <c r="BH119" s="9">
        <f t="shared" si="1711"/>
        <v>19042999</v>
      </c>
      <c r="BI119" s="45">
        <f t="shared" ref="BI119" si="1712">BI118-BI116</f>
        <v>19135959</v>
      </c>
      <c r="BJ119" s="11">
        <f t="shared" ref="BJ119:BK119" si="1713">BJ118-BJ116</f>
        <v>19047240</v>
      </c>
      <c r="BK119" s="51">
        <f t="shared" si="1713"/>
        <v>88719</v>
      </c>
      <c r="BM119" s="30">
        <f t="shared" si="1658"/>
        <v>-4241</v>
      </c>
    </row>
    <row r="120" spans="1:69" ht="15.75" x14ac:dyDescent="0.25">
      <c r="A120" s="130"/>
      <c r="B120" s="5" t="s">
        <v>133</v>
      </c>
      <c r="C120" s="13" t="e">
        <f>C119/C116</f>
        <v>#DIV/0!</v>
      </c>
      <c r="D120" s="13" t="e">
        <f t="shared" ref="D120" si="1714">D119/D116</f>
        <v>#DIV/0!</v>
      </c>
      <c r="E120" s="13" t="e">
        <f t="shared" ref="E120" si="1715">E119/E116</f>
        <v>#DIV/0!</v>
      </c>
      <c r="F120" s="13" t="e">
        <f t="shared" ref="F120" si="1716">F119/F116</f>
        <v>#DIV/0!</v>
      </c>
      <c r="G120" s="13" t="e">
        <f t="shared" ref="G120" si="1717">G119/G116</f>
        <v>#DIV/0!</v>
      </c>
      <c r="H120" s="13">
        <f t="shared" ref="H120" si="1718">H119/H116</f>
        <v>0.12329648321186278</v>
      </c>
      <c r="I120" s="13" t="e">
        <f t="shared" ref="I120" si="1719">I119/I116</f>
        <v>#DIV/0!</v>
      </c>
      <c r="J120" s="13" t="e">
        <f t="shared" ref="J120" si="1720">J119/J116</f>
        <v>#DIV/0!</v>
      </c>
      <c r="K120" s="13" t="e">
        <f t="shared" ref="K120" si="1721">K119/K116</f>
        <v>#DIV/0!</v>
      </c>
      <c r="L120" s="13" t="e">
        <f t="shared" ref="L120" si="1722">L119/L116</f>
        <v>#DIV/0!</v>
      </c>
      <c r="M120" s="13" t="e">
        <f t="shared" ref="M120" si="1723">M119/M116</f>
        <v>#DIV/0!</v>
      </c>
      <c r="N120" s="13" t="e">
        <f t="shared" ref="N120" si="1724">N119/N116</f>
        <v>#DIV/0!</v>
      </c>
      <c r="O120" s="13" t="e">
        <f t="shared" ref="O120" si="1725">O119/O116</f>
        <v>#DIV/0!</v>
      </c>
      <c r="P120" s="13" t="e">
        <f t="shared" ref="P120" si="1726">P119/P116</f>
        <v>#DIV/0!</v>
      </c>
      <c r="Q120" s="13" t="e">
        <f t="shared" ref="Q120" si="1727">Q119/Q116</f>
        <v>#DIV/0!</v>
      </c>
      <c r="R120" s="13" t="e">
        <f t="shared" ref="R120" si="1728">R119/R116</f>
        <v>#DIV/0!</v>
      </c>
      <c r="S120" s="13" t="e">
        <f t="shared" ref="S120" si="1729">S119/S116</f>
        <v>#DIV/0!</v>
      </c>
      <c r="T120" s="13" t="e">
        <f t="shared" ref="T120:U120" si="1730">T119/T116</f>
        <v>#DIV/0!</v>
      </c>
      <c r="U120" s="13" t="e">
        <f t="shared" si="1730"/>
        <v>#DIV/0!</v>
      </c>
      <c r="V120" s="165" t="e">
        <f t="shared" ref="V120" si="1731">V119/V116</f>
        <v>#DIV/0!</v>
      </c>
      <c r="W120" s="13" t="e">
        <f t="shared" ref="W120" si="1732">W119/W116</f>
        <v>#DIV/0!</v>
      </c>
      <c r="X120" s="13" t="e">
        <f t="shared" ref="X120" si="1733">X119/X116</f>
        <v>#DIV/0!</v>
      </c>
      <c r="Y120" s="13" t="e">
        <f t="shared" ref="Y120" si="1734">Y119/Y116</f>
        <v>#DIV/0!</v>
      </c>
      <c r="Z120" s="13" t="e">
        <f t="shared" ref="Z120" si="1735">Z119/Z116</f>
        <v>#DIV/0!</v>
      </c>
      <c r="AA120" s="13" t="e">
        <f t="shared" ref="AA120:AD120" si="1736">AA119/AA116</f>
        <v>#DIV/0!</v>
      </c>
      <c r="AB120" s="13" t="e">
        <f t="shared" ref="AB120" si="1737">AB119/AB116</f>
        <v>#DIV/0!</v>
      </c>
      <c r="AC120" s="14" t="e">
        <f t="shared" si="1736"/>
        <v>#DIV/0!</v>
      </c>
      <c r="AD120" s="13">
        <f t="shared" si="1736"/>
        <v>0.12329648321186278</v>
      </c>
      <c r="AE120" s="13" t="e">
        <f t="shared" ref="AE120" si="1738">AE119/AE116</f>
        <v>#DIV/0!</v>
      </c>
      <c r="AF120" s="13" t="e">
        <f t="shared" ref="AF120" si="1739">AF119/AF116</f>
        <v>#DIV/0!</v>
      </c>
      <c r="AG120" s="13" t="e">
        <f t="shared" ref="AG120" si="1740">AG119/AG116</f>
        <v>#DIV/0!</v>
      </c>
      <c r="AH120" s="13" t="e">
        <f t="shared" ref="AH120" si="1741">AH119/AH116</f>
        <v>#DIV/0!</v>
      </c>
      <c r="AI120" s="13" t="e">
        <f t="shared" ref="AI120" si="1742">AI119/AI116</f>
        <v>#DIV/0!</v>
      </c>
      <c r="AJ120" s="13" t="e">
        <f t="shared" ref="AJ120" si="1743">AJ119/AJ116</f>
        <v>#DIV/0!</v>
      </c>
      <c r="AK120" s="13" t="e">
        <f t="shared" ref="AK120" si="1744">AK119/AK116</f>
        <v>#DIV/0!</v>
      </c>
      <c r="AL120" s="13" t="e">
        <f t="shared" ref="AL120" si="1745">AL119/AL116</f>
        <v>#DIV/0!</v>
      </c>
      <c r="AM120" s="13" t="e">
        <f t="shared" ref="AM120" si="1746">AM119/AM116</f>
        <v>#DIV/0!</v>
      </c>
      <c r="AN120" s="13" t="e">
        <f t="shared" ref="AN120" si="1747">AN119/AN116</f>
        <v>#DIV/0!</v>
      </c>
      <c r="AO120" s="165" t="e">
        <f t="shared" ref="AO120" si="1748">AO119/AO116</f>
        <v>#DIV/0!</v>
      </c>
      <c r="AP120" s="13" t="e">
        <f t="shared" ref="AP120" si="1749">AP119/AP116</f>
        <v>#DIV/0!</v>
      </c>
      <c r="AQ120" s="14" t="e">
        <f t="shared" ref="AQ120" si="1750">AQ119/AQ116</f>
        <v>#DIV/0!</v>
      </c>
      <c r="AR120" s="13" t="e">
        <f t="shared" ref="AR120" si="1751">AR119/AR116</f>
        <v>#DIV/0!</v>
      </c>
      <c r="AS120" s="13" t="e">
        <f t="shared" ref="AS120" si="1752">AS119/AS116</f>
        <v>#DIV/0!</v>
      </c>
      <c r="AT120" s="13" t="e">
        <f t="shared" ref="AT120" si="1753">AT119/AT116</f>
        <v>#DIV/0!</v>
      </c>
      <c r="AU120" s="13" t="e">
        <f t="shared" ref="AU120" si="1754">AU119/AU116</f>
        <v>#DIV/0!</v>
      </c>
      <c r="AV120" s="13" t="e">
        <f t="shared" ref="AV120" si="1755">AV119/AV116</f>
        <v>#DIV/0!</v>
      </c>
      <c r="AW120" s="13" t="e">
        <f t="shared" ref="AW120" si="1756">AW119/AW116</f>
        <v>#DIV/0!</v>
      </c>
      <c r="AX120" s="13" t="e">
        <f t="shared" ref="AX120" si="1757">AX119/AX116</f>
        <v>#DIV/0!</v>
      </c>
      <c r="AY120" s="13" t="e">
        <f t="shared" ref="AY120" si="1758">AY119/AY116</f>
        <v>#DIV/0!</v>
      </c>
      <c r="AZ120" s="13" t="e">
        <f t="shared" ref="AZ120" si="1759">AZ119/AZ116</f>
        <v>#DIV/0!</v>
      </c>
      <c r="BA120" s="13" t="e">
        <f t="shared" ref="BA120" si="1760">BA119/BA116</f>
        <v>#DIV/0!</v>
      </c>
      <c r="BB120" s="14" t="e">
        <f t="shared" ref="BB120" si="1761">BB119/BB116</f>
        <v>#DIV/0!</v>
      </c>
      <c r="BC120" s="13" t="e">
        <f t="shared" ref="BC120" si="1762">BC119/BC116</f>
        <v>#DIV/0!</v>
      </c>
      <c r="BD120" s="13" t="e">
        <f t="shared" ref="BD120" si="1763">BD119/BD116</f>
        <v>#DIV/0!</v>
      </c>
      <c r="BE120" s="13" t="e">
        <f t="shared" ref="BE120" si="1764">BE119/BE116</f>
        <v>#DIV/0!</v>
      </c>
      <c r="BF120" s="13" t="e">
        <f t="shared" ref="BF120" si="1765">BF119/BF116</f>
        <v>#DIV/0!</v>
      </c>
      <c r="BG120" s="13">
        <f t="shared" ref="BG120:BH120" si="1766">BG119/BG116</f>
        <v>1581.2504359378893</v>
      </c>
      <c r="BH120" s="165">
        <f t="shared" si="1766"/>
        <v>1581.2504359378893</v>
      </c>
      <c r="BI120" s="46">
        <f t="shared" ref="BI120" si="1767">BI119/BI116</f>
        <v>24.981734939255716</v>
      </c>
      <c r="BJ120" s="13" t="e">
        <f t="shared" ref="BJ120:BK120" si="1768">BJ119/BJ116</f>
        <v>#DIV/0!</v>
      </c>
      <c r="BK120" s="52">
        <f t="shared" si="1768"/>
        <v>0.11582145123094316</v>
      </c>
      <c r="BM120" s="165" t="e">
        <f t="shared" ref="BM120" si="1769">BM119/BM116</f>
        <v>#DIV/0!</v>
      </c>
    </row>
    <row r="121" spans="1:69" ht="15.75" x14ac:dyDescent="0.25">
      <c r="A121" s="130"/>
      <c r="B121" s="5" t="s">
        <v>134</v>
      </c>
      <c r="C121" s="11">
        <f>C118-C117</f>
        <v>0</v>
      </c>
      <c r="D121" s="11">
        <f t="shared" ref="D121:BK121" si="1770">D118-D117</f>
        <v>0</v>
      </c>
      <c r="E121" s="11">
        <f t="shared" si="1770"/>
        <v>0</v>
      </c>
      <c r="F121" s="11">
        <f t="shared" si="1770"/>
        <v>0</v>
      </c>
      <c r="G121" s="11">
        <f t="shared" si="1770"/>
        <v>0</v>
      </c>
      <c r="H121" s="11">
        <f t="shared" si="1770"/>
        <v>144994</v>
      </c>
      <c r="I121" s="11">
        <f t="shared" si="1770"/>
        <v>0</v>
      </c>
      <c r="J121" s="11">
        <f t="shared" si="1770"/>
        <v>0</v>
      </c>
      <c r="K121" s="11">
        <f t="shared" si="1770"/>
        <v>0</v>
      </c>
      <c r="L121" s="11">
        <f t="shared" si="1770"/>
        <v>0</v>
      </c>
      <c r="M121" s="11">
        <f t="shared" si="1770"/>
        <v>0</v>
      </c>
      <c r="N121" s="11">
        <f t="shared" si="1770"/>
        <v>0</v>
      </c>
      <c r="O121" s="11">
        <f t="shared" si="1770"/>
        <v>0</v>
      </c>
      <c r="P121" s="11">
        <f t="shared" si="1770"/>
        <v>0</v>
      </c>
      <c r="Q121" s="11">
        <f t="shared" si="1770"/>
        <v>0</v>
      </c>
      <c r="R121" s="11">
        <f t="shared" si="1770"/>
        <v>0</v>
      </c>
      <c r="S121" s="11">
        <f t="shared" si="1770"/>
        <v>0</v>
      </c>
      <c r="T121" s="11">
        <f t="shared" si="1770"/>
        <v>0</v>
      </c>
      <c r="U121" s="11">
        <f t="shared" ref="U121" si="1771">U118-U117</f>
        <v>0</v>
      </c>
      <c r="V121" s="9">
        <f t="shared" si="1770"/>
        <v>0</v>
      </c>
      <c r="W121" s="11">
        <f t="shared" si="1770"/>
        <v>0</v>
      </c>
      <c r="X121" s="11">
        <f t="shared" si="1770"/>
        <v>0</v>
      </c>
      <c r="Y121" s="11">
        <f t="shared" si="1770"/>
        <v>0</v>
      </c>
      <c r="Z121" s="11">
        <f t="shared" si="1770"/>
        <v>0</v>
      </c>
      <c r="AA121" s="11">
        <f t="shared" si="1770"/>
        <v>0</v>
      </c>
      <c r="AB121" s="11">
        <f t="shared" ref="AB121" si="1772">AB118-AB117</f>
        <v>0</v>
      </c>
      <c r="AC121" s="10">
        <f t="shared" ref="AC121:AD121" si="1773">AC118-AC117</f>
        <v>0</v>
      </c>
      <c r="AD121" s="11">
        <f t="shared" si="1773"/>
        <v>144994</v>
      </c>
      <c r="AE121" s="11">
        <f t="shared" si="1770"/>
        <v>0</v>
      </c>
      <c r="AF121" s="11">
        <f t="shared" si="1770"/>
        <v>0</v>
      </c>
      <c r="AG121" s="11">
        <f t="shared" si="1770"/>
        <v>0</v>
      </c>
      <c r="AH121" s="11">
        <f t="shared" si="1770"/>
        <v>0</v>
      </c>
      <c r="AI121" s="11">
        <f t="shared" si="1770"/>
        <v>0</v>
      </c>
      <c r="AJ121" s="11">
        <f t="shared" si="1770"/>
        <v>0</v>
      </c>
      <c r="AK121" s="11">
        <f t="shared" si="1770"/>
        <v>0</v>
      </c>
      <c r="AL121" s="11">
        <f t="shared" si="1770"/>
        <v>0</v>
      </c>
      <c r="AM121" s="11">
        <f t="shared" si="1770"/>
        <v>0</v>
      </c>
      <c r="AN121" s="11">
        <f t="shared" si="1770"/>
        <v>0</v>
      </c>
      <c r="AO121" s="9">
        <f t="shared" si="1770"/>
        <v>0</v>
      </c>
      <c r="AP121" s="11">
        <f t="shared" si="1770"/>
        <v>0</v>
      </c>
      <c r="AQ121" s="10">
        <f t="shared" si="1770"/>
        <v>0</v>
      </c>
      <c r="AR121" s="11">
        <f t="shared" si="1770"/>
        <v>0</v>
      </c>
      <c r="AS121" s="11">
        <f t="shared" si="1770"/>
        <v>0</v>
      </c>
      <c r="AT121" s="11">
        <f t="shared" si="1770"/>
        <v>0</v>
      </c>
      <c r="AU121" s="11">
        <f t="shared" si="1770"/>
        <v>0</v>
      </c>
      <c r="AV121" s="11">
        <f t="shared" si="1770"/>
        <v>0</v>
      </c>
      <c r="AW121" s="11">
        <f t="shared" si="1770"/>
        <v>0</v>
      </c>
      <c r="AX121" s="11">
        <f t="shared" si="1770"/>
        <v>0</v>
      </c>
      <c r="AY121" s="11">
        <f t="shared" si="1770"/>
        <v>0</v>
      </c>
      <c r="AZ121" s="11">
        <f t="shared" si="1770"/>
        <v>0</v>
      </c>
      <c r="BA121" s="11">
        <f t="shared" si="1770"/>
        <v>0</v>
      </c>
      <c r="BB121" s="10">
        <f t="shared" si="1770"/>
        <v>0</v>
      </c>
      <c r="BC121" s="11">
        <f t="shared" si="1770"/>
        <v>0</v>
      </c>
      <c r="BD121" s="11">
        <f t="shared" si="1770"/>
        <v>0</v>
      </c>
      <c r="BE121" s="11">
        <f t="shared" si="1770"/>
        <v>0</v>
      </c>
      <c r="BF121" s="11">
        <f t="shared" si="1770"/>
        <v>0</v>
      </c>
      <c r="BG121" s="11">
        <f t="shared" si="1770"/>
        <v>316438</v>
      </c>
      <c r="BH121" s="9">
        <f t="shared" si="1770"/>
        <v>316438</v>
      </c>
      <c r="BI121" s="45">
        <f t="shared" si="1770"/>
        <v>461432</v>
      </c>
      <c r="BJ121" s="11">
        <f t="shared" si="1770"/>
        <v>310419</v>
      </c>
      <c r="BK121" s="51">
        <f t="shared" si="1770"/>
        <v>151013</v>
      </c>
      <c r="BM121" s="30">
        <f t="shared" si="1658"/>
        <v>6019</v>
      </c>
    </row>
    <row r="122" spans="1:69" ht="15.75" x14ac:dyDescent="0.25">
      <c r="A122" s="130"/>
      <c r="B122" s="5" t="s">
        <v>135</v>
      </c>
      <c r="C122" s="13" t="e">
        <f>C121/C117</f>
        <v>#DIV/0!</v>
      </c>
      <c r="D122" s="13" t="e">
        <f t="shared" ref="D122" si="1774">D121/D117</f>
        <v>#DIV/0!</v>
      </c>
      <c r="E122" s="13" t="e">
        <f t="shared" ref="E122" si="1775">E121/E117</f>
        <v>#DIV/0!</v>
      </c>
      <c r="F122" s="13" t="e">
        <f t="shared" ref="F122" si="1776">F121/F117</f>
        <v>#DIV/0!</v>
      </c>
      <c r="G122" s="13" t="e">
        <f t="shared" ref="G122" si="1777">G121/G117</f>
        <v>#DIV/0!</v>
      </c>
      <c r="H122" s="13">
        <f t="shared" ref="H122" si="1778">H121/H117</f>
        <v>0.20656740573369367</v>
      </c>
      <c r="I122" s="13" t="e">
        <f t="shared" ref="I122" si="1779">I121/I117</f>
        <v>#DIV/0!</v>
      </c>
      <c r="J122" s="13" t="e">
        <f t="shared" ref="J122" si="1780">J121/J117</f>
        <v>#DIV/0!</v>
      </c>
      <c r="K122" s="13" t="e">
        <f t="shared" ref="K122" si="1781">K121/K117</f>
        <v>#DIV/0!</v>
      </c>
      <c r="L122" s="13" t="e">
        <f t="shared" ref="L122" si="1782">L121/L117</f>
        <v>#DIV/0!</v>
      </c>
      <c r="M122" s="13" t="e">
        <f t="shared" ref="M122" si="1783">M121/M117</f>
        <v>#DIV/0!</v>
      </c>
      <c r="N122" s="13" t="e">
        <f t="shared" ref="N122" si="1784">N121/N117</f>
        <v>#DIV/0!</v>
      </c>
      <c r="O122" s="13" t="e">
        <f t="shared" ref="O122" si="1785">O121/O117</f>
        <v>#DIV/0!</v>
      </c>
      <c r="P122" s="13" t="e">
        <f t="shared" ref="P122" si="1786">P121/P117</f>
        <v>#DIV/0!</v>
      </c>
      <c r="Q122" s="13" t="e">
        <f t="shared" ref="Q122" si="1787">Q121/Q117</f>
        <v>#DIV/0!</v>
      </c>
      <c r="R122" s="13" t="e">
        <f t="shared" ref="R122" si="1788">R121/R117</f>
        <v>#DIV/0!</v>
      </c>
      <c r="S122" s="13" t="e">
        <f t="shared" ref="S122" si="1789">S121/S117</f>
        <v>#DIV/0!</v>
      </c>
      <c r="T122" s="13" t="e">
        <f t="shared" ref="T122:U122" si="1790">T121/T117</f>
        <v>#DIV/0!</v>
      </c>
      <c r="U122" s="13" t="e">
        <f t="shared" si="1790"/>
        <v>#DIV/0!</v>
      </c>
      <c r="V122" s="165" t="e">
        <f t="shared" ref="V122" si="1791">V121/V117</f>
        <v>#DIV/0!</v>
      </c>
      <c r="W122" s="13" t="e">
        <f t="shared" ref="W122" si="1792">W121/W117</f>
        <v>#DIV/0!</v>
      </c>
      <c r="X122" s="13" t="e">
        <f t="shared" ref="X122" si="1793">X121/X117</f>
        <v>#DIV/0!</v>
      </c>
      <c r="Y122" s="13" t="e">
        <f t="shared" ref="Y122" si="1794">Y121/Y117</f>
        <v>#DIV/0!</v>
      </c>
      <c r="Z122" s="13" t="e">
        <f t="shared" ref="Z122" si="1795">Z121/Z117</f>
        <v>#DIV/0!</v>
      </c>
      <c r="AA122" s="13" t="e">
        <f t="shared" ref="AA122:AD122" si="1796">AA121/AA117</f>
        <v>#DIV/0!</v>
      </c>
      <c r="AB122" s="13" t="e">
        <f t="shared" ref="AB122" si="1797">AB121/AB117</f>
        <v>#DIV/0!</v>
      </c>
      <c r="AC122" s="14" t="e">
        <f t="shared" si="1796"/>
        <v>#DIV/0!</v>
      </c>
      <c r="AD122" s="13">
        <f t="shared" si="1796"/>
        <v>0.20656740573369367</v>
      </c>
      <c r="AE122" s="13" t="e">
        <f t="shared" ref="AE122" si="1798">AE121/AE117</f>
        <v>#DIV/0!</v>
      </c>
      <c r="AF122" s="13" t="e">
        <f t="shared" ref="AF122" si="1799">AF121/AF117</f>
        <v>#DIV/0!</v>
      </c>
      <c r="AG122" s="13" t="e">
        <f t="shared" ref="AG122" si="1800">AG121/AG117</f>
        <v>#DIV/0!</v>
      </c>
      <c r="AH122" s="13" t="e">
        <f t="shared" ref="AH122" si="1801">AH121/AH117</f>
        <v>#DIV/0!</v>
      </c>
      <c r="AI122" s="13" t="e">
        <f t="shared" ref="AI122" si="1802">AI121/AI117</f>
        <v>#DIV/0!</v>
      </c>
      <c r="AJ122" s="13" t="e">
        <f t="shared" ref="AJ122" si="1803">AJ121/AJ117</f>
        <v>#DIV/0!</v>
      </c>
      <c r="AK122" s="13" t="e">
        <f t="shared" ref="AK122" si="1804">AK121/AK117</f>
        <v>#DIV/0!</v>
      </c>
      <c r="AL122" s="13" t="e">
        <f t="shared" ref="AL122" si="1805">AL121/AL117</f>
        <v>#DIV/0!</v>
      </c>
      <c r="AM122" s="13" t="e">
        <f t="shared" ref="AM122" si="1806">AM121/AM117</f>
        <v>#DIV/0!</v>
      </c>
      <c r="AN122" s="13" t="e">
        <f t="shared" ref="AN122" si="1807">AN121/AN117</f>
        <v>#DIV/0!</v>
      </c>
      <c r="AO122" s="165" t="e">
        <f t="shared" ref="AO122" si="1808">AO121/AO117</f>
        <v>#DIV/0!</v>
      </c>
      <c r="AP122" s="13" t="e">
        <f t="shared" ref="AP122" si="1809">AP121/AP117</f>
        <v>#DIV/0!</v>
      </c>
      <c r="AQ122" s="14" t="e">
        <f t="shared" ref="AQ122" si="1810">AQ121/AQ117</f>
        <v>#DIV/0!</v>
      </c>
      <c r="AR122" s="13" t="e">
        <f t="shared" ref="AR122" si="1811">AR121/AR117</f>
        <v>#DIV/0!</v>
      </c>
      <c r="AS122" s="13" t="e">
        <f t="shared" ref="AS122" si="1812">AS121/AS117</f>
        <v>#DIV/0!</v>
      </c>
      <c r="AT122" s="13" t="e">
        <f t="shared" ref="AT122" si="1813">AT121/AT117</f>
        <v>#DIV/0!</v>
      </c>
      <c r="AU122" s="13" t="e">
        <f t="shared" ref="AU122" si="1814">AU121/AU117</f>
        <v>#DIV/0!</v>
      </c>
      <c r="AV122" s="13" t="e">
        <f t="shared" ref="AV122" si="1815">AV121/AV117</f>
        <v>#DIV/0!</v>
      </c>
      <c r="AW122" s="13" t="e">
        <f t="shared" ref="AW122" si="1816">AW121/AW117</f>
        <v>#DIV/0!</v>
      </c>
      <c r="AX122" s="13" t="e">
        <f t="shared" ref="AX122" si="1817">AX121/AX117</f>
        <v>#DIV/0!</v>
      </c>
      <c r="AY122" s="13" t="e">
        <f t="shared" ref="AY122" si="1818">AY121/AY117</f>
        <v>#DIV/0!</v>
      </c>
      <c r="AZ122" s="13" t="e">
        <f t="shared" ref="AZ122" si="1819">AZ121/AZ117</f>
        <v>#DIV/0!</v>
      </c>
      <c r="BA122" s="13" t="e">
        <f t="shared" ref="BA122" si="1820">BA121/BA117</f>
        <v>#DIV/0!</v>
      </c>
      <c r="BB122" s="14" t="e">
        <f t="shared" ref="BB122" si="1821">BB121/BB117</f>
        <v>#DIV/0!</v>
      </c>
      <c r="BC122" s="13" t="e">
        <f t="shared" ref="BC122" si="1822">BC121/BC117</f>
        <v>#DIV/0!</v>
      </c>
      <c r="BD122" s="13" t="e">
        <f t="shared" ref="BD122" si="1823">BD121/BD117</f>
        <v>#DIV/0!</v>
      </c>
      <c r="BE122" s="13" t="e">
        <f t="shared" ref="BE122" si="1824">BE121/BE117</f>
        <v>#DIV/0!</v>
      </c>
      <c r="BF122" s="13" t="e">
        <f t="shared" ref="BF122" si="1825">BF121/BF117</f>
        <v>#DIV/0!</v>
      </c>
      <c r="BG122" s="13">
        <f t="shared" ref="BG122:BH122" si="1826">BG121/BG117</f>
        <v>1.6886957000638896E-2</v>
      </c>
      <c r="BH122" s="165">
        <f t="shared" si="1826"/>
        <v>1.6886957000638896E-2</v>
      </c>
      <c r="BI122" s="46">
        <f t="shared" ref="BI122" si="1827">BI121/BI117</f>
        <v>2.3735572984783074E-2</v>
      </c>
      <c r="BJ122" s="13">
        <f t="shared" ref="BJ122:BK122" si="1828">BJ121/BJ117</f>
        <v>1.6567324841284443E-2</v>
      </c>
      <c r="BK122" s="52">
        <f t="shared" si="1828"/>
        <v>0.21459733069586076</v>
      </c>
      <c r="BM122" s="14">
        <f t="shared" ref="BM122" si="1829">BM121/BM117</f>
        <v>3.3757711721817163</v>
      </c>
    </row>
    <row r="123" spans="1:69" ht="15.75" x14ac:dyDescent="0.25">
      <c r="A123" s="130"/>
      <c r="B123" s="5" t="s">
        <v>210</v>
      </c>
      <c r="C123" s="128" t="e">
        <f>C118/C115</f>
        <v>#DIV/0!</v>
      </c>
      <c r="D123" s="128" t="e">
        <f t="shared" ref="D123:BK123" si="1830">D118/D115</f>
        <v>#DIV/0!</v>
      </c>
      <c r="E123" s="128" t="e">
        <f t="shared" si="1830"/>
        <v>#DIV/0!</v>
      </c>
      <c r="F123" s="128" t="e">
        <f t="shared" si="1830"/>
        <v>#DIV/0!</v>
      </c>
      <c r="G123" s="128" t="e">
        <f t="shared" si="1830"/>
        <v>#DIV/0!</v>
      </c>
      <c r="H123" s="128">
        <f t="shared" si="1830"/>
        <v>0.29205687645719797</v>
      </c>
      <c r="I123" s="128" t="e">
        <f t="shared" si="1830"/>
        <v>#DIV/0!</v>
      </c>
      <c r="J123" s="128" t="e">
        <f t="shared" si="1830"/>
        <v>#DIV/0!</v>
      </c>
      <c r="K123" s="128" t="e">
        <f t="shared" si="1830"/>
        <v>#DIV/0!</v>
      </c>
      <c r="L123" s="128" t="e">
        <f t="shared" si="1830"/>
        <v>#DIV/0!</v>
      </c>
      <c r="M123" s="128" t="e">
        <f t="shared" si="1830"/>
        <v>#DIV/0!</v>
      </c>
      <c r="N123" s="128" t="e">
        <f t="shared" si="1830"/>
        <v>#DIV/0!</v>
      </c>
      <c r="O123" s="128" t="e">
        <f t="shared" si="1830"/>
        <v>#DIV/0!</v>
      </c>
      <c r="P123" s="128" t="e">
        <f t="shared" si="1830"/>
        <v>#DIV/0!</v>
      </c>
      <c r="Q123" s="128" t="e">
        <f t="shared" si="1830"/>
        <v>#DIV/0!</v>
      </c>
      <c r="R123" s="128" t="e">
        <f t="shared" si="1830"/>
        <v>#DIV/0!</v>
      </c>
      <c r="S123" s="128" t="e">
        <f t="shared" si="1830"/>
        <v>#DIV/0!</v>
      </c>
      <c r="T123" s="128" t="e">
        <f t="shared" si="1830"/>
        <v>#DIV/0!</v>
      </c>
      <c r="U123" s="128" t="e">
        <f t="shared" si="1830"/>
        <v>#DIV/0!</v>
      </c>
      <c r="V123" s="180" t="e">
        <f t="shared" si="1830"/>
        <v>#DIV/0!</v>
      </c>
      <c r="W123" s="128" t="e">
        <f t="shared" si="1830"/>
        <v>#DIV/0!</v>
      </c>
      <c r="X123" s="128" t="e">
        <f t="shared" si="1830"/>
        <v>#DIV/0!</v>
      </c>
      <c r="Y123" s="128" t="e">
        <f t="shared" si="1830"/>
        <v>#DIV/0!</v>
      </c>
      <c r="Z123" s="128" t="e">
        <f t="shared" si="1830"/>
        <v>#DIV/0!</v>
      </c>
      <c r="AA123" s="128" t="e">
        <f t="shared" si="1830"/>
        <v>#DIV/0!</v>
      </c>
      <c r="AB123" s="128" t="e">
        <f t="shared" ref="AB123" si="1831">AB118/AB115</f>
        <v>#DIV/0!</v>
      </c>
      <c r="AC123" s="222" t="e">
        <f t="shared" si="1830"/>
        <v>#DIV/0!</v>
      </c>
      <c r="AD123" s="128">
        <f t="shared" si="1830"/>
        <v>0.29205687645719797</v>
      </c>
      <c r="AE123" s="128" t="e">
        <f t="shared" si="1830"/>
        <v>#DIV/0!</v>
      </c>
      <c r="AF123" s="128" t="e">
        <f t="shared" si="1830"/>
        <v>#DIV/0!</v>
      </c>
      <c r="AG123" s="128" t="e">
        <f t="shared" si="1830"/>
        <v>#DIV/0!</v>
      </c>
      <c r="AH123" s="128" t="e">
        <f t="shared" si="1830"/>
        <v>#DIV/0!</v>
      </c>
      <c r="AI123" s="128" t="e">
        <f t="shared" si="1830"/>
        <v>#DIV/0!</v>
      </c>
      <c r="AJ123" s="128" t="e">
        <f t="shared" si="1830"/>
        <v>#DIV/0!</v>
      </c>
      <c r="AK123" s="128" t="e">
        <f t="shared" si="1830"/>
        <v>#DIV/0!</v>
      </c>
      <c r="AL123" s="128" t="e">
        <f t="shared" si="1830"/>
        <v>#DIV/0!</v>
      </c>
      <c r="AM123" s="128" t="e">
        <f t="shared" si="1830"/>
        <v>#DIV/0!</v>
      </c>
      <c r="AN123" s="128" t="e">
        <f t="shared" si="1830"/>
        <v>#DIV/0!</v>
      </c>
      <c r="AO123" s="180" t="e">
        <f t="shared" si="1830"/>
        <v>#DIV/0!</v>
      </c>
      <c r="AP123" s="128" t="e">
        <f t="shared" si="1830"/>
        <v>#DIV/0!</v>
      </c>
      <c r="AQ123" s="222" t="e">
        <f t="shared" si="1830"/>
        <v>#DIV/0!</v>
      </c>
      <c r="AR123" s="128" t="e">
        <f t="shared" si="1830"/>
        <v>#DIV/0!</v>
      </c>
      <c r="AS123" s="128" t="e">
        <f t="shared" si="1830"/>
        <v>#DIV/0!</v>
      </c>
      <c r="AT123" s="128" t="e">
        <f t="shared" si="1830"/>
        <v>#DIV/0!</v>
      </c>
      <c r="AU123" s="128" t="e">
        <f t="shared" si="1830"/>
        <v>#DIV/0!</v>
      </c>
      <c r="AV123" s="128" t="e">
        <f t="shared" si="1830"/>
        <v>#DIV/0!</v>
      </c>
      <c r="AW123" s="128" t="e">
        <f t="shared" si="1830"/>
        <v>#DIV/0!</v>
      </c>
      <c r="AX123" s="128" t="e">
        <f t="shared" si="1830"/>
        <v>#DIV/0!</v>
      </c>
      <c r="AY123" s="128" t="e">
        <f t="shared" si="1830"/>
        <v>#DIV/0!</v>
      </c>
      <c r="AZ123" s="128" t="e">
        <f t="shared" si="1830"/>
        <v>#DIV/0!</v>
      </c>
      <c r="BA123" s="128" t="e">
        <f t="shared" si="1830"/>
        <v>#DIV/0!</v>
      </c>
      <c r="BB123" s="222" t="e">
        <f t="shared" si="1830"/>
        <v>#DIV/0!</v>
      </c>
      <c r="BC123" s="128" t="e">
        <f t="shared" si="1830"/>
        <v>#DIV/0!</v>
      </c>
      <c r="BD123" s="128" t="e">
        <f t="shared" si="1830"/>
        <v>#DIV/0!</v>
      </c>
      <c r="BE123" s="128" t="e">
        <f t="shared" si="1830"/>
        <v>#DIV/0!</v>
      </c>
      <c r="BF123" s="128" t="e">
        <f t="shared" si="1830"/>
        <v>#DIV/0!</v>
      </c>
      <c r="BG123" s="128">
        <f t="shared" si="1830"/>
        <v>0.26358740267189751</v>
      </c>
      <c r="BH123" s="180">
        <f t="shared" si="1830"/>
        <v>0.26358740267189751</v>
      </c>
      <c r="BI123" s="128">
        <f t="shared" si="1830"/>
        <v>0.26468536127994041</v>
      </c>
      <c r="BJ123" s="128">
        <f t="shared" si="1830"/>
        <v>0.26365516382210041</v>
      </c>
      <c r="BK123" s="128">
        <f t="shared" si="1830"/>
        <v>0.28993113975576662</v>
      </c>
      <c r="BM123" s="128" t="e">
        <f t="shared" ref="BM123" si="1832">BM118/BM115</f>
        <v>#DIV/0!</v>
      </c>
    </row>
    <row r="124" spans="1:69" s="183" customFormat="1" ht="15.75" x14ac:dyDescent="0.25">
      <c r="A124" s="130"/>
      <c r="B124" s="5" t="s">
        <v>329</v>
      </c>
      <c r="C124" s="11">
        <f>C118-C115</f>
        <v>0</v>
      </c>
      <c r="D124" s="11">
        <f t="shared" ref="D124:BM124" si="1833">D118-D115</f>
        <v>0</v>
      </c>
      <c r="E124" s="11">
        <f t="shared" si="1833"/>
        <v>0</v>
      </c>
      <c r="F124" s="11">
        <f t="shared" si="1833"/>
        <v>0</v>
      </c>
      <c r="G124" s="11">
        <f t="shared" si="1833"/>
        <v>0</v>
      </c>
      <c r="H124" s="11">
        <f t="shared" si="1833"/>
        <v>-2052914</v>
      </c>
      <c r="I124" s="11">
        <f t="shared" si="1833"/>
        <v>0</v>
      </c>
      <c r="J124" s="11">
        <f t="shared" si="1833"/>
        <v>0</v>
      </c>
      <c r="K124" s="11">
        <f t="shared" si="1833"/>
        <v>0</v>
      </c>
      <c r="L124" s="11">
        <f t="shared" si="1833"/>
        <v>0</v>
      </c>
      <c r="M124" s="11">
        <f t="shared" si="1833"/>
        <v>0</v>
      </c>
      <c r="N124" s="11">
        <f t="shared" si="1833"/>
        <v>0</v>
      </c>
      <c r="O124" s="11">
        <f t="shared" si="1833"/>
        <v>0</v>
      </c>
      <c r="P124" s="11">
        <f t="shared" si="1833"/>
        <v>0</v>
      </c>
      <c r="Q124" s="11">
        <f t="shared" si="1833"/>
        <v>0</v>
      </c>
      <c r="R124" s="11">
        <f t="shared" si="1833"/>
        <v>0</v>
      </c>
      <c r="S124" s="11">
        <f t="shared" si="1833"/>
        <v>0</v>
      </c>
      <c r="T124" s="11">
        <f t="shared" si="1833"/>
        <v>0</v>
      </c>
      <c r="U124" s="11">
        <f t="shared" si="1833"/>
        <v>0</v>
      </c>
      <c r="V124" s="9">
        <f t="shared" si="1833"/>
        <v>0</v>
      </c>
      <c r="W124" s="11">
        <f t="shared" si="1833"/>
        <v>0</v>
      </c>
      <c r="X124" s="11">
        <f t="shared" si="1833"/>
        <v>0</v>
      </c>
      <c r="Y124" s="11">
        <f t="shared" si="1833"/>
        <v>0</v>
      </c>
      <c r="Z124" s="11">
        <f t="shared" si="1833"/>
        <v>0</v>
      </c>
      <c r="AA124" s="11">
        <f t="shared" si="1833"/>
        <v>0</v>
      </c>
      <c r="AB124" s="11">
        <f t="shared" ref="AB124" si="1834">AB118-AB115</f>
        <v>0</v>
      </c>
      <c r="AC124" s="10">
        <f t="shared" si="1833"/>
        <v>0</v>
      </c>
      <c r="AD124" s="11">
        <f t="shared" si="1833"/>
        <v>-2052914</v>
      </c>
      <c r="AE124" s="11">
        <f t="shared" si="1833"/>
        <v>0</v>
      </c>
      <c r="AF124" s="11">
        <f t="shared" si="1833"/>
        <v>0</v>
      </c>
      <c r="AG124" s="11">
        <f t="shared" si="1833"/>
        <v>0</v>
      </c>
      <c r="AH124" s="11">
        <f t="shared" si="1833"/>
        <v>0</v>
      </c>
      <c r="AI124" s="11">
        <f t="shared" si="1833"/>
        <v>0</v>
      </c>
      <c r="AJ124" s="11">
        <f t="shared" si="1833"/>
        <v>0</v>
      </c>
      <c r="AK124" s="11">
        <f t="shared" si="1833"/>
        <v>0</v>
      </c>
      <c r="AL124" s="11">
        <f t="shared" si="1833"/>
        <v>0</v>
      </c>
      <c r="AM124" s="11">
        <f t="shared" si="1833"/>
        <v>0</v>
      </c>
      <c r="AN124" s="11">
        <f t="shared" si="1833"/>
        <v>0</v>
      </c>
      <c r="AO124" s="9">
        <f t="shared" si="1833"/>
        <v>0</v>
      </c>
      <c r="AP124" s="11">
        <f t="shared" si="1833"/>
        <v>0</v>
      </c>
      <c r="AQ124" s="10">
        <f t="shared" si="1833"/>
        <v>0</v>
      </c>
      <c r="AR124" s="11">
        <f t="shared" si="1833"/>
        <v>0</v>
      </c>
      <c r="AS124" s="11">
        <f t="shared" si="1833"/>
        <v>0</v>
      </c>
      <c r="AT124" s="11">
        <f t="shared" si="1833"/>
        <v>0</v>
      </c>
      <c r="AU124" s="11">
        <f t="shared" si="1833"/>
        <v>0</v>
      </c>
      <c r="AV124" s="11">
        <f t="shared" si="1833"/>
        <v>0</v>
      </c>
      <c r="AW124" s="11">
        <f t="shared" si="1833"/>
        <v>0</v>
      </c>
      <c r="AX124" s="11">
        <f t="shared" si="1833"/>
        <v>0</v>
      </c>
      <c r="AY124" s="11">
        <f t="shared" si="1833"/>
        <v>0</v>
      </c>
      <c r="AZ124" s="11">
        <f t="shared" si="1833"/>
        <v>0</v>
      </c>
      <c r="BA124" s="11">
        <f t="shared" si="1833"/>
        <v>0</v>
      </c>
      <c r="BB124" s="10">
        <f t="shared" si="1833"/>
        <v>0</v>
      </c>
      <c r="BC124" s="11">
        <f t="shared" si="1833"/>
        <v>0</v>
      </c>
      <c r="BD124" s="11">
        <f t="shared" si="1833"/>
        <v>0</v>
      </c>
      <c r="BE124" s="11">
        <f t="shared" si="1833"/>
        <v>0</v>
      </c>
      <c r="BF124" s="11">
        <f t="shared" si="1833"/>
        <v>0</v>
      </c>
      <c r="BG124" s="11">
        <f t="shared" si="1833"/>
        <v>-53236129</v>
      </c>
      <c r="BH124" s="11">
        <f t="shared" si="1833"/>
        <v>-53236129</v>
      </c>
      <c r="BI124" s="11">
        <f t="shared" si="1833"/>
        <v>-55289043</v>
      </c>
      <c r="BJ124" s="11">
        <f t="shared" si="1833"/>
        <v>-53195760</v>
      </c>
      <c r="BK124" s="11">
        <f t="shared" si="1833"/>
        <v>-2093283</v>
      </c>
      <c r="BL124" s="11">
        <f t="shared" si="1833"/>
        <v>854706</v>
      </c>
      <c r="BM124" s="11">
        <f t="shared" si="1833"/>
        <v>7802</v>
      </c>
    </row>
    <row r="125" spans="1:69" ht="15.75" x14ac:dyDescent="0.2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6"/>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44"/>
      <c r="BJ125" s="5"/>
      <c r="BK125" s="50"/>
    </row>
    <row r="126" spans="1:69" ht="15.75" x14ac:dyDescent="0.25">
      <c r="A126" s="130" t="s">
        <v>130</v>
      </c>
      <c r="B126" s="11" t="s">
        <v>298</v>
      </c>
      <c r="C126" s="5">
        <f t="shared" ref="C126:AC126" si="1835">C5+C16+C27+C38+C49+C60+C71+C82+C93+C104+C115</f>
        <v>25094501</v>
      </c>
      <c r="D126" s="5">
        <f t="shared" si="1835"/>
        <v>4519818</v>
      </c>
      <c r="E126" s="5">
        <f t="shared" si="1835"/>
        <v>991281</v>
      </c>
      <c r="F126" s="5">
        <f t="shared" si="1835"/>
        <v>2860481</v>
      </c>
      <c r="G126" s="5">
        <f t="shared" si="1835"/>
        <v>1482068</v>
      </c>
      <c r="H126" s="5">
        <f t="shared" si="1835"/>
        <v>2899829</v>
      </c>
      <c r="I126" s="5">
        <f t="shared" si="1835"/>
        <v>0</v>
      </c>
      <c r="J126" s="5">
        <f t="shared" si="1835"/>
        <v>1982650</v>
      </c>
      <c r="K126" s="5">
        <f t="shared" si="1835"/>
        <v>117456</v>
      </c>
      <c r="L126" s="5">
        <f t="shared" si="1835"/>
        <v>529809</v>
      </c>
      <c r="M126" s="5">
        <f t="shared" si="1835"/>
        <v>1499479</v>
      </c>
      <c r="N126" s="5">
        <f t="shared" si="1835"/>
        <v>26092</v>
      </c>
      <c r="O126" s="5">
        <f t="shared" si="1835"/>
        <v>93065</v>
      </c>
      <c r="P126" s="5">
        <f t="shared" si="1835"/>
        <v>922915</v>
      </c>
      <c r="Q126" s="5">
        <f t="shared" si="1835"/>
        <v>0</v>
      </c>
      <c r="R126" s="5">
        <f t="shared" si="1835"/>
        <v>80835</v>
      </c>
      <c r="S126" s="5">
        <f t="shared" si="1835"/>
        <v>890316</v>
      </c>
      <c r="T126" s="5">
        <f t="shared" si="1835"/>
        <v>831482</v>
      </c>
      <c r="U126" s="5">
        <f t="shared" si="1835"/>
        <v>0</v>
      </c>
      <c r="V126" s="16">
        <f t="shared" si="1835"/>
        <v>344986</v>
      </c>
      <c r="W126" s="5">
        <f t="shared" si="1835"/>
        <v>1004</v>
      </c>
      <c r="X126" s="5">
        <f t="shared" si="1835"/>
        <v>406</v>
      </c>
      <c r="Y126" s="5">
        <f t="shared" si="1835"/>
        <v>26497</v>
      </c>
      <c r="Z126" s="5">
        <f t="shared" si="1835"/>
        <v>3049</v>
      </c>
      <c r="AA126" s="5">
        <f t="shared" si="1835"/>
        <v>7424</v>
      </c>
      <c r="AB126" s="5">
        <f t="shared" si="1835"/>
        <v>45460</v>
      </c>
      <c r="AC126" s="6">
        <f t="shared" si="1835"/>
        <v>1331801</v>
      </c>
      <c r="AD126" s="123">
        <f t="shared" ref="AD126:AD129" si="1836">SUM(C126:AC126)</f>
        <v>46582704</v>
      </c>
      <c r="AE126" s="5">
        <f t="shared" ref="AE126:BH126" si="1837">AE5+AE16+AE27+AE38+AE49+AE60+AE71+AE82+AE93+AE104+AE115</f>
        <v>56229</v>
      </c>
      <c r="AF126" s="5">
        <f t="shared" si="1837"/>
        <v>39351</v>
      </c>
      <c r="AG126" s="5">
        <f t="shared" si="1837"/>
        <v>71546</v>
      </c>
      <c r="AH126" s="5">
        <f t="shared" si="1837"/>
        <v>0</v>
      </c>
      <c r="AI126" s="5">
        <f t="shared" si="1837"/>
        <v>0</v>
      </c>
      <c r="AJ126" s="5">
        <f t="shared" si="1837"/>
        <v>22250</v>
      </c>
      <c r="AK126" s="5">
        <f t="shared" si="1837"/>
        <v>1360731</v>
      </c>
      <c r="AL126" s="5">
        <f t="shared" si="1837"/>
        <v>1095813</v>
      </c>
      <c r="AM126" s="5">
        <f t="shared" si="1837"/>
        <v>7695054</v>
      </c>
      <c r="AN126" s="5">
        <f t="shared" si="1837"/>
        <v>131472</v>
      </c>
      <c r="AO126" s="16">
        <f t="shared" si="1837"/>
        <v>3045430</v>
      </c>
      <c r="AP126" s="5">
        <f t="shared" si="1837"/>
        <v>15785368</v>
      </c>
      <c r="AQ126" s="6">
        <f t="shared" si="1837"/>
        <v>145980</v>
      </c>
      <c r="AR126" s="5">
        <f t="shared" si="1837"/>
        <v>789456</v>
      </c>
      <c r="AS126" s="5">
        <f t="shared" si="1837"/>
        <v>0</v>
      </c>
      <c r="AT126" s="5">
        <f t="shared" si="1837"/>
        <v>0</v>
      </c>
      <c r="AU126" s="5">
        <f t="shared" si="1837"/>
        <v>348261</v>
      </c>
      <c r="AV126" s="5">
        <f t="shared" si="1837"/>
        <v>0</v>
      </c>
      <c r="AW126" s="5">
        <f t="shared" si="1837"/>
        <v>26546</v>
      </c>
      <c r="AX126" s="5">
        <f t="shared" si="1837"/>
        <v>18138</v>
      </c>
      <c r="AY126" s="5">
        <f t="shared" si="1837"/>
        <v>7897</v>
      </c>
      <c r="AZ126" s="5">
        <f t="shared" si="1837"/>
        <v>317324</v>
      </c>
      <c r="BA126" s="5">
        <f t="shared" si="1837"/>
        <v>541110</v>
      </c>
      <c r="BB126" s="6">
        <f t="shared" si="1837"/>
        <v>761999</v>
      </c>
      <c r="BC126" s="5">
        <f t="shared" si="1837"/>
        <v>148811</v>
      </c>
      <c r="BD126" s="5">
        <f t="shared" si="1837"/>
        <v>148813</v>
      </c>
      <c r="BE126" s="5">
        <f t="shared" si="1837"/>
        <v>259</v>
      </c>
      <c r="BF126" s="5">
        <f t="shared" si="1837"/>
        <v>129563</v>
      </c>
      <c r="BG126" s="11">
        <f t="shared" si="1837"/>
        <v>73562050</v>
      </c>
      <c r="BH126" s="16">
        <f t="shared" si="1837"/>
        <v>106249451</v>
      </c>
      <c r="BI126" s="125">
        <f>AD126+BH126</f>
        <v>152832155</v>
      </c>
      <c r="BJ126" s="5">
        <f t="shared" ref="BJ126:BK129" si="1838">BJ5+BJ16+BJ27+BJ38+BJ49+BJ60+BJ71+BJ82+BJ93+BJ104+BJ115</f>
        <v>73162155</v>
      </c>
      <c r="BK126" s="51">
        <f t="shared" si="1838"/>
        <v>79670000</v>
      </c>
      <c r="BM126" s="30">
        <f>BK126-AD126</f>
        <v>33087296</v>
      </c>
    </row>
    <row r="127" spans="1:69" ht="15.75" x14ac:dyDescent="0.25">
      <c r="A127" s="130"/>
      <c r="B127" s="196" t="s">
        <v>326</v>
      </c>
      <c r="C127" s="11">
        <f t="shared" ref="C127:AC127" si="1839">C6+C17+C28+C39+C50+C61+C72+C83+C94+C105+C116</f>
        <v>6524568</v>
      </c>
      <c r="D127" s="11">
        <f t="shared" si="1839"/>
        <v>1175147</v>
      </c>
      <c r="E127" s="11">
        <f t="shared" si="1839"/>
        <v>-1</v>
      </c>
      <c r="F127" s="11">
        <f t="shared" si="1839"/>
        <v>743702</v>
      </c>
      <c r="G127" s="11">
        <f t="shared" si="1839"/>
        <v>385329</v>
      </c>
      <c r="H127" s="11">
        <f t="shared" si="1839"/>
        <v>753955</v>
      </c>
      <c r="I127" s="11">
        <f t="shared" si="1839"/>
        <v>0</v>
      </c>
      <c r="J127" s="11">
        <f t="shared" si="1839"/>
        <v>515492</v>
      </c>
      <c r="K127" s="11">
        <f t="shared" si="1839"/>
        <v>30539.08</v>
      </c>
      <c r="L127" s="11">
        <f t="shared" si="1839"/>
        <v>137756</v>
      </c>
      <c r="M127" s="11">
        <f t="shared" si="1839"/>
        <v>389865</v>
      </c>
      <c r="N127" s="11">
        <f t="shared" si="1839"/>
        <v>6787</v>
      </c>
      <c r="O127" s="11">
        <f t="shared" si="1839"/>
        <v>24192</v>
      </c>
      <c r="P127" s="11">
        <f t="shared" si="1839"/>
        <v>239963</v>
      </c>
      <c r="Q127" s="11">
        <f t="shared" si="1839"/>
        <v>0</v>
      </c>
      <c r="R127" s="11">
        <f t="shared" si="1839"/>
        <v>21016</v>
      </c>
      <c r="S127" s="11">
        <f t="shared" si="1839"/>
        <v>534189</v>
      </c>
      <c r="T127" s="11">
        <f t="shared" si="1839"/>
        <v>216186</v>
      </c>
      <c r="U127" s="11">
        <f t="shared" si="1839"/>
        <v>0</v>
      </c>
      <c r="V127" s="9">
        <f t="shared" si="1839"/>
        <v>89687</v>
      </c>
      <c r="W127" s="11">
        <f t="shared" si="1839"/>
        <v>261</v>
      </c>
      <c r="X127" s="11">
        <f t="shared" si="1839"/>
        <v>105</v>
      </c>
      <c r="Y127" s="11">
        <f t="shared" si="1839"/>
        <v>6895</v>
      </c>
      <c r="Z127" s="11">
        <f t="shared" si="1839"/>
        <v>794</v>
      </c>
      <c r="AA127" s="11">
        <f t="shared" si="1839"/>
        <v>1953</v>
      </c>
      <c r="AB127" s="11">
        <f t="shared" si="1839"/>
        <v>11891</v>
      </c>
      <c r="AC127" s="10">
        <f t="shared" si="1839"/>
        <v>346267</v>
      </c>
      <c r="AD127" s="123">
        <f t="shared" si="1836"/>
        <v>12156538.08</v>
      </c>
      <c r="AE127" s="5">
        <f t="shared" ref="AE127:BH127" si="1840">AE6+AE17+AE28+AE39+AE50+AE61+AE72+AE83+AE94+AE105+AE116</f>
        <v>14621</v>
      </c>
      <c r="AF127" s="5">
        <f t="shared" si="1840"/>
        <v>10226</v>
      </c>
      <c r="AG127" s="5">
        <f t="shared" si="1840"/>
        <v>18979</v>
      </c>
      <c r="AH127" s="5">
        <f t="shared" si="1840"/>
        <v>0</v>
      </c>
      <c r="AI127" s="5">
        <f t="shared" si="1840"/>
        <v>0</v>
      </c>
      <c r="AJ127" s="5">
        <f t="shared" si="1840"/>
        <v>5782</v>
      </c>
      <c r="AK127" s="5">
        <f t="shared" si="1840"/>
        <v>353791</v>
      </c>
      <c r="AL127" s="5">
        <f t="shared" si="1840"/>
        <v>284914</v>
      </c>
      <c r="AM127" s="5" t="e">
        <f t="shared" si="1840"/>
        <v>#VALUE!</v>
      </c>
      <c r="AN127" s="5">
        <f t="shared" si="1840"/>
        <v>34182</v>
      </c>
      <c r="AO127" s="16">
        <f t="shared" si="1840"/>
        <v>791815</v>
      </c>
      <c r="AP127" s="5">
        <f t="shared" si="1840"/>
        <v>5727794.3600000003</v>
      </c>
      <c r="AQ127" s="6">
        <f t="shared" si="1840"/>
        <v>37956</v>
      </c>
      <c r="AR127" s="5">
        <f t="shared" si="1840"/>
        <v>205258</v>
      </c>
      <c r="AS127" s="5">
        <f t="shared" si="1840"/>
        <v>0</v>
      </c>
      <c r="AT127" s="5">
        <f t="shared" si="1840"/>
        <v>0</v>
      </c>
      <c r="AU127" s="5">
        <f t="shared" si="1840"/>
        <v>90548</v>
      </c>
      <c r="AV127" s="5">
        <f t="shared" si="1840"/>
        <v>0</v>
      </c>
      <c r="AW127" s="5">
        <f t="shared" si="1840"/>
        <v>6900</v>
      </c>
      <c r="AX127" s="5">
        <f t="shared" si="1840"/>
        <v>4715</v>
      </c>
      <c r="AY127" s="5">
        <f t="shared" si="1840"/>
        <v>2054</v>
      </c>
      <c r="AZ127" s="11">
        <f t="shared" si="1840"/>
        <v>82504</v>
      </c>
      <c r="BA127" s="5">
        <f t="shared" si="1840"/>
        <v>140689</v>
      </c>
      <c r="BB127" s="6">
        <f t="shared" si="1840"/>
        <v>198121</v>
      </c>
      <c r="BC127" s="5">
        <f t="shared" si="1840"/>
        <v>38692</v>
      </c>
      <c r="BD127" s="5">
        <f t="shared" si="1840"/>
        <v>38663</v>
      </c>
      <c r="BE127" s="5">
        <f t="shared" si="1840"/>
        <v>66</v>
      </c>
      <c r="BF127" s="5">
        <f t="shared" si="1840"/>
        <v>33695</v>
      </c>
      <c r="BG127" s="11">
        <f t="shared" si="1840"/>
        <v>350480</v>
      </c>
      <c r="BH127" s="9">
        <f t="shared" si="1840"/>
        <v>10473162.359999999</v>
      </c>
      <c r="BI127" s="125">
        <f>AD127+BH127</f>
        <v>22629700.439999998</v>
      </c>
      <c r="BJ127" s="11">
        <f t="shared" si="1838"/>
        <v>224527</v>
      </c>
      <c r="BK127" s="51">
        <f t="shared" si="1838"/>
        <v>22405173.439999998</v>
      </c>
      <c r="BM127" s="30">
        <f t="shared" ref="BM127:BM132" si="1841">BK127-AD127</f>
        <v>10248635.359999998</v>
      </c>
    </row>
    <row r="128" spans="1:69" ht="15.75" x14ac:dyDescent="0.25">
      <c r="B128" s="12" t="s">
        <v>324</v>
      </c>
      <c r="C128" s="5">
        <f t="shared" ref="C128:AC128" si="1842">C7+C18+C29+C40+C51+C62+C73+C84+C95+C106+C117</f>
        <v>6281307</v>
      </c>
      <c r="D128" s="5">
        <f t="shared" si="1842"/>
        <v>1098541</v>
      </c>
      <c r="E128" s="5">
        <f t="shared" si="1842"/>
        <v>3904</v>
      </c>
      <c r="F128" s="5">
        <f t="shared" si="1842"/>
        <v>649625</v>
      </c>
      <c r="G128" s="5">
        <f t="shared" si="1842"/>
        <v>336560</v>
      </c>
      <c r="H128" s="5">
        <f t="shared" si="1842"/>
        <v>701921</v>
      </c>
      <c r="I128" s="5">
        <f t="shared" si="1842"/>
        <v>0</v>
      </c>
      <c r="J128" s="5">
        <f t="shared" si="1842"/>
        <v>472373</v>
      </c>
      <c r="K128" s="5">
        <f t="shared" si="1842"/>
        <v>17232</v>
      </c>
      <c r="L128" s="5">
        <f t="shared" si="1842"/>
        <v>160162</v>
      </c>
      <c r="M128" s="5">
        <f t="shared" si="1842"/>
        <v>256480</v>
      </c>
      <c r="N128" s="5">
        <f t="shared" si="1842"/>
        <v>4010</v>
      </c>
      <c r="O128" s="5">
        <f t="shared" si="1842"/>
        <v>13091</v>
      </c>
      <c r="P128" s="5">
        <f t="shared" si="1842"/>
        <v>272536</v>
      </c>
      <c r="Q128" s="5">
        <f t="shared" si="1842"/>
        <v>0</v>
      </c>
      <c r="R128" s="5">
        <f t="shared" si="1842"/>
        <v>6031</v>
      </c>
      <c r="S128" s="5">
        <f t="shared" si="1842"/>
        <v>214447</v>
      </c>
      <c r="T128" s="5">
        <f t="shared" si="1842"/>
        <v>217415</v>
      </c>
      <c r="U128" s="5">
        <f t="shared" si="1842"/>
        <v>523</v>
      </c>
      <c r="V128" s="16">
        <f t="shared" si="1842"/>
        <v>130601</v>
      </c>
      <c r="W128" s="5">
        <f t="shared" si="1842"/>
        <v>323</v>
      </c>
      <c r="X128" s="5">
        <f t="shared" si="1842"/>
        <v>0</v>
      </c>
      <c r="Y128" s="5">
        <f t="shared" si="1842"/>
        <v>15935</v>
      </c>
      <c r="Z128" s="5">
        <f t="shared" si="1842"/>
        <v>2192</v>
      </c>
      <c r="AA128" s="5">
        <f t="shared" si="1842"/>
        <v>1285</v>
      </c>
      <c r="AB128" s="5">
        <f t="shared" si="1842"/>
        <v>0</v>
      </c>
      <c r="AC128" s="6">
        <f t="shared" si="1842"/>
        <v>204758</v>
      </c>
      <c r="AD128" s="123">
        <f t="shared" si="1836"/>
        <v>11061252</v>
      </c>
      <c r="AE128" s="5">
        <f t="shared" ref="AE128:BH128" si="1843">AE7+AE18+AE29+AE40+AE51+AE62+AE73+AE84+AE95+AE106+AE117</f>
        <v>11556</v>
      </c>
      <c r="AF128" s="5">
        <f t="shared" si="1843"/>
        <v>24985</v>
      </c>
      <c r="AG128" s="5">
        <f t="shared" si="1843"/>
        <v>71632</v>
      </c>
      <c r="AH128" s="5">
        <f t="shared" si="1843"/>
        <v>18</v>
      </c>
      <c r="AI128" s="5">
        <f t="shared" si="1843"/>
        <v>0</v>
      </c>
      <c r="AJ128" s="5">
        <f t="shared" si="1843"/>
        <v>7889</v>
      </c>
      <c r="AK128" s="5">
        <f t="shared" si="1843"/>
        <v>143533</v>
      </c>
      <c r="AL128" s="5">
        <f t="shared" si="1843"/>
        <v>303576</v>
      </c>
      <c r="AM128" s="5">
        <f t="shared" si="1843"/>
        <v>1723429</v>
      </c>
      <c r="AN128" s="5">
        <f t="shared" si="1843"/>
        <v>84082</v>
      </c>
      <c r="AO128" s="16">
        <f t="shared" si="1843"/>
        <v>957745</v>
      </c>
      <c r="AP128" s="5">
        <f t="shared" si="1843"/>
        <v>4808012</v>
      </c>
      <c r="AQ128" s="6">
        <f t="shared" si="1843"/>
        <v>32411</v>
      </c>
      <c r="AR128" s="5">
        <f t="shared" si="1843"/>
        <v>282367</v>
      </c>
      <c r="AS128" s="5">
        <f t="shared" si="1843"/>
        <v>0</v>
      </c>
      <c r="AT128" s="5">
        <f t="shared" si="1843"/>
        <v>0</v>
      </c>
      <c r="AU128" s="5">
        <f t="shared" si="1843"/>
        <v>113997</v>
      </c>
      <c r="AV128" s="5">
        <f t="shared" si="1843"/>
        <v>0</v>
      </c>
      <c r="AW128" s="5">
        <f t="shared" si="1843"/>
        <v>4462</v>
      </c>
      <c r="AX128" s="5">
        <f t="shared" si="1843"/>
        <v>3886</v>
      </c>
      <c r="AY128" s="5">
        <f t="shared" si="1843"/>
        <v>1158</v>
      </c>
      <c r="AZ128" s="5">
        <f t="shared" si="1843"/>
        <v>69777</v>
      </c>
      <c r="BA128" s="5">
        <f t="shared" si="1843"/>
        <v>206995</v>
      </c>
      <c r="BB128" s="6">
        <f t="shared" si="1843"/>
        <v>150084</v>
      </c>
      <c r="BC128" s="5">
        <f t="shared" si="1843"/>
        <v>45455</v>
      </c>
      <c r="BD128" s="5">
        <f t="shared" si="1843"/>
        <v>43977</v>
      </c>
      <c r="BE128" s="5">
        <f t="shared" si="1843"/>
        <v>0</v>
      </c>
      <c r="BF128" s="5">
        <f t="shared" si="1843"/>
        <v>48687</v>
      </c>
      <c r="BG128" s="11">
        <f t="shared" si="1843"/>
        <v>18896256</v>
      </c>
      <c r="BH128" s="9">
        <f t="shared" si="1843"/>
        <v>28035969</v>
      </c>
      <c r="BI128" s="127">
        <f>AD128+BH128</f>
        <v>39097221</v>
      </c>
      <c r="BJ128" s="5">
        <f t="shared" si="1838"/>
        <v>18802256</v>
      </c>
      <c r="BK128" s="51">
        <f t="shared" si="1838"/>
        <v>20294965</v>
      </c>
      <c r="BL128" s="30">
        <f>'Upto Month COPPY'!N61-'Upto Month COPPY'!M61</f>
        <v>20294958</v>
      </c>
      <c r="BM128" s="30">
        <f t="shared" si="1841"/>
        <v>9233713</v>
      </c>
    </row>
    <row r="129" spans="1:65" ht="15.75" x14ac:dyDescent="0.25">
      <c r="A129" s="130"/>
      <c r="B129" s="185" t="s">
        <v>325</v>
      </c>
      <c r="C129" s="5">
        <f t="shared" ref="C129:AC129" si="1844">C8+C19+C30+C41+C52+C63+C74+C85+C96+C107+C118</f>
        <v>6439102</v>
      </c>
      <c r="D129" s="5">
        <f t="shared" si="1844"/>
        <v>1138881</v>
      </c>
      <c r="E129" s="5">
        <f t="shared" si="1844"/>
        <v>2287</v>
      </c>
      <c r="F129" s="5">
        <f t="shared" si="1844"/>
        <v>685426</v>
      </c>
      <c r="G129" s="5">
        <f t="shared" si="1844"/>
        <v>345852</v>
      </c>
      <c r="H129" s="5">
        <f t="shared" si="1844"/>
        <v>846915</v>
      </c>
      <c r="I129" s="5">
        <f t="shared" si="1844"/>
        <v>0</v>
      </c>
      <c r="J129" s="5">
        <f t="shared" si="1844"/>
        <v>534155</v>
      </c>
      <c r="K129" s="5">
        <f t="shared" si="1844"/>
        <v>4286</v>
      </c>
      <c r="L129" s="5">
        <f t="shared" si="1844"/>
        <v>95132</v>
      </c>
      <c r="M129" s="5">
        <f t="shared" si="1844"/>
        <v>294187</v>
      </c>
      <c r="N129" s="5">
        <f t="shared" si="1844"/>
        <v>3736</v>
      </c>
      <c r="O129" s="5">
        <f t="shared" si="1844"/>
        <v>13788</v>
      </c>
      <c r="P129" s="5">
        <f t="shared" si="1844"/>
        <v>338097</v>
      </c>
      <c r="Q129" s="5">
        <f t="shared" si="1844"/>
        <v>0</v>
      </c>
      <c r="R129" s="5">
        <f t="shared" si="1844"/>
        <v>11315</v>
      </c>
      <c r="S129" s="5">
        <f t="shared" si="1844"/>
        <v>387757</v>
      </c>
      <c r="T129" s="5">
        <f t="shared" si="1844"/>
        <v>266402</v>
      </c>
      <c r="U129" s="5">
        <f t="shared" si="1844"/>
        <v>0</v>
      </c>
      <c r="V129" s="16">
        <f t="shared" si="1844"/>
        <v>83063</v>
      </c>
      <c r="W129" s="5">
        <f t="shared" si="1844"/>
        <v>0</v>
      </c>
      <c r="X129" s="5">
        <f t="shared" si="1844"/>
        <v>0</v>
      </c>
      <c r="Y129" s="5">
        <f t="shared" si="1844"/>
        <v>34431</v>
      </c>
      <c r="Z129" s="5">
        <f t="shared" si="1844"/>
        <v>3647</v>
      </c>
      <c r="AA129" s="5">
        <f t="shared" si="1844"/>
        <v>5166</v>
      </c>
      <c r="AB129" s="5">
        <f t="shared" si="1844"/>
        <v>1586</v>
      </c>
      <c r="AC129" s="6">
        <f t="shared" si="1844"/>
        <v>361059</v>
      </c>
      <c r="AD129" s="123">
        <f t="shared" si="1836"/>
        <v>11896270</v>
      </c>
      <c r="AE129" s="5">
        <f t="shared" ref="AE129:BH129" si="1845">AE8+AE19+AE30+AE41+AE52+AE63+AE74+AE85+AE96+AE107+AE118</f>
        <v>9154</v>
      </c>
      <c r="AF129" s="5">
        <f t="shared" si="1845"/>
        <v>7247</v>
      </c>
      <c r="AG129" s="5">
        <f t="shared" si="1845"/>
        <v>60042</v>
      </c>
      <c r="AH129" s="5">
        <f t="shared" si="1845"/>
        <v>0</v>
      </c>
      <c r="AI129" s="5">
        <f t="shared" si="1845"/>
        <v>0</v>
      </c>
      <c r="AJ129" s="5">
        <f t="shared" si="1845"/>
        <v>4211</v>
      </c>
      <c r="AK129" s="5">
        <f t="shared" si="1845"/>
        <v>1045248</v>
      </c>
      <c r="AL129" s="5">
        <f t="shared" si="1845"/>
        <v>178566</v>
      </c>
      <c r="AM129" s="5">
        <f t="shared" si="1845"/>
        <v>2376750</v>
      </c>
      <c r="AN129" s="5">
        <f t="shared" si="1845"/>
        <v>56663</v>
      </c>
      <c r="AO129" s="16">
        <f t="shared" si="1845"/>
        <v>796902</v>
      </c>
      <c r="AP129" s="5">
        <f t="shared" si="1845"/>
        <v>5304822</v>
      </c>
      <c r="AQ129" s="6">
        <f t="shared" si="1845"/>
        <v>75553</v>
      </c>
      <c r="AR129" s="5">
        <f t="shared" si="1845"/>
        <v>623631</v>
      </c>
      <c r="AS129" s="5">
        <f t="shared" si="1845"/>
        <v>0</v>
      </c>
      <c r="AT129" s="5">
        <f t="shared" si="1845"/>
        <v>0</v>
      </c>
      <c r="AU129" s="5">
        <f t="shared" si="1845"/>
        <v>262127</v>
      </c>
      <c r="AV129" s="5">
        <f t="shared" si="1845"/>
        <v>0</v>
      </c>
      <c r="AW129" s="5">
        <f t="shared" si="1845"/>
        <v>2961</v>
      </c>
      <c r="AX129" s="5">
        <f t="shared" si="1845"/>
        <v>4104</v>
      </c>
      <c r="AY129" s="5">
        <f t="shared" si="1845"/>
        <v>2345</v>
      </c>
      <c r="AZ129" s="5">
        <f t="shared" si="1845"/>
        <v>308272</v>
      </c>
      <c r="BA129" s="5">
        <f t="shared" si="1845"/>
        <v>344769</v>
      </c>
      <c r="BB129" s="6">
        <f t="shared" si="1845"/>
        <v>361869</v>
      </c>
      <c r="BC129" s="5">
        <f t="shared" si="1845"/>
        <v>39431</v>
      </c>
      <c r="BD129" s="5">
        <f t="shared" si="1845"/>
        <v>39431</v>
      </c>
      <c r="BE129" s="5">
        <f t="shared" si="1845"/>
        <v>0</v>
      </c>
      <c r="BF129" s="5">
        <f t="shared" si="1845"/>
        <v>41300</v>
      </c>
      <c r="BG129" s="5">
        <f t="shared" si="1845"/>
        <v>19248216</v>
      </c>
      <c r="BH129" s="16">
        <f t="shared" si="1845"/>
        <v>31193614</v>
      </c>
      <c r="BI129" s="127">
        <f>AD129+BH129</f>
        <v>43089884</v>
      </c>
      <c r="BJ129" s="5">
        <f t="shared" si="1838"/>
        <v>19100344</v>
      </c>
      <c r="BK129" s="51">
        <f t="shared" si="1838"/>
        <v>23989540</v>
      </c>
      <c r="BL129" s="30">
        <f>'Upto Month Current'!N61-'Upto Month Current'!M61</f>
        <v>23989541</v>
      </c>
      <c r="BM129" s="30">
        <f t="shared" si="1841"/>
        <v>12093270</v>
      </c>
    </row>
    <row r="130" spans="1:65" ht="15.75" x14ac:dyDescent="0.25">
      <c r="A130" s="130"/>
      <c r="B130" s="5" t="s">
        <v>132</v>
      </c>
      <c r="C130" s="11">
        <f>C129-C127</f>
        <v>-85466</v>
      </c>
      <c r="D130" s="11">
        <f t="shared" ref="D130" si="1846">D129-D127</f>
        <v>-36266</v>
      </c>
      <c r="E130" s="11">
        <f t="shared" ref="E130" si="1847">E129-E127</f>
        <v>2288</v>
      </c>
      <c r="F130" s="11">
        <f t="shared" ref="F130" si="1848">F129-F127</f>
        <v>-58276</v>
      </c>
      <c r="G130" s="11">
        <f t="shared" ref="G130" si="1849">G129-G127</f>
        <v>-39477</v>
      </c>
      <c r="H130" s="11">
        <f t="shared" ref="H130" si="1850">H129-H127</f>
        <v>92960</v>
      </c>
      <c r="I130" s="11">
        <f t="shared" ref="I130" si="1851">I129-I127</f>
        <v>0</v>
      </c>
      <c r="J130" s="11">
        <f t="shared" ref="J130" si="1852">J129-J127</f>
        <v>18663</v>
      </c>
      <c r="K130" s="11">
        <f t="shared" ref="K130" si="1853">K129-K127</f>
        <v>-26253.08</v>
      </c>
      <c r="L130" s="11">
        <f t="shared" ref="L130" si="1854">L129-L127</f>
        <v>-42624</v>
      </c>
      <c r="M130" s="11">
        <f t="shared" ref="M130" si="1855">M129-M127</f>
        <v>-95678</v>
      </c>
      <c r="N130" s="11">
        <f t="shared" ref="N130" si="1856">N129-N127</f>
        <v>-3051</v>
      </c>
      <c r="O130" s="11">
        <f t="shared" ref="O130" si="1857">O129-O127</f>
        <v>-10404</v>
      </c>
      <c r="P130" s="11">
        <f t="shared" ref="P130" si="1858">P129-P127</f>
        <v>98134</v>
      </c>
      <c r="Q130" s="11">
        <f t="shared" ref="Q130" si="1859">Q129-Q127</f>
        <v>0</v>
      </c>
      <c r="R130" s="11">
        <f t="shared" ref="R130" si="1860">R129-R127</f>
        <v>-9701</v>
      </c>
      <c r="S130" s="11">
        <f t="shared" ref="S130" si="1861">S129-S127</f>
        <v>-146432</v>
      </c>
      <c r="T130" s="11">
        <f t="shared" ref="T130:U130" si="1862">T129-T127</f>
        <v>50216</v>
      </c>
      <c r="U130" s="11">
        <f t="shared" si="1862"/>
        <v>0</v>
      </c>
      <c r="V130" s="9">
        <f t="shared" ref="V130" si="1863">V129-V127</f>
        <v>-6624</v>
      </c>
      <c r="W130" s="11">
        <f t="shared" ref="W130" si="1864">W129-W127</f>
        <v>-261</v>
      </c>
      <c r="X130" s="11">
        <f t="shared" ref="X130" si="1865">X129-X127</f>
        <v>-105</v>
      </c>
      <c r="Y130" s="11">
        <f t="shared" ref="Y130" si="1866">Y129-Y127</f>
        <v>27536</v>
      </c>
      <c r="Z130" s="11">
        <f t="shared" ref="Z130" si="1867">Z129-Z127</f>
        <v>2853</v>
      </c>
      <c r="AA130" s="11">
        <f t="shared" ref="AA130:AD130" si="1868">AA129-AA127</f>
        <v>3213</v>
      </c>
      <c r="AB130" s="11">
        <f t="shared" ref="AB130" si="1869">AB129-AB127</f>
        <v>-10305</v>
      </c>
      <c r="AC130" s="10">
        <f t="shared" si="1868"/>
        <v>14792</v>
      </c>
      <c r="AD130" s="11">
        <f t="shared" si="1868"/>
        <v>-260268.08000000007</v>
      </c>
      <c r="AE130" s="11">
        <f t="shared" ref="AE130" si="1870">AE129-AE127</f>
        <v>-5467</v>
      </c>
      <c r="AF130" s="11">
        <f t="shared" ref="AF130" si="1871">AF129-AF127</f>
        <v>-2979</v>
      </c>
      <c r="AG130" s="11">
        <f t="shared" ref="AG130" si="1872">AG129-AG127</f>
        <v>41063</v>
      </c>
      <c r="AH130" s="11">
        <f t="shared" ref="AH130" si="1873">AH129-AH127</f>
        <v>0</v>
      </c>
      <c r="AI130" s="11">
        <f t="shared" ref="AI130" si="1874">AI129-AI127</f>
        <v>0</v>
      </c>
      <c r="AJ130" s="11">
        <f t="shared" ref="AJ130" si="1875">AJ129-AJ127</f>
        <v>-1571</v>
      </c>
      <c r="AK130" s="11">
        <f t="shared" ref="AK130" si="1876">AK129-AK127</f>
        <v>691457</v>
      </c>
      <c r="AL130" s="11">
        <f t="shared" ref="AL130" si="1877">AL129-AL127</f>
        <v>-106348</v>
      </c>
      <c r="AM130" s="11" t="e">
        <f t="shared" ref="AM130" si="1878">AM129-AM127</f>
        <v>#VALUE!</v>
      </c>
      <c r="AN130" s="11">
        <f t="shared" ref="AN130" si="1879">AN129-AN127</f>
        <v>22481</v>
      </c>
      <c r="AO130" s="9">
        <f t="shared" ref="AO130" si="1880">AO129-AO127</f>
        <v>5087</v>
      </c>
      <c r="AP130" s="11">
        <f t="shared" ref="AP130" si="1881">AP129-AP127</f>
        <v>-422972.36000000034</v>
      </c>
      <c r="AQ130" s="10">
        <f t="shared" ref="AQ130" si="1882">AQ129-AQ127</f>
        <v>37597</v>
      </c>
      <c r="AR130" s="11">
        <f t="shared" ref="AR130" si="1883">AR129-AR127</f>
        <v>418373</v>
      </c>
      <c r="AS130" s="11">
        <f t="shared" ref="AS130" si="1884">AS129-AS127</f>
        <v>0</v>
      </c>
      <c r="AT130" s="11">
        <f t="shared" ref="AT130" si="1885">AT129-AT127</f>
        <v>0</v>
      </c>
      <c r="AU130" s="11">
        <f t="shared" ref="AU130" si="1886">AU129-AU127</f>
        <v>171579</v>
      </c>
      <c r="AV130" s="11">
        <f t="shared" ref="AV130" si="1887">AV129-AV127</f>
        <v>0</v>
      </c>
      <c r="AW130" s="11">
        <f t="shared" ref="AW130" si="1888">AW129-AW127</f>
        <v>-3939</v>
      </c>
      <c r="AX130" s="11">
        <f t="shared" ref="AX130" si="1889">AX129-AX127</f>
        <v>-611</v>
      </c>
      <c r="AY130" s="11">
        <f t="shared" ref="AY130" si="1890">AY129-AY127</f>
        <v>291</v>
      </c>
      <c r="AZ130" s="11">
        <f t="shared" ref="AZ130" si="1891">AZ129-AZ127</f>
        <v>225768</v>
      </c>
      <c r="BA130" s="11">
        <f t="shared" ref="BA130" si="1892">BA129-BA127</f>
        <v>204080</v>
      </c>
      <c r="BB130" s="10">
        <f t="shared" ref="BB130" si="1893">BB129-BB127</f>
        <v>163748</v>
      </c>
      <c r="BC130" s="11">
        <f t="shared" ref="BC130" si="1894">BC129-BC127</f>
        <v>739</v>
      </c>
      <c r="BD130" s="11">
        <f t="shared" ref="BD130" si="1895">BD129-BD127</f>
        <v>768</v>
      </c>
      <c r="BE130" s="11">
        <f t="shared" ref="BE130" si="1896">BE129-BE127</f>
        <v>-66</v>
      </c>
      <c r="BF130" s="11">
        <f t="shared" ref="BF130" si="1897">BF129-BF127</f>
        <v>7605</v>
      </c>
      <c r="BG130" s="11">
        <f t="shared" ref="BG130" si="1898">BG129-BG127</f>
        <v>18897736</v>
      </c>
      <c r="BH130" s="9">
        <f t="shared" ref="BH130:BI130" si="1899">BH129-BH127</f>
        <v>20720451.640000001</v>
      </c>
      <c r="BI130" s="45">
        <f t="shared" si="1899"/>
        <v>20460183.560000002</v>
      </c>
      <c r="BJ130" s="11">
        <f t="shared" ref="BJ130" si="1900">BJ129-BJ127</f>
        <v>18875817</v>
      </c>
      <c r="BK130" s="51">
        <f t="shared" ref="BK130" si="1901">BK129-BK127</f>
        <v>1584366.5600000024</v>
      </c>
      <c r="BM130" s="30">
        <f t="shared" si="1841"/>
        <v>1844634.6400000025</v>
      </c>
    </row>
    <row r="131" spans="1:65" ht="15.75" x14ac:dyDescent="0.25">
      <c r="A131" s="130"/>
      <c r="B131" s="5" t="s">
        <v>133</v>
      </c>
      <c r="C131" s="13">
        <f>C130/C127</f>
        <v>-1.3099104798969067E-2</v>
      </c>
      <c r="D131" s="13">
        <f t="shared" ref="D131" si="1902">D130/D127</f>
        <v>-3.086081996550219E-2</v>
      </c>
      <c r="E131" s="13">
        <f t="shared" ref="E131" si="1903">E130/E127</f>
        <v>-2288</v>
      </c>
      <c r="F131" s="13">
        <f t="shared" ref="F131" si="1904">F130/F127</f>
        <v>-7.8359342855068292E-2</v>
      </c>
      <c r="G131" s="13">
        <f t="shared" ref="G131" si="1905">G130/G127</f>
        <v>-0.10245011405837609</v>
      </c>
      <c r="H131" s="13">
        <f t="shared" ref="H131" si="1906">H130/H127</f>
        <v>0.12329648321186278</v>
      </c>
      <c r="I131" s="13" t="e">
        <f t="shared" ref="I131" si="1907">I130/I127</f>
        <v>#DIV/0!</v>
      </c>
      <c r="J131" s="13">
        <f t="shared" ref="J131" si="1908">J130/J127</f>
        <v>3.6204247592591159E-2</v>
      </c>
      <c r="K131" s="13">
        <f t="shared" ref="K131" si="1909">K130/K127</f>
        <v>-0.85965523519372555</v>
      </c>
      <c r="L131" s="13">
        <f t="shared" ref="L131" si="1910">L130/L127</f>
        <v>-0.30941664972850547</v>
      </c>
      <c r="M131" s="13">
        <f t="shared" ref="M131" si="1911">M130/M127</f>
        <v>-0.24541315583599452</v>
      </c>
      <c r="N131" s="13">
        <f t="shared" ref="N131" si="1912">N130/N127</f>
        <v>-0.44953587741270074</v>
      </c>
      <c r="O131" s="13">
        <f t="shared" ref="O131" si="1913">O130/O127</f>
        <v>-0.43005952380952384</v>
      </c>
      <c r="P131" s="13">
        <f t="shared" ref="P131" si="1914">P130/P127</f>
        <v>0.40895471385171883</v>
      </c>
      <c r="Q131" s="13" t="e">
        <f t="shared" ref="Q131" si="1915">Q130/Q127</f>
        <v>#DIV/0!</v>
      </c>
      <c r="R131" s="13">
        <f t="shared" ref="R131" si="1916">R130/R127</f>
        <v>-0.46160068519223446</v>
      </c>
      <c r="S131" s="13">
        <f t="shared" ref="S131" si="1917">S130/S127</f>
        <v>-0.27412020839066326</v>
      </c>
      <c r="T131" s="13">
        <f t="shared" ref="T131:U131" si="1918">T130/T127</f>
        <v>0.23228146133422145</v>
      </c>
      <c r="U131" s="13" t="e">
        <f t="shared" si="1918"/>
        <v>#DIV/0!</v>
      </c>
      <c r="V131" s="165">
        <f t="shared" ref="V131" si="1919">V130/V127</f>
        <v>-7.3856857738579723E-2</v>
      </c>
      <c r="W131" s="13">
        <f t="shared" ref="W131" si="1920">W130/W127</f>
        <v>-1</v>
      </c>
      <c r="X131" s="13">
        <f t="shared" ref="X131" si="1921">X130/X127</f>
        <v>-1</v>
      </c>
      <c r="Y131" s="13">
        <f t="shared" ref="Y131" si="1922">Y130/Y127</f>
        <v>3.9936185641769399</v>
      </c>
      <c r="Z131" s="13">
        <f t="shared" ref="Z131" si="1923">Z130/Z127</f>
        <v>3.593198992443325</v>
      </c>
      <c r="AA131" s="13">
        <f t="shared" ref="AA131:AD131" si="1924">AA130/AA127</f>
        <v>1.6451612903225807</v>
      </c>
      <c r="AB131" s="13">
        <f t="shared" ref="AB131" si="1925">AB130/AB127</f>
        <v>-0.86662181481792955</v>
      </c>
      <c r="AC131" s="14">
        <f t="shared" si="1924"/>
        <v>4.2718480247901189E-2</v>
      </c>
      <c r="AD131" s="13">
        <f t="shared" si="1924"/>
        <v>-2.1409720291025492E-2</v>
      </c>
      <c r="AE131" s="13">
        <f t="shared" ref="AE131" si="1926">AE130/AE127</f>
        <v>-0.3739142329526024</v>
      </c>
      <c r="AF131" s="13">
        <f t="shared" ref="AF131" si="1927">AF130/AF127</f>
        <v>-0.29131625268922356</v>
      </c>
      <c r="AG131" s="13">
        <f t="shared" ref="AG131" si="1928">AG130/AG127</f>
        <v>2.1636018757574162</v>
      </c>
      <c r="AH131" s="13" t="e">
        <f t="shared" ref="AH131" si="1929">AH130/AH127</f>
        <v>#DIV/0!</v>
      </c>
      <c r="AI131" s="13" t="e">
        <f t="shared" ref="AI131" si="1930">AI130/AI127</f>
        <v>#DIV/0!</v>
      </c>
      <c r="AJ131" s="13">
        <f t="shared" ref="AJ131" si="1931">AJ130/AJ127</f>
        <v>-0.27170529228640611</v>
      </c>
      <c r="AK131" s="13">
        <f t="shared" ref="AK131" si="1932">AK130/AK127</f>
        <v>1.9544222436410197</v>
      </c>
      <c r="AL131" s="13">
        <f t="shared" ref="AL131" si="1933">AL130/AL127</f>
        <v>-0.37326351109457589</v>
      </c>
      <c r="AM131" s="13" t="e">
        <f t="shared" ref="AM131" si="1934">AM130/AM127</f>
        <v>#VALUE!</v>
      </c>
      <c r="AN131" s="13">
        <f t="shared" ref="AN131" si="1935">AN130/AN127</f>
        <v>0.65768533146100283</v>
      </c>
      <c r="AO131" s="165">
        <f t="shared" ref="AO131" si="1936">AO130/AO127</f>
        <v>6.4244804657653618E-3</v>
      </c>
      <c r="AP131" s="13">
        <f t="shared" ref="AP131" si="1937">AP130/AP127</f>
        <v>-7.3845591062735069E-2</v>
      </c>
      <c r="AQ131" s="14">
        <f t="shared" ref="AQ131" si="1938">AQ130/AQ127</f>
        <v>0.99054167983981456</v>
      </c>
      <c r="AR131" s="13">
        <f t="shared" ref="AR131" si="1939">AR130/AR127</f>
        <v>2.0382786541815667</v>
      </c>
      <c r="AS131" s="13" t="e">
        <f t="shared" ref="AS131" si="1940">AS130/AS127</f>
        <v>#DIV/0!</v>
      </c>
      <c r="AT131" s="13" t="e">
        <f t="shared" ref="AT131" si="1941">AT130/AT127</f>
        <v>#DIV/0!</v>
      </c>
      <c r="AU131" s="13">
        <f t="shared" ref="AU131" si="1942">AU130/AU127</f>
        <v>1.8948955250254009</v>
      </c>
      <c r="AV131" s="13" t="e">
        <f t="shared" ref="AV131" si="1943">AV130/AV127</f>
        <v>#DIV/0!</v>
      </c>
      <c r="AW131" s="13">
        <f t="shared" ref="AW131" si="1944">AW130/AW127</f>
        <v>-0.57086956521739129</v>
      </c>
      <c r="AX131" s="13">
        <f t="shared" ref="AX131" si="1945">AX130/AX127</f>
        <v>-0.1295864262990456</v>
      </c>
      <c r="AY131" s="13">
        <f t="shared" ref="AY131" si="1946">AY130/AY127</f>
        <v>0.14167478091528724</v>
      </c>
      <c r="AZ131" s="13">
        <f t="shared" ref="AZ131" si="1947">AZ130/AZ127</f>
        <v>2.7364491418597887</v>
      </c>
      <c r="BA131" s="13">
        <f t="shared" ref="BA131" si="1948">BA130/BA127</f>
        <v>1.4505753825814385</v>
      </c>
      <c r="BB131" s="14">
        <f t="shared" ref="BB131" si="1949">BB130/BB127</f>
        <v>0.82650501461228243</v>
      </c>
      <c r="BC131" s="13">
        <f t="shared" ref="BC131" si="1950">BC130/BC127</f>
        <v>1.9099555463661738E-2</v>
      </c>
      <c r="BD131" s="13">
        <f t="shared" ref="BD131" si="1951">BD130/BD127</f>
        <v>1.9863952616196362E-2</v>
      </c>
      <c r="BE131" s="13">
        <f t="shared" ref="BE131" si="1952">BE130/BE127</f>
        <v>-1</v>
      </c>
      <c r="BF131" s="13">
        <f t="shared" ref="BF131" si="1953">BF130/BF127</f>
        <v>0.22570114260276006</v>
      </c>
      <c r="BG131" s="13">
        <f t="shared" ref="BG131" si="1954">BG130/BG127</f>
        <v>53.91958456973294</v>
      </c>
      <c r="BH131" s="165">
        <f t="shared" ref="BH131:BI131" si="1955">BH130/BH127</f>
        <v>1.9784331539762363</v>
      </c>
      <c r="BI131" s="46">
        <f t="shared" si="1955"/>
        <v>0.90412966862940958</v>
      </c>
      <c r="BJ131" s="13">
        <f t="shared" ref="BJ131" si="1956">BJ130/BJ127</f>
        <v>84.069252250286155</v>
      </c>
      <c r="BK131" s="52">
        <f t="shared" ref="BK131" si="1957">BK130/BK127</f>
        <v>7.0714318023150396E-2</v>
      </c>
      <c r="BM131" s="165">
        <f t="shared" ref="BM131" si="1958">BM130/BM127</f>
        <v>0.17998831797641426</v>
      </c>
    </row>
    <row r="132" spans="1:65" ht="15.75" x14ac:dyDescent="0.25">
      <c r="A132" s="130"/>
      <c r="B132" s="5" t="s">
        <v>134</v>
      </c>
      <c r="C132" s="11">
        <f>C129-C128</f>
        <v>157795</v>
      </c>
      <c r="D132" s="11">
        <f t="shared" ref="D132:BK132" si="1959">D129-D128</f>
        <v>40340</v>
      </c>
      <c r="E132" s="11">
        <f t="shared" si="1959"/>
        <v>-1617</v>
      </c>
      <c r="F132" s="11">
        <f t="shared" si="1959"/>
        <v>35801</v>
      </c>
      <c r="G132" s="11">
        <f t="shared" si="1959"/>
        <v>9292</v>
      </c>
      <c r="H132" s="11">
        <f t="shared" si="1959"/>
        <v>144994</v>
      </c>
      <c r="I132" s="11">
        <f t="shared" si="1959"/>
        <v>0</v>
      </c>
      <c r="J132" s="11">
        <f t="shared" si="1959"/>
        <v>61782</v>
      </c>
      <c r="K132" s="11">
        <f t="shared" si="1959"/>
        <v>-12946</v>
      </c>
      <c r="L132" s="11">
        <f t="shared" si="1959"/>
        <v>-65030</v>
      </c>
      <c r="M132" s="11">
        <f t="shared" si="1959"/>
        <v>37707</v>
      </c>
      <c r="N132" s="11">
        <f t="shared" si="1959"/>
        <v>-274</v>
      </c>
      <c r="O132" s="11">
        <f t="shared" si="1959"/>
        <v>697</v>
      </c>
      <c r="P132" s="11">
        <f t="shared" si="1959"/>
        <v>65561</v>
      </c>
      <c r="Q132" s="11">
        <f t="shared" si="1959"/>
        <v>0</v>
      </c>
      <c r="R132" s="11">
        <f t="shared" si="1959"/>
        <v>5284</v>
      </c>
      <c r="S132" s="11">
        <f t="shared" si="1959"/>
        <v>173310</v>
      </c>
      <c r="T132" s="11">
        <f t="shared" si="1959"/>
        <v>48987</v>
      </c>
      <c r="U132" s="11">
        <f t="shared" ref="U132" si="1960">U129-U128</f>
        <v>-523</v>
      </c>
      <c r="V132" s="9">
        <f t="shared" si="1959"/>
        <v>-47538</v>
      </c>
      <c r="W132" s="11">
        <f t="shared" si="1959"/>
        <v>-323</v>
      </c>
      <c r="X132" s="11">
        <f t="shared" si="1959"/>
        <v>0</v>
      </c>
      <c r="Y132" s="11">
        <f t="shared" si="1959"/>
        <v>18496</v>
      </c>
      <c r="Z132" s="11">
        <f t="shared" si="1959"/>
        <v>1455</v>
      </c>
      <c r="AA132" s="11">
        <f t="shared" si="1959"/>
        <v>3881</v>
      </c>
      <c r="AB132" s="11">
        <f t="shared" ref="AB132" si="1961">AB129-AB128</f>
        <v>1586</v>
      </c>
      <c r="AC132" s="10">
        <f t="shared" ref="AC132:AD132" si="1962">AC129-AC128</f>
        <v>156301</v>
      </c>
      <c r="AD132" s="11">
        <f t="shared" si="1962"/>
        <v>835018</v>
      </c>
      <c r="AE132" s="11">
        <f t="shared" si="1959"/>
        <v>-2402</v>
      </c>
      <c r="AF132" s="11">
        <f t="shared" si="1959"/>
        <v>-17738</v>
      </c>
      <c r="AG132" s="11">
        <f t="shared" si="1959"/>
        <v>-11590</v>
      </c>
      <c r="AH132" s="11">
        <f t="shared" si="1959"/>
        <v>-18</v>
      </c>
      <c r="AI132" s="11">
        <f t="shared" si="1959"/>
        <v>0</v>
      </c>
      <c r="AJ132" s="11">
        <f t="shared" si="1959"/>
        <v>-3678</v>
      </c>
      <c r="AK132" s="11">
        <f t="shared" si="1959"/>
        <v>901715</v>
      </c>
      <c r="AL132" s="11">
        <f t="shared" si="1959"/>
        <v>-125010</v>
      </c>
      <c r="AM132" s="11">
        <f t="shared" si="1959"/>
        <v>653321</v>
      </c>
      <c r="AN132" s="11">
        <f t="shared" si="1959"/>
        <v>-27419</v>
      </c>
      <c r="AO132" s="9">
        <f t="shared" si="1959"/>
        <v>-160843</v>
      </c>
      <c r="AP132" s="11">
        <f t="shared" si="1959"/>
        <v>496810</v>
      </c>
      <c r="AQ132" s="10">
        <f t="shared" si="1959"/>
        <v>43142</v>
      </c>
      <c r="AR132" s="11">
        <f t="shared" si="1959"/>
        <v>341264</v>
      </c>
      <c r="AS132" s="11">
        <f t="shared" si="1959"/>
        <v>0</v>
      </c>
      <c r="AT132" s="11">
        <f t="shared" si="1959"/>
        <v>0</v>
      </c>
      <c r="AU132" s="11">
        <f t="shared" si="1959"/>
        <v>148130</v>
      </c>
      <c r="AV132" s="11">
        <f t="shared" si="1959"/>
        <v>0</v>
      </c>
      <c r="AW132" s="11">
        <f t="shared" si="1959"/>
        <v>-1501</v>
      </c>
      <c r="AX132" s="11">
        <f t="shared" si="1959"/>
        <v>218</v>
      </c>
      <c r="AY132" s="11">
        <f t="shared" si="1959"/>
        <v>1187</v>
      </c>
      <c r="AZ132" s="11">
        <f t="shared" si="1959"/>
        <v>238495</v>
      </c>
      <c r="BA132" s="11">
        <f t="shared" si="1959"/>
        <v>137774</v>
      </c>
      <c r="BB132" s="10">
        <f t="shared" si="1959"/>
        <v>211785</v>
      </c>
      <c r="BC132" s="11">
        <f t="shared" si="1959"/>
        <v>-6024</v>
      </c>
      <c r="BD132" s="11">
        <f t="shared" si="1959"/>
        <v>-4546</v>
      </c>
      <c r="BE132" s="11">
        <f t="shared" si="1959"/>
        <v>0</v>
      </c>
      <c r="BF132" s="11">
        <f t="shared" si="1959"/>
        <v>-7387</v>
      </c>
      <c r="BG132" s="11">
        <f t="shared" si="1959"/>
        <v>351960</v>
      </c>
      <c r="BH132" s="9">
        <f t="shared" si="1959"/>
        <v>3157645</v>
      </c>
      <c r="BI132" s="45">
        <f t="shared" si="1959"/>
        <v>3992663</v>
      </c>
      <c r="BJ132" s="11">
        <f t="shared" si="1959"/>
        <v>298088</v>
      </c>
      <c r="BK132" s="51">
        <f t="shared" si="1959"/>
        <v>3694575</v>
      </c>
      <c r="BM132" s="30">
        <f t="shared" si="1841"/>
        <v>2859557</v>
      </c>
    </row>
    <row r="133" spans="1:65" ht="15.75" x14ac:dyDescent="0.25">
      <c r="A133" s="130"/>
      <c r="B133" s="5" t="s">
        <v>210</v>
      </c>
      <c r="C133" s="13">
        <f>C132/C128</f>
        <v>2.5121364072795679E-2</v>
      </c>
      <c r="D133" s="13">
        <f t="shared" ref="D133" si="1963">D132/D128</f>
        <v>3.672143324646053E-2</v>
      </c>
      <c r="E133" s="13">
        <f t="shared" ref="E133" si="1964">E132/E128</f>
        <v>-0.41419057377049179</v>
      </c>
      <c r="F133" s="13">
        <f t="shared" ref="F133" si="1965">F132/F128</f>
        <v>5.5110255916875121E-2</v>
      </c>
      <c r="G133" s="13">
        <f t="shared" ref="G133" si="1966">G132/G128</f>
        <v>2.7608747325885429E-2</v>
      </c>
      <c r="H133" s="13">
        <f t="shared" ref="H133" si="1967">H132/H128</f>
        <v>0.20656740573369367</v>
      </c>
      <c r="I133" s="13" t="e">
        <f t="shared" ref="I133" si="1968">I132/I128</f>
        <v>#DIV/0!</v>
      </c>
      <c r="J133" s="13">
        <f t="shared" ref="J133" si="1969">J132/J128</f>
        <v>0.13079070988392646</v>
      </c>
      <c r="K133" s="13">
        <f t="shared" ref="K133" si="1970">K132/K128</f>
        <v>-0.75127669452181989</v>
      </c>
      <c r="L133" s="13">
        <f t="shared" ref="L133" si="1971">L132/L128</f>
        <v>-0.40602639827174986</v>
      </c>
      <c r="M133" s="13">
        <f t="shared" ref="M133" si="1972">M132/M128</f>
        <v>0.14701731129132875</v>
      </c>
      <c r="N133" s="13">
        <f t="shared" ref="N133" si="1973">N132/N128</f>
        <v>-6.832917705735661E-2</v>
      </c>
      <c r="O133" s="13">
        <f t="shared" ref="O133" si="1974">O132/O128</f>
        <v>5.3242685814681841E-2</v>
      </c>
      <c r="P133" s="13">
        <f t="shared" ref="P133" si="1975">P132/P128</f>
        <v>0.24055904541051457</v>
      </c>
      <c r="Q133" s="13" t="e">
        <f t="shared" ref="Q133" si="1976">Q132/Q128</f>
        <v>#DIV/0!</v>
      </c>
      <c r="R133" s="13">
        <f t="shared" ref="R133" si="1977">R132/R128</f>
        <v>0.87613994362460623</v>
      </c>
      <c r="S133" s="13">
        <f t="shared" ref="S133" si="1978">S132/S128</f>
        <v>0.80817171608835747</v>
      </c>
      <c r="T133" s="13">
        <f t="shared" ref="T133:U133" si="1979">T132/T128</f>
        <v>0.22531564059517512</v>
      </c>
      <c r="U133" s="13">
        <f t="shared" si="1979"/>
        <v>-1</v>
      </c>
      <c r="V133" s="165">
        <f t="shared" ref="V133" si="1980">V132/V128</f>
        <v>-0.36399415012136199</v>
      </c>
      <c r="W133" s="13">
        <f t="shared" ref="W133" si="1981">W132/W128</f>
        <v>-1</v>
      </c>
      <c r="X133" s="13" t="e">
        <f t="shared" ref="X133" si="1982">X132/X128</f>
        <v>#DIV/0!</v>
      </c>
      <c r="Y133" s="13">
        <f t="shared" ref="Y133" si="1983">Y132/Y128</f>
        <v>1.1607154063382492</v>
      </c>
      <c r="Z133" s="13">
        <f t="shared" ref="Z133" si="1984">Z132/Z128</f>
        <v>0.66377737226277367</v>
      </c>
      <c r="AA133" s="13">
        <f t="shared" ref="AA133:AD133" si="1985">AA132/AA128</f>
        <v>3.0202334630350194</v>
      </c>
      <c r="AB133" s="13" t="e">
        <f t="shared" ref="AB133" si="1986">AB132/AB128</f>
        <v>#DIV/0!</v>
      </c>
      <c r="AC133" s="14">
        <f t="shared" si="1985"/>
        <v>0.7633450219283251</v>
      </c>
      <c r="AD133" s="13">
        <f t="shared" si="1985"/>
        <v>7.549036944461622E-2</v>
      </c>
      <c r="AE133" s="13">
        <f t="shared" ref="AE133" si="1987">AE132/AE128</f>
        <v>-0.20785739010038076</v>
      </c>
      <c r="AF133" s="13">
        <f t="shared" ref="AF133" si="1988">AF132/AF128</f>
        <v>-0.70994596758054829</v>
      </c>
      <c r="AG133" s="13">
        <f t="shared" ref="AG133" si="1989">AG132/AG128</f>
        <v>-0.16179919589010497</v>
      </c>
      <c r="AH133" s="13">
        <f t="shared" ref="AH133" si="1990">AH132/AH128</f>
        <v>-1</v>
      </c>
      <c r="AI133" s="13" t="e">
        <f t="shared" ref="AI133" si="1991">AI132/AI128</f>
        <v>#DIV/0!</v>
      </c>
      <c r="AJ133" s="13">
        <f t="shared" ref="AJ133" si="1992">AJ132/AJ128</f>
        <v>-0.4662187856509063</v>
      </c>
      <c r="AK133" s="13">
        <f t="shared" ref="AK133" si="1993">AK132/AK128</f>
        <v>6.2822835166825746</v>
      </c>
      <c r="AL133" s="13">
        <f t="shared" ref="AL133" si="1994">AL132/AL128</f>
        <v>-0.41179144596410783</v>
      </c>
      <c r="AM133" s="13">
        <f t="shared" ref="AM133" si="1995">AM132/AM128</f>
        <v>0.3790820509577128</v>
      </c>
      <c r="AN133" s="13">
        <f t="shared" ref="AN133" si="1996">AN132/AN128</f>
        <v>-0.3260983325801004</v>
      </c>
      <c r="AO133" s="165">
        <f t="shared" ref="AO133" si="1997">AO132/AO128</f>
        <v>-0.16793927402387901</v>
      </c>
      <c r="AP133" s="13">
        <f t="shared" ref="AP133" si="1998">AP132/AP128</f>
        <v>0.10332960899432031</v>
      </c>
      <c r="AQ133" s="14">
        <f t="shared" ref="AQ133" si="1999">AQ132/AQ128</f>
        <v>1.3310912961648822</v>
      </c>
      <c r="AR133" s="13">
        <f t="shared" ref="AR133" si="2000">AR132/AR128</f>
        <v>1.2085831559636926</v>
      </c>
      <c r="AS133" s="13" t="e">
        <f t="shared" ref="AS133" si="2001">AS132/AS128</f>
        <v>#DIV/0!</v>
      </c>
      <c r="AT133" s="13" t="e">
        <f t="shared" ref="AT133" si="2002">AT132/AT128</f>
        <v>#DIV/0!</v>
      </c>
      <c r="AU133" s="13">
        <f t="shared" ref="AU133" si="2003">AU132/AU128</f>
        <v>1.2994201601796538</v>
      </c>
      <c r="AV133" s="13" t="e">
        <f t="shared" ref="AV133" si="2004">AV132/AV128</f>
        <v>#DIV/0!</v>
      </c>
      <c r="AW133" s="13">
        <f t="shared" ref="AW133" si="2005">AW132/AW128</f>
        <v>-0.33639623487225462</v>
      </c>
      <c r="AX133" s="13">
        <f t="shared" ref="AX133" si="2006">AX132/AX128</f>
        <v>5.6098816263510036E-2</v>
      </c>
      <c r="AY133" s="13">
        <f t="shared" ref="AY133" si="2007">AY132/AY128</f>
        <v>1.0250431778929188</v>
      </c>
      <c r="AZ133" s="13">
        <f t="shared" ref="AZ133" si="2008">AZ132/AZ128</f>
        <v>3.4179600728033592</v>
      </c>
      <c r="BA133" s="13">
        <f t="shared" ref="BA133" si="2009">BA132/BA128</f>
        <v>0.66559095630329235</v>
      </c>
      <c r="BB133" s="14">
        <f t="shared" ref="BB133" si="2010">BB132/BB128</f>
        <v>1.4111097785240265</v>
      </c>
      <c r="BC133" s="13">
        <f t="shared" ref="BC133" si="2011">BC132/BC128</f>
        <v>-0.13252667473325266</v>
      </c>
      <c r="BD133" s="13">
        <f t="shared" ref="BD133" si="2012">BD132/BD128</f>
        <v>-0.10337221729540441</v>
      </c>
      <c r="BE133" s="13" t="e">
        <f t="shared" ref="BE133" si="2013">BE132/BE128</f>
        <v>#DIV/0!</v>
      </c>
      <c r="BF133" s="13">
        <f t="shared" ref="BF133" si="2014">BF132/BF128</f>
        <v>-0.15172427958181856</v>
      </c>
      <c r="BG133" s="13">
        <f t="shared" ref="BG133" si="2015">BG132/BG128</f>
        <v>1.8625911926680078E-2</v>
      </c>
      <c r="BH133" s="165">
        <f t="shared" ref="BH133:BI133" si="2016">BH132/BH128</f>
        <v>0.11262835252813984</v>
      </c>
      <c r="BI133" s="46">
        <f t="shared" si="2016"/>
        <v>0.10212140141622854</v>
      </c>
      <c r="BJ133" s="13">
        <f t="shared" ref="BJ133" si="2017">BJ132/BJ128</f>
        <v>1.585384221978469E-2</v>
      </c>
      <c r="BK133" s="52">
        <f t="shared" ref="BK133" si="2018">BK132/BK128</f>
        <v>0.18204392074585987</v>
      </c>
      <c r="BM133" s="14">
        <f t="shared" ref="BM133" si="2019">BM132/BM128</f>
        <v>0.30968658003557181</v>
      </c>
    </row>
    <row r="134" spans="1:65" ht="15.75" x14ac:dyDescent="0.25">
      <c r="A134" s="130"/>
      <c r="B134" s="5" t="s">
        <v>329</v>
      </c>
      <c r="C134" s="128">
        <f>C129/C126</f>
        <v>0.2565941438723966</v>
      </c>
      <c r="D134" s="128">
        <f t="shared" ref="D134:BK134" si="2020">D129/D126</f>
        <v>0.25197496890361515</v>
      </c>
      <c r="E134" s="128">
        <f t="shared" si="2020"/>
        <v>2.3071157421558569E-3</v>
      </c>
      <c r="F134" s="128">
        <f t="shared" si="2020"/>
        <v>0.23961914097663994</v>
      </c>
      <c r="G134" s="128">
        <f t="shared" si="2020"/>
        <v>0.23335771368115363</v>
      </c>
      <c r="H134" s="128">
        <f t="shared" si="2020"/>
        <v>0.29205687645719797</v>
      </c>
      <c r="I134" s="128" t="e">
        <f t="shared" si="2020"/>
        <v>#DIV/0!</v>
      </c>
      <c r="J134" s="128">
        <f t="shared" si="2020"/>
        <v>0.26941467228204674</v>
      </c>
      <c r="K134" s="128">
        <f t="shared" si="2020"/>
        <v>3.6490260182536441E-2</v>
      </c>
      <c r="L134" s="128">
        <f t="shared" si="2020"/>
        <v>0.17955904863828284</v>
      </c>
      <c r="M134" s="128">
        <f t="shared" si="2020"/>
        <v>0.19619281096967681</v>
      </c>
      <c r="N134" s="128">
        <f t="shared" si="2020"/>
        <v>0.14318565077418366</v>
      </c>
      <c r="O134" s="128">
        <f t="shared" si="2020"/>
        <v>0.14815451566109708</v>
      </c>
      <c r="P134" s="128">
        <f t="shared" si="2020"/>
        <v>0.36633601144200711</v>
      </c>
      <c r="Q134" s="128" t="e">
        <f t="shared" si="2020"/>
        <v>#DIV/0!</v>
      </c>
      <c r="R134" s="128">
        <f t="shared" si="2020"/>
        <v>0.13997649532999321</v>
      </c>
      <c r="S134" s="128">
        <f t="shared" si="2020"/>
        <v>0.4355273857821268</v>
      </c>
      <c r="T134" s="128">
        <f t="shared" si="2020"/>
        <v>0.32039418772745532</v>
      </c>
      <c r="U134" s="128" t="e">
        <f t="shared" si="2020"/>
        <v>#DIV/0!</v>
      </c>
      <c r="V134" s="180">
        <f t="shared" si="2020"/>
        <v>0.24077208930217459</v>
      </c>
      <c r="W134" s="128">
        <f t="shared" si="2020"/>
        <v>0</v>
      </c>
      <c r="X134" s="128">
        <f t="shared" si="2020"/>
        <v>0</v>
      </c>
      <c r="Y134" s="128">
        <f t="shared" si="2020"/>
        <v>1.2994301241649997</v>
      </c>
      <c r="Z134" s="128">
        <f t="shared" si="2020"/>
        <v>1.1961298786487373</v>
      </c>
      <c r="AA134" s="128">
        <f t="shared" si="2020"/>
        <v>0.69585129310344829</v>
      </c>
      <c r="AB134" s="128">
        <f t="shared" ref="AB134" si="2021">AB129/AB126</f>
        <v>3.4887813462384516E-2</v>
      </c>
      <c r="AC134" s="222">
        <f t="shared" si="2020"/>
        <v>0.27110581836175224</v>
      </c>
      <c r="AD134" s="128">
        <f t="shared" si="2020"/>
        <v>0.25537955031549908</v>
      </c>
      <c r="AE134" s="128">
        <f t="shared" si="2020"/>
        <v>0.16279855590531575</v>
      </c>
      <c r="AF134" s="128">
        <f t="shared" si="2020"/>
        <v>0.18416304541180656</v>
      </c>
      <c r="AG134" s="128">
        <f t="shared" si="2020"/>
        <v>0.83920834148659607</v>
      </c>
      <c r="AH134" s="128" t="e">
        <f t="shared" si="2020"/>
        <v>#DIV/0!</v>
      </c>
      <c r="AI134" s="128" t="e">
        <f t="shared" si="2020"/>
        <v>#DIV/0!</v>
      </c>
      <c r="AJ134" s="128">
        <f t="shared" si="2020"/>
        <v>0.18925842696629214</v>
      </c>
      <c r="AK134" s="128">
        <f t="shared" si="2020"/>
        <v>0.76815182427680417</v>
      </c>
      <c r="AL134" s="128">
        <f t="shared" si="2020"/>
        <v>0.16295298559151972</v>
      </c>
      <c r="AM134" s="128">
        <f t="shared" si="2020"/>
        <v>0.3088672282221801</v>
      </c>
      <c r="AN134" s="128">
        <f t="shared" si="2020"/>
        <v>0.43098910794693929</v>
      </c>
      <c r="AO134" s="180">
        <f t="shared" si="2020"/>
        <v>0.26167142242638969</v>
      </c>
      <c r="AP134" s="128">
        <f t="shared" si="2020"/>
        <v>0.33605944441713365</v>
      </c>
      <c r="AQ134" s="222">
        <f t="shared" si="2020"/>
        <v>0.5175571996163858</v>
      </c>
      <c r="AR134" s="128">
        <f t="shared" si="2020"/>
        <v>0.78995029488660551</v>
      </c>
      <c r="AS134" s="128" t="e">
        <f t="shared" si="2020"/>
        <v>#DIV/0!</v>
      </c>
      <c r="AT134" s="128" t="e">
        <f t="shared" si="2020"/>
        <v>#DIV/0!</v>
      </c>
      <c r="AU134" s="128">
        <f t="shared" si="2020"/>
        <v>0.7526740002469412</v>
      </c>
      <c r="AV134" s="128" t="e">
        <f t="shared" si="2020"/>
        <v>#DIV/0!</v>
      </c>
      <c r="AW134" s="128">
        <f t="shared" si="2020"/>
        <v>0.11154222858434416</v>
      </c>
      <c r="AX134" s="128">
        <f t="shared" si="2020"/>
        <v>0.22626529937148529</v>
      </c>
      <c r="AY134" s="128">
        <f t="shared" si="2020"/>
        <v>0.29694820818032164</v>
      </c>
      <c r="AZ134" s="128">
        <f t="shared" si="2020"/>
        <v>0.97147395091452271</v>
      </c>
      <c r="BA134" s="128">
        <f t="shared" si="2020"/>
        <v>0.63715141098852357</v>
      </c>
      <c r="BB134" s="222">
        <f t="shared" si="2020"/>
        <v>0.47489432400829923</v>
      </c>
      <c r="BC134" s="128">
        <f t="shared" si="2020"/>
        <v>0.26497369146098071</v>
      </c>
      <c r="BD134" s="128">
        <f t="shared" si="2020"/>
        <v>0.26497013029775623</v>
      </c>
      <c r="BE134" s="128">
        <f t="shared" si="2020"/>
        <v>0</v>
      </c>
      <c r="BF134" s="128">
        <f t="shared" si="2020"/>
        <v>0.31876384461613272</v>
      </c>
      <c r="BG134" s="128">
        <f t="shared" si="2020"/>
        <v>0.26165959214024082</v>
      </c>
      <c r="BH134" s="180">
        <f t="shared" si="2020"/>
        <v>0.29358847228302387</v>
      </c>
      <c r="BI134" s="128">
        <f t="shared" si="2020"/>
        <v>0.2819425270814247</v>
      </c>
      <c r="BJ134" s="128">
        <f t="shared" si="2020"/>
        <v>0.26106863582681511</v>
      </c>
      <c r="BK134" s="128">
        <f t="shared" si="2020"/>
        <v>0.30111133425379694</v>
      </c>
      <c r="BM134" s="128">
        <f t="shared" ref="BM134" si="2022">BM129/BM126</f>
        <v>0.36549586886761615</v>
      </c>
    </row>
    <row r="135" spans="1:65" x14ac:dyDescent="0.25">
      <c r="BG135" s="30">
        <f>BG129-BG118</f>
        <v>193174</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3"/>
  <sheetViews>
    <sheetView tabSelected="1" view="pageBreakPreview" zoomScaleSheetLayoutView="100" workbookViewId="0">
      <selection activeCell="H83" sqref="H83"/>
    </sheetView>
  </sheetViews>
  <sheetFormatPr defaultRowHeight="15" x14ac:dyDescent="0.25"/>
  <cols>
    <col min="2" max="2" width="27" customWidth="1"/>
    <col min="3" max="3" width="10" style="187" customWidth="1"/>
    <col min="4" max="4" width="12.42578125" customWidth="1"/>
    <col min="5" max="5" width="0.5703125" customWidth="1"/>
    <col min="6" max="6" width="9.85546875" customWidth="1"/>
    <col min="7" max="7" width="10.140625" customWidth="1"/>
    <col min="8" max="8" width="11.7109375" style="71" customWidth="1"/>
    <col min="9" max="9" width="10.5703125" customWidth="1"/>
    <col min="10" max="10" width="12" customWidth="1"/>
    <col min="11" max="11" width="9.42578125" customWidth="1"/>
    <col min="12" max="12" width="10.7109375" customWidth="1"/>
    <col min="13" max="13" width="9.140625" customWidth="1"/>
    <col min="14" max="14" width="11" customWidth="1"/>
    <col min="15" max="15" width="10.42578125" style="187" customWidth="1"/>
  </cols>
  <sheetData>
    <row r="1" spans="1:17" x14ac:dyDescent="0.25">
      <c r="B1" s="36" t="s">
        <v>296</v>
      </c>
      <c r="C1" s="36"/>
    </row>
    <row r="2" spans="1:17" x14ac:dyDescent="0.25">
      <c r="M2" s="36" t="s">
        <v>150</v>
      </c>
    </row>
    <row r="3" spans="1:17" s="36" customFormat="1" ht="15" customHeight="1" x14ac:dyDescent="0.25">
      <c r="B3" s="238" t="s">
        <v>151</v>
      </c>
      <c r="C3" s="237" t="s">
        <v>300</v>
      </c>
      <c r="D3" s="237" t="s">
        <v>317</v>
      </c>
      <c r="E3" s="237"/>
      <c r="F3" s="235" t="str">
        <f>'PU Wise OWE'!$B$5</f>
        <v xml:space="preserve">OBG(SL) 2021-22 </v>
      </c>
      <c r="G3" s="237" t="s">
        <v>299</v>
      </c>
      <c r="H3" s="235" t="str">
        <f>'PU Wise OWE'!$B$7</f>
        <v>Actuals upto June' 20</v>
      </c>
      <c r="I3" s="235" t="str">
        <f>'PU Wise OWE'!$B$6</f>
        <v>BP to end of  June'21</v>
      </c>
      <c r="J3" s="235" t="str">
        <f>'PU Wise OWE'!$B$8</f>
        <v>Actuals upto June' 21</v>
      </c>
      <c r="K3" s="234" t="s">
        <v>207</v>
      </c>
      <c r="L3" s="234"/>
      <c r="M3" s="234" t="s">
        <v>147</v>
      </c>
      <c r="N3" s="234"/>
      <c r="O3" s="258" t="s">
        <v>312</v>
      </c>
    </row>
    <row r="4" spans="1:17" ht="15.6" customHeight="1" x14ac:dyDescent="0.25">
      <c r="A4" s="31"/>
      <c r="B4" s="239"/>
      <c r="C4" s="236"/>
      <c r="D4" s="236"/>
      <c r="E4" s="236"/>
      <c r="F4" s="236"/>
      <c r="G4" s="236"/>
      <c r="H4" s="236"/>
      <c r="I4" s="236"/>
      <c r="J4" s="236"/>
      <c r="K4" s="19" t="s">
        <v>145</v>
      </c>
      <c r="L4" s="18" t="s">
        <v>146</v>
      </c>
      <c r="M4" s="19" t="s">
        <v>145</v>
      </c>
      <c r="N4" s="18" t="s">
        <v>146</v>
      </c>
      <c r="O4" s="258"/>
    </row>
    <row r="5" spans="1:17" x14ac:dyDescent="0.25">
      <c r="A5" s="31"/>
      <c r="B5" s="63" t="s">
        <v>148</v>
      </c>
      <c r="C5" s="22">
        <v>4575.6000000000004</v>
      </c>
      <c r="D5" s="68">
        <f>C5/C7</f>
        <v>0.5852640249884562</v>
      </c>
      <c r="E5" s="68"/>
      <c r="F5" s="22">
        <f>ROUND('PU Wise OWE'!$AD$126/10000,2)</f>
        <v>4658.2700000000004</v>
      </c>
      <c r="G5" s="68">
        <f>F5/F7</f>
        <v>0.58469561943014947</v>
      </c>
      <c r="H5" s="72">
        <f>ROUND('PU Wise OWE'!$AD$128/10000,2)</f>
        <v>1106.1300000000001</v>
      </c>
      <c r="I5" s="22">
        <f>ROUND('PU Wise OWE'!$AD$127/10000,2)</f>
        <v>1215.6500000000001</v>
      </c>
      <c r="J5" s="23">
        <f>ROUND('PU Wise OWE'!$AD$129/10000,2)</f>
        <v>1189.6300000000001</v>
      </c>
      <c r="K5" s="22">
        <f>J5-I5</f>
        <v>-26.019999999999982</v>
      </c>
      <c r="L5" s="24">
        <f>K5/I5</f>
        <v>-2.1404187060420334E-2</v>
      </c>
      <c r="M5" s="22">
        <f>J5-H5</f>
        <v>83.5</v>
      </c>
      <c r="N5" s="54">
        <f>M5/H5</f>
        <v>7.5488414562483605E-2</v>
      </c>
      <c r="O5" s="54">
        <f>J5/F5</f>
        <v>0.25538021626054308</v>
      </c>
    </row>
    <row r="6" spans="1:17" x14ac:dyDescent="0.25">
      <c r="A6" s="31"/>
      <c r="B6" s="80" t="s">
        <v>144</v>
      </c>
      <c r="C6" s="21">
        <v>3242.41</v>
      </c>
      <c r="D6" s="68">
        <f>C6/C7</f>
        <v>0.4147359750115438</v>
      </c>
      <c r="E6" s="68"/>
      <c r="F6" s="21">
        <f t="shared" ref="F6:J6" si="0">F7-F5</f>
        <v>3308.7299999999996</v>
      </c>
      <c r="G6" s="68">
        <f>F6/F7</f>
        <v>0.41530438056985058</v>
      </c>
      <c r="H6" s="72">
        <f>H7-H5</f>
        <v>923.36999999999989</v>
      </c>
      <c r="I6" s="21">
        <f t="shared" si="0"/>
        <v>1024.8699999999999</v>
      </c>
      <c r="J6" s="21">
        <f t="shared" si="0"/>
        <v>1209.3199999999997</v>
      </c>
      <c r="K6" s="22">
        <f t="shared" ref="K6:K7" si="1">J6-I6</f>
        <v>184.44999999999982</v>
      </c>
      <c r="L6" s="24">
        <f t="shared" ref="L6:L7" si="2">K6/I6</f>
        <v>0.17997404548869597</v>
      </c>
      <c r="M6" s="22">
        <f t="shared" ref="M6:M7" si="3">J6-H6</f>
        <v>285.94999999999982</v>
      </c>
      <c r="N6" s="54">
        <f t="shared" ref="N6:N7" si="4">M6/H6</f>
        <v>0.30968084299901433</v>
      </c>
      <c r="O6" s="54">
        <f t="shared" ref="O6:O7" si="5">J6/F6</f>
        <v>0.36549370906662071</v>
      </c>
    </row>
    <row r="7" spans="1:17" x14ac:dyDescent="0.25">
      <c r="A7" s="31"/>
      <c r="B7" s="27" t="s">
        <v>171</v>
      </c>
      <c r="C7" s="106">
        <f>SUM(C5:C6)</f>
        <v>7818.01</v>
      </c>
      <c r="D7" s="69">
        <f>SUM(D5:D6)</f>
        <v>1</v>
      </c>
      <c r="E7" s="69"/>
      <c r="F7" s="26">
        <f>ROUND('PU Wise OWE'!BK126/10000,2)</f>
        <v>7967</v>
      </c>
      <c r="G7" s="69">
        <f>SUM(G5:G6)</f>
        <v>1</v>
      </c>
      <c r="H7" s="73">
        <f>ROUND('PU Wise OWE'!BK128/10000,2)</f>
        <v>2029.5</v>
      </c>
      <c r="I7" s="26">
        <f>ROUND('PU Wise OWE'!BK127/10000,2)</f>
        <v>2240.52</v>
      </c>
      <c r="J7" s="25">
        <f>ROUND('PU Wise OWE'!BK129/10000,2)</f>
        <v>2398.9499999999998</v>
      </c>
      <c r="K7" s="26">
        <f t="shared" si="1"/>
        <v>158.42999999999984</v>
      </c>
      <c r="L7" s="56">
        <f t="shared" si="2"/>
        <v>7.0711263456697482E-2</v>
      </c>
      <c r="M7" s="26">
        <f t="shared" si="3"/>
        <v>369.44999999999982</v>
      </c>
      <c r="N7" s="57">
        <f t="shared" si="4"/>
        <v>0.18203991130820391</v>
      </c>
      <c r="O7" s="57">
        <f t="shared" si="5"/>
        <v>0.30111083218275386</v>
      </c>
    </row>
    <row r="8" spans="1:17" x14ac:dyDescent="0.25">
      <c r="A8" s="31"/>
      <c r="B8" s="32"/>
      <c r="C8" s="32"/>
      <c r="D8" s="33"/>
      <c r="E8" s="33"/>
      <c r="F8" s="34"/>
      <c r="G8" s="34"/>
      <c r="H8" s="74"/>
      <c r="I8" s="34"/>
      <c r="J8" s="31"/>
      <c r="K8" s="31"/>
      <c r="L8" s="35"/>
      <c r="M8" s="34"/>
      <c r="N8" s="31"/>
      <c r="Q8">
        <f>638.61/7972.35</f>
        <v>8.0103106361361448E-2</v>
      </c>
    </row>
    <row r="9" spans="1:17" ht="14.45" customHeight="1" x14ac:dyDescent="0.25">
      <c r="A9" s="31"/>
      <c r="D9" s="33"/>
      <c r="E9" s="33"/>
      <c r="F9" s="34"/>
      <c r="G9" s="34"/>
      <c r="H9" s="74"/>
      <c r="I9" s="34"/>
      <c r="J9" s="31"/>
      <c r="K9" s="31"/>
      <c r="L9" s="35"/>
      <c r="M9" s="34"/>
      <c r="N9" s="31"/>
    </row>
    <row r="10" spans="1:17" x14ac:dyDescent="0.25">
      <c r="A10" s="31"/>
      <c r="B10" s="64" t="s">
        <v>172</v>
      </c>
      <c r="C10" s="64"/>
      <c r="D10" s="65"/>
      <c r="E10" s="65"/>
      <c r="F10" s="65"/>
      <c r="G10" s="65"/>
      <c r="H10" s="75"/>
      <c r="I10" s="65"/>
      <c r="J10" s="65"/>
      <c r="M10" s="36" t="s">
        <v>150</v>
      </c>
    </row>
    <row r="11" spans="1:17" ht="15" customHeight="1" x14ac:dyDescent="0.25">
      <c r="A11" s="31"/>
      <c r="B11" s="240" t="s">
        <v>151</v>
      </c>
      <c r="C11" s="244" t="s">
        <v>300</v>
      </c>
      <c r="D11" s="244" t="s">
        <v>173</v>
      </c>
      <c r="E11" s="244"/>
      <c r="F11" s="242" t="str">
        <f>'PU Wise OWE'!$B$5</f>
        <v xml:space="preserve">OBG(SL) 2021-22 </v>
      </c>
      <c r="G11" s="244" t="s">
        <v>299</v>
      </c>
      <c r="H11" s="242" t="str">
        <f>'PU Wise OWE'!$B$7</f>
        <v>Actuals upto June' 20</v>
      </c>
      <c r="I11" s="242" t="str">
        <f>'PU Wise OWE'!$B$6</f>
        <v>BP to end of  June'21</v>
      </c>
      <c r="J11" s="242" t="str">
        <f>'PU Wise OWE'!$B$8</f>
        <v>Actuals upto June' 21</v>
      </c>
      <c r="K11" s="245" t="s">
        <v>207</v>
      </c>
      <c r="L11" s="245"/>
      <c r="M11" s="245" t="s">
        <v>147</v>
      </c>
      <c r="N11" s="245"/>
      <c r="O11" s="259" t="s">
        <v>312</v>
      </c>
    </row>
    <row r="12" spans="1:17" ht="15" customHeight="1" x14ac:dyDescent="0.25">
      <c r="A12" s="31"/>
      <c r="B12" s="241"/>
      <c r="C12" s="243"/>
      <c r="D12" s="243"/>
      <c r="E12" s="243"/>
      <c r="F12" s="243"/>
      <c r="G12" s="243"/>
      <c r="H12" s="243"/>
      <c r="I12" s="243"/>
      <c r="J12" s="243"/>
      <c r="K12" s="66" t="s">
        <v>145</v>
      </c>
      <c r="L12" s="67" t="s">
        <v>146</v>
      </c>
      <c r="M12" s="66" t="s">
        <v>145</v>
      </c>
      <c r="N12" s="67" t="s">
        <v>146</v>
      </c>
      <c r="O12" s="259"/>
    </row>
    <row r="13" spans="1:17" x14ac:dyDescent="0.25">
      <c r="A13" s="31"/>
      <c r="B13" s="20" t="s">
        <v>152</v>
      </c>
      <c r="C13" s="107">
        <v>2522.8000000000002</v>
      </c>
      <c r="D13" s="68">
        <f>C13/$C$7</f>
        <v>0.32269081262367277</v>
      </c>
      <c r="E13" s="21"/>
      <c r="F13" s="22">
        <f>ROUND('PU Wise OWE'!$C$126/10000,2)</f>
        <v>2509.4499999999998</v>
      </c>
      <c r="G13" s="24">
        <f>F13/$F$7</f>
        <v>0.3149805447470817</v>
      </c>
      <c r="H13" s="72">
        <f>ROUND('PU Wise OWE'!$C$128/10000,2)</f>
        <v>628.13</v>
      </c>
      <c r="I13" s="22">
        <f>ROUND('PU Wise OWE'!$C$127/10000,2)</f>
        <v>652.46</v>
      </c>
      <c r="J13" s="23">
        <f>ROUND('PU Wise OWE'!$C$129/10000,2)</f>
        <v>643.91</v>
      </c>
      <c r="K13" s="22">
        <f>J13-I13</f>
        <v>-8.5500000000000682</v>
      </c>
      <c r="L13" s="24">
        <f>K13/I13</f>
        <v>-1.3104251601630855E-2</v>
      </c>
      <c r="M13" s="22">
        <f>J13-H13</f>
        <v>15.779999999999973</v>
      </c>
      <c r="N13" s="54">
        <f>M13/H13</f>
        <v>2.5122188082084874E-2</v>
      </c>
      <c r="O13" s="54">
        <f t="shared" ref="O13:O28" si="6">J13/F13</f>
        <v>0.25659407439877263</v>
      </c>
    </row>
    <row r="14" spans="1:17" x14ac:dyDescent="0.25">
      <c r="A14" s="31"/>
      <c r="B14" s="20" t="s">
        <v>153</v>
      </c>
      <c r="C14" s="107">
        <v>441.91</v>
      </c>
      <c r="D14" s="68">
        <f t="shared" ref="D14:D27" si="7">C14/$C$7</f>
        <v>5.6524614320012385E-2</v>
      </c>
      <c r="E14" s="21"/>
      <c r="F14" s="22">
        <f>ROUND('PU Wise OWE'!$D$126/10000,2)</f>
        <v>451.98</v>
      </c>
      <c r="G14" s="24">
        <f t="shared" ref="G14:G27" si="8">F14/$F$7</f>
        <v>5.673151750972763E-2</v>
      </c>
      <c r="H14" s="72">
        <f>ROUND('PU Wise OWE'!$D$128/10000,2)</f>
        <v>109.85</v>
      </c>
      <c r="I14" s="22">
        <f>ROUND('PU Wise OWE'!$D$127/10000,2)</f>
        <v>117.51</v>
      </c>
      <c r="J14" s="23">
        <f>ROUND('PU Wise OWE'!$D$129/10000,2)</f>
        <v>113.89</v>
      </c>
      <c r="K14" s="22">
        <f t="shared" ref="K14:K17" si="9">J14-I14</f>
        <v>-3.6200000000000045</v>
      </c>
      <c r="L14" s="24">
        <f t="shared" ref="L14:L17" si="10">K14/I14</f>
        <v>-3.0805888860522546E-2</v>
      </c>
      <c r="M14" s="22">
        <f t="shared" ref="M14:M27" si="11">J14-H14</f>
        <v>4.0400000000000063</v>
      </c>
      <c r="N14" s="54">
        <f t="shared" ref="N14:N27" si="12">M14/H14</f>
        <v>3.6777423759672342E-2</v>
      </c>
      <c r="O14" s="54">
        <f t="shared" si="6"/>
        <v>0.25198017611398732</v>
      </c>
    </row>
    <row r="15" spans="1:17" x14ac:dyDescent="0.25">
      <c r="B15" s="23" t="s">
        <v>174</v>
      </c>
      <c r="C15" s="22">
        <v>98.2</v>
      </c>
      <c r="D15" s="68">
        <f t="shared" si="7"/>
        <v>1.2560741160474341E-2</v>
      </c>
      <c r="E15" s="21"/>
      <c r="F15" s="22">
        <f>ROUND('PU Wise OWE'!$E$126/10000,2)</f>
        <v>99.13</v>
      </c>
      <c r="G15" s="24">
        <f t="shared" si="8"/>
        <v>1.244257562445086E-2</v>
      </c>
      <c r="H15" s="72">
        <f>ROUND('PU Wise OWE'!$E$128/10000,2)</f>
        <v>0.39</v>
      </c>
      <c r="I15" s="22">
        <f>ROUND('PU Wise OWE'!$E$127/10000,2)</f>
        <v>0</v>
      </c>
      <c r="J15" s="23">
        <f>ROUND('PU Wise OWE'!$E$129/10000,2)</f>
        <v>0.23</v>
      </c>
      <c r="K15" s="22">
        <f t="shared" si="9"/>
        <v>0.23</v>
      </c>
      <c r="L15" s="24" t="e">
        <f t="shared" si="10"/>
        <v>#DIV/0!</v>
      </c>
      <c r="M15" s="22">
        <f t="shared" si="11"/>
        <v>-0.16</v>
      </c>
      <c r="N15" s="54">
        <f t="shared" si="12"/>
        <v>-0.41025641025641024</v>
      </c>
      <c r="O15" s="54">
        <f t="shared" si="6"/>
        <v>2.3201856148491883E-3</v>
      </c>
    </row>
    <row r="16" spans="1:17" x14ac:dyDescent="0.25">
      <c r="B16" s="23" t="s">
        <v>175</v>
      </c>
      <c r="C16" s="22">
        <v>264.85000000000002</v>
      </c>
      <c r="D16" s="68">
        <f t="shared" si="7"/>
        <v>3.3876907294823108E-2</v>
      </c>
      <c r="E16" s="21"/>
      <c r="F16" s="22">
        <f>ROUND('PU Wise OWE'!$F$126/10000,2)</f>
        <v>286.05</v>
      </c>
      <c r="G16" s="24">
        <f t="shared" si="8"/>
        <v>3.5904355466298485E-2</v>
      </c>
      <c r="H16" s="72">
        <f>ROUND('PU Wise OWE'!$F$128/10000,2)</f>
        <v>64.959999999999994</v>
      </c>
      <c r="I16" s="22">
        <f>ROUND('PU Wise OWE'!$F$127/10000,2)</f>
        <v>74.37</v>
      </c>
      <c r="J16" s="23">
        <f>ROUND('PU Wise OWE'!$F$129/10000,2)</f>
        <v>68.540000000000006</v>
      </c>
      <c r="K16" s="22">
        <f t="shared" si="9"/>
        <v>-5.8299999999999983</v>
      </c>
      <c r="L16" s="24">
        <f t="shared" si="10"/>
        <v>-7.8391824660481349E-2</v>
      </c>
      <c r="M16" s="22">
        <f t="shared" si="11"/>
        <v>3.5800000000000125</v>
      </c>
      <c r="N16" s="54">
        <f t="shared" si="12"/>
        <v>5.5110837438423842E-2</v>
      </c>
      <c r="O16" s="54">
        <f t="shared" si="6"/>
        <v>0.23960846005943018</v>
      </c>
    </row>
    <row r="17" spans="1:15" x14ac:dyDescent="0.25">
      <c r="B17" s="23" t="s">
        <v>176</v>
      </c>
      <c r="C17" s="22">
        <v>134.78</v>
      </c>
      <c r="D17" s="68">
        <f t="shared" si="7"/>
        <v>1.7239681197644924E-2</v>
      </c>
      <c r="E17" s="21"/>
      <c r="F17" s="22">
        <f>ROUND('PU Wise OWE'!$G$126/10000,2)</f>
        <v>148.21</v>
      </c>
      <c r="G17" s="24">
        <f t="shared" si="8"/>
        <v>1.8602987322706165E-2</v>
      </c>
      <c r="H17" s="72">
        <f>ROUND('PU Wise OWE'!$G$128/10000,2)</f>
        <v>33.659999999999997</v>
      </c>
      <c r="I17" s="22">
        <f>ROUND('PU Wise OWE'!$G$127/10000,2)</f>
        <v>38.53</v>
      </c>
      <c r="J17" s="23">
        <f>ROUND('PU Wise OWE'!$G$129/10000,2)</f>
        <v>34.590000000000003</v>
      </c>
      <c r="K17" s="22">
        <f t="shared" si="9"/>
        <v>-3.9399999999999977</v>
      </c>
      <c r="L17" s="24">
        <f t="shared" si="10"/>
        <v>-0.10225798079418628</v>
      </c>
      <c r="M17" s="22">
        <f t="shared" si="11"/>
        <v>0.93000000000000682</v>
      </c>
      <c r="N17" s="54">
        <f t="shared" si="12"/>
        <v>2.7629233511586658E-2</v>
      </c>
      <c r="O17" s="54">
        <f t="shared" si="6"/>
        <v>0.23338506173672494</v>
      </c>
    </row>
    <row r="18" spans="1:15" x14ac:dyDescent="0.25">
      <c r="A18" s="31"/>
      <c r="B18" s="20" t="s">
        <v>154</v>
      </c>
      <c r="C18" s="107">
        <v>247.05</v>
      </c>
      <c r="D18" s="68">
        <f t="shared" si="7"/>
        <v>3.1600113072252405E-2</v>
      </c>
      <c r="E18" s="21"/>
      <c r="F18" s="22">
        <f>ROUND('PU Wise OWE'!$H$126/10000,2)</f>
        <v>289.98</v>
      </c>
      <c r="G18" s="24">
        <f t="shared" si="8"/>
        <v>3.6397640266097653E-2</v>
      </c>
      <c r="H18" s="72">
        <f>ROUND('PU Wise OWE'!$H$128/10000,2)</f>
        <v>70.19</v>
      </c>
      <c r="I18" s="22">
        <f>ROUND('PU Wise OWE'!$H$127/10000,2)</f>
        <v>75.400000000000006</v>
      </c>
      <c r="J18" s="23">
        <f>ROUND('PU Wise OWE'!$H$129/10000,2)</f>
        <v>84.69</v>
      </c>
      <c r="K18" s="22">
        <f t="shared" ref="K18:K28" si="13">J18-I18</f>
        <v>9.289999999999992</v>
      </c>
      <c r="L18" s="24">
        <f t="shared" ref="L18:L28" si="14">K18/I18</f>
        <v>0.12320954907161792</v>
      </c>
      <c r="M18" s="22">
        <f t="shared" si="11"/>
        <v>14.5</v>
      </c>
      <c r="N18" s="54">
        <f t="shared" si="12"/>
        <v>0.20658213420715202</v>
      </c>
      <c r="O18" s="54">
        <f t="shared" si="6"/>
        <v>0.29205462445685909</v>
      </c>
    </row>
    <row r="19" spans="1:15" x14ac:dyDescent="0.25">
      <c r="A19" s="31"/>
      <c r="B19" s="58" t="s">
        <v>155</v>
      </c>
      <c r="C19" s="108">
        <v>188.24</v>
      </c>
      <c r="D19" s="68">
        <f t="shared" si="7"/>
        <v>2.4077738452624134E-2</v>
      </c>
      <c r="E19" s="21"/>
      <c r="F19" s="22">
        <f>ROUND('PU Wise OWE'!$J$126/10000,2)</f>
        <v>198.27</v>
      </c>
      <c r="G19" s="24">
        <f t="shared" si="8"/>
        <v>2.4886406426509352E-2</v>
      </c>
      <c r="H19" s="72">
        <f>ROUND('PU Wise OWE'!$J$128/10000,2)</f>
        <v>47.24</v>
      </c>
      <c r="I19" s="22">
        <f>ROUND('PU Wise OWE'!$J$127/10000,2)</f>
        <v>51.55</v>
      </c>
      <c r="J19" s="23">
        <f>ROUND('PU Wise OWE'!$J$129/10000,2)</f>
        <v>53.42</v>
      </c>
      <c r="K19" s="22">
        <f t="shared" si="13"/>
        <v>1.8700000000000045</v>
      </c>
      <c r="L19" s="24">
        <f t="shared" si="14"/>
        <v>3.6275460717749848E-2</v>
      </c>
      <c r="M19" s="22">
        <f t="shared" si="11"/>
        <v>6.18</v>
      </c>
      <c r="N19" s="54">
        <f t="shared" si="12"/>
        <v>0.13082133784928027</v>
      </c>
      <c r="O19" s="54">
        <f t="shared" si="6"/>
        <v>0.26943057446915819</v>
      </c>
    </row>
    <row r="20" spans="1:15" x14ac:dyDescent="0.25">
      <c r="A20" s="31"/>
      <c r="B20" s="20" t="s">
        <v>156</v>
      </c>
      <c r="C20" s="107">
        <v>12.03</v>
      </c>
      <c r="D20" s="68">
        <f t="shared" si="7"/>
        <v>1.5387547470519991E-3</v>
      </c>
      <c r="E20" s="21"/>
      <c r="F20" s="22">
        <f>ROUND('PU Wise OWE'!$K$126/10000,2)</f>
        <v>11.75</v>
      </c>
      <c r="G20" s="24">
        <f t="shared" si="8"/>
        <v>1.4748336889669888E-3</v>
      </c>
      <c r="H20" s="72">
        <f>ROUND('PU Wise OWE'!$K$128/10000,2)</f>
        <v>1.72</v>
      </c>
      <c r="I20" s="22">
        <f>ROUND('PU Wise OWE'!$K$127/10000,2)</f>
        <v>3.05</v>
      </c>
      <c r="J20" s="23">
        <f>ROUND('PU Wise OWE'!$K$129/10000,2)</f>
        <v>0.43</v>
      </c>
      <c r="K20" s="22">
        <f t="shared" si="13"/>
        <v>-2.6199999999999997</v>
      </c>
      <c r="L20" s="24">
        <f t="shared" si="14"/>
        <v>-0.85901639344262293</v>
      </c>
      <c r="M20" s="22">
        <f t="shared" si="11"/>
        <v>-1.29</v>
      </c>
      <c r="N20" s="54">
        <f t="shared" si="12"/>
        <v>-0.75</v>
      </c>
      <c r="O20" s="54">
        <f t="shared" si="6"/>
        <v>3.6595744680851063E-2</v>
      </c>
    </row>
    <row r="21" spans="1:15" x14ac:dyDescent="0.25">
      <c r="A21" s="31"/>
      <c r="B21" s="20" t="s">
        <v>157</v>
      </c>
      <c r="C21" s="107">
        <v>48.93</v>
      </c>
      <c r="D21" s="68">
        <f t="shared" si="7"/>
        <v>6.2586259163137422E-3</v>
      </c>
      <c r="E21" s="21"/>
      <c r="F21" s="22">
        <f>ROUND('PU Wise OWE'!$L$126/10000,2)</f>
        <v>52.98</v>
      </c>
      <c r="G21" s="24">
        <f t="shared" si="8"/>
        <v>6.6499309652315796E-3</v>
      </c>
      <c r="H21" s="72">
        <f>ROUND('PU Wise OWE'!$L$128/10000,2)</f>
        <v>16.02</v>
      </c>
      <c r="I21" s="22">
        <f>ROUND('PU Wise OWE'!$L$127/10000,2)</f>
        <v>13.78</v>
      </c>
      <c r="J21" s="23">
        <f>ROUND('PU Wise OWE'!$L$129/10000,2)</f>
        <v>9.51</v>
      </c>
      <c r="K21" s="22">
        <f t="shared" si="13"/>
        <v>-4.2699999999999996</v>
      </c>
      <c r="L21" s="24">
        <f t="shared" si="14"/>
        <v>-0.30986937590711172</v>
      </c>
      <c r="M21" s="22">
        <f t="shared" si="11"/>
        <v>-6.51</v>
      </c>
      <c r="N21" s="54">
        <f t="shared" si="12"/>
        <v>-0.40636704119850187</v>
      </c>
      <c r="O21" s="54">
        <f t="shared" si="6"/>
        <v>0.1795016987542469</v>
      </c>
    </row>
    <row r="22" spans="1:15" x14ac:dyDescent="0.25">
      <c r="A22" s="31"/>
      <c r="B22" s="20" t="s">
        <v>179</v>
      </c>
      <c r="C22" s="107">
        <v>120.4</v>
      </c>
      <c r="D22" s="68">
        <f t="shared" si="7"/>
        <v>1.540033844929848E-2</v>
      </c>
      <c r="E22" s="21"/>
      <c r="F22" s="22">
        <f>ROUND('PU Wise OWE'!$M$126/10000,2)</f>
        <v>149.94999999999999</v>
      </c>
      <c r="G22" s="24">
        <f t="shared" si="8"/>
        <v>1.882138822643404E-2</v>
      </c>
      <c r="H22" s="72">
        <f>ROUND('PU Wise OWE'!$M$128/10000,2)</f>
        <v>25.65</v>
      </c>
      <c r="I22" s="22">
        <f>ROUND('PU Wise OWE'!$M$127/10000,2)</f>
        <v>38.99</v>
      </c>
      <c r="J22" s="23">
        <f>ROUND('PU Wise OWE'!$M$129/10000,2)</f>
        <v>29.42</v>
      </c>
      <c r="K22" s="22">
        <f t="shared" ref="K22" si="15">J22-I22</f>
        <v>-9.57</v>
      </c>
      <c r="L22" s="24">
        <f t="shared" ref="L22" si="16">K22/I22</f>
        <v>-0.24544755065401386</v>
      </c>
      <c r="M22" s="22">
        <f t="shared" si="11"/>
        <v>3.7700000000000031</v>
      </c>
      <c r="N22" s="54">
        <f t="shared" si="12"/>
        <v>0.14697855750487343</v>
      </c>
      <c r="O22" s="54">
        <f t="shared" si="6"/>
        <v>0.19619873291097034</v>
      </c>
    </row>
    <row r="23" spans="1:15" x14ac:dyDescent="0.25">
      <c r="A23" s="31"/>
      <c r="B23" s="58" t="s">
        <v>158</v>
      </c>
      <c r="C23" s="108">
        <v>88.73</v>
      </c>
      <c r="D23" s="68">
        <f t="shared" si="7"/>
        <v>1.1349435470151612E-2</v>
      </c>
      <c r="E23" s="21"/>
      <c r="F23" s="22">
        <f>ROUND('PU Wise OWE'!$P$126/10000,2)</f>
        <v>92.29</v>
      </c>
      <c r="G23" s="24">
        <f t="shared" si="8"/>
        <v>1.1584034140830929E-2</v>
      </c>
      <c r="H23" s="72">
        <f>ROUND('PU Wise OWE'!$P$128/10000,2)</f>
        <v>27.25</v>
      </c>
      <c r="I23" s="22">
        <f>ROUND('PU Wise OWE'!$P$127/10000,2)</f>
        <v>24</v>
      </c>
      <c r="J23" s="23">
        <f>ROUND('PU Wise OWE'!$P$129/10000,2)</f>
        <v>33.81</v>
      </c>
      <c r="K23" s="22">
        <f t="shared" si="13"/>
        <v>9.8100000000000023</v>
      </c>
      <c r="L23" s="24">
        <f t="shared" si="14"/>
        <v>0.40875000000000011</v>
      </c>
      <c r="M23" s="22">
        <f t="shared" si="11"/>
        <v>6.5600000000000023</v>
      </c>
      <c r="N23" s="54">
        <f t="shared" si="12"/>
        <v>0.24073394495412853</v>
      </c>
      <c r="O23" s="54">
        <f t="shared" si="6"/>
        <v>0.3663452161664319</v>
      </c>
    </row>
    <row r="24" spans="1:15" x14ac:dyDescent="0.25">
      <c r="B24" s="58" t="s">
        <v>159</v>
      </c>
      <c r="C24" s="108">
        <v>81.78</v>
      </c>
      <c r="D24" s="68">
        <f t="shared" si="7"/>
        <v>1.0460462445046757E-2</v>
      </c>
      <c r="E24" s="21"/>
      <c r="F24" s="22">
        <f>ROUND('PU Wise OWE'!$S$126/10000,2)</f>
        <v>89.03</v>
      </c>
      <c r="G24" s="24">
        <f t="shared" si="8"/>
        <v>1.1174846240743065E-2</v>
      </c>
      <c r="H24" s="72">
        <f>ROUND('PU Wise OWE'!$S$128/10000,2)</f>
        <v>21.44</v>
      </c>
      <c r="I24" s="22">
        <f>ROUND('PU Wise OWE'!$S$127/10000,2)</f>
        <v>53.42</v>
      </c>
      <c r="J24" s="23">
        <f>ROUND('PU Wise OWE'!$S$129/10000,2)</f>
        <v>38.78</v>
      </c>
      <c r="K24" s="22">
        <f t="shared" si="13"/>
        <v>-14.64</v>
      </c>
      <c r="L24" s="24">
        <f t="shared" si="14"/>
        <v>-0.27405466117558969</v>
      </c>
      <c r="M24" s="22">
        <f t="shared" si="11"/>
        <v>17.34</v>
      </c>
      <c r="N24" s="54">
        <f t="shared" si="12"/>
        <v>0.80876865671641784</v>
      </c>
      <c r="O24" s="54">
        <f t="shared" si="6"/>
        <v>0.43558351117600808</v>
      </c>
    </row>
    <row r="25" spans="1:15" x14ac:dyDescent="0.25">
      <c r="B25" s="58" t="s">
        <v>160</v>
      </c>
      <c r="C25" s="108">
        <v>90.5</v>
      </c>
      <c r="D25" s="68">
        <f t="shared" si="7"/>
        <v>1.1575835794530833E-2</v>
      </c>
      <c r="E25" s="21"/>
      <c r="F25" s="22">
        <f>ROUND('PU Wise OWE'!$T$126/10000,2)</f>
        <v>83.15</v>
      </c>
      <c r="G25" s="24">
        <f t="shared" si="8"/>
        <v>1.0436801807455756E-2</v>
      </c>
      <c r="H25" s="72">
        <f>ROUND('PU Wise OWE'!$T$128/10000,2)</f>
        <v>21.74</v>
      </c>
      <c r="I25" s="22">
        <f>ROUND('PU Wise OWE'!$T$127/10000,2)</f>
        <v>21.62</v>
      </c>
      <c r="J25" s="23">
        <f>ROUND('PU Wise OWE'!$T$129/10000,2)</f>
        <v>26.64</v>
      </c>
      <c r="K25" s="22">
        <f t="shared" si="13"/>
        <v>5.0199999999999996</v>
      </c>
      <c r="L25" s="24">
        <f t="shared" si="14"/>
        <v>0.23219241443108229</v>
      </c>
      <c r="M25" s="22">
        <f t="shared" si="11"/>
        <v>4.9000000000000021</v>
      </c>
      <c r="N25" s="54">
        <f t="shared" si="12"/>
        <v>0.22539098436062568</v>
      </c>
      <c r="O25" s="54">
        <f t="shared" si="6"/>
        <v>0.32038484666265782</v>
      </c>
    </row>
    <row r="26" spans="1:15" x14ac:dyDescent="0.25">
      <c r="B26" s="58" t="s">
        <v>178</v>
      </c>
      <c r="C26" s="108">
        <v>41.07</v>
      </c>
      <c r="D26" s="68">
        <f t="shared" si="7"/>
        <v>5.2532549843246554E-3</v>
      </c>
      <c r="E26" s="22"/>
      <c r="F26" s="22">
        <f>ROUND('PU Wise OWE'!$V$126/10000,2)</f>
        <v>34.5</v>
      </c>
      <c r="G26" s="24">
        <f t="shared" si="8"/>
        <v>4.3303627463286056E-3</v>
      </c>
      <c r="H26" s="72">
        <f>ROUND('PU Wise OWE'!$V$128/10000,2)</f>
        <v>13.06</v>
      </c>
      <c r="I26" s="22">
        <f>ROUND('PU Wise OWE'!$V$127/10000,2)</f>
        <v>8.9700000000000006</v>
      </c>
      <c r="J26" s="23">
        <f>ROUND('PU Wise OWE'!$V$129/10000,2)</f>
        <v>8.31</v>
      </c>
      <c r="K26" s="22">
        <f t="shared" si="13"/>
        <v>-0.66000000000000014</v>
      </c>
      <c r="L26" s="24">
        <f t="shared" si="14"/>
        <v>-7.3578595317725759E-2</v>
      </c>
      <c r="M26" s="22">
        <f t="shared" si="11"/>
        <v>-4.75</v>
      </c>
      <c r="N26" s="54">
        <f t="shared" si="12"/>
        <v>-0.36370597243491576</v>
      </c>
      <c r="O26" s="54">
        <f t="shared" si="6"/>
        <v>0.24086956521739131</v>
      </c>
    </row>
    <row r="27" spans="1:15" x14ac:dyDescent="0.25">
      <c r="B27" s="58" t="s">
        <v>177</v>
      </c>
      <c r="C27" s="108">
        <v>169.78</v>
      </c>
      <c r="D27" s="68">
        <f t="shared" si="7"/>
        <v>2.1716523770115414E-2</v>
      </c>
      <c r="E27" s="22"/>
      <c r="F27" s="22">
        <f>ROUND('PU Wise OWE'!$AC$126/10000,2)</f>
        <v>133.18</v>
      </c>
      <c r="G27" s="24">
        <f t="shared" si="8"/>
        <v>1.6716455378436048E-2</v>
      </c>
      <c r="H27" s="72">
        <f>ROUND('PU Wise OWE'!$AC$128/10000,2)</f>
        <v>20.48</v>
      </c>
      <c r="I27" s="22">
        <f>ROUND('PU Wise OWE'!$AC$127/10000,2)</f>
        <v>34.630000000000003</v>
      </c>
      <c r="J27" s="23">
        <f>ROUND('PU Wise OWE'!$AC$129/10000,2)</f>
        <v>36.11</v>
      </c>
      <c r="K27" s="22">
        <f t="shared" ref="K27" si="17">J27-I27</f>
        <v>1.4799999999999969</v>
      </c>
      <c r="L27" s="24">
        <f t="shared" ref="L27" si="18">K27/I27</f>
        <v>4.2737510828761094E-2</v>
      </c>
      <c r="M27" s="22">
        <f t="shared" si="11"/>
        <v>15.629999999999999</v>
      </c>
      <c r="N27" s="54">
        <f t="shared" si="12"/>
        <v>0.76318359374999989</v>
      </c>
      <c r="O27" s="54">
        <f t="shared" si="6"/>
        <v>0.27113680732842765</v>
      </c>
    </row>
    <row r="28" spans="1:15" x14ac:dyDescent="0.25">
      <c r="B28" s="211" t="s">
        <v>149</v>
      </c>
      <c r="C28" s="212">
        <f>SUM(C13:C27)</f>
        <v>4551.0499999999993</v>
      </c>
      <c r="D28" s="214">
        <f>SUM(D13:D27)</f>
        <v>0.58212383969833748</v>
      </c>
      <c r="E28" s="212"/>
      <c r="F28" s="212">
        <f>F5</f>
        <v>4658.2700000000004</v>
      </c>
      <c r="G28" s="214">
        <f t="shared" ref="G28:J28" si="19">SUM(G13:G27)</f>
        <v>0.58113468055729889</v>
      </c>
      <c r="H28" s="213">
        <f>SUM(H13:H27)</f>
        <v>1101.78</v>
      </c>
      <c r="I28" s="212">
        <f t="shared" si="19"/>
        <v>1208.28</v>
      </c>
      <c r="J28" s="212">
        <f t="shared" si="19"/>
        <v>1182.2799999999997</v>
      </c>
      <c r="K28" s="212">
        <f t="shared" si="13"/>
        <v>-26.000000000000227</v>
      </c>
      <c r="L28" s="214">
        <f t="shared" si="14"/>
        <v>-2.15181911477474E-2</v>
      </c>
      <c r="M28" s="212">
        <f>J28-H28</f>
        <v>80.499999999999773</v>
      </c>
      <c r="N28" s="215">
        <f>M28/H28</f>
        <v>7.3063588012125633E-2</v>
      </c>
      <c r="O28" s="215">
        <f t="shared" si="6"/>
        <v>0.25380237727740118</v>
      </c>
    </row>
    <row r="29" spans="1:15" x14ac:dyDescent="0.25">
      <c r="J29" s="70"/>
    </row>
    <row r="31" spans="1:15" x14ac:dyDescent="0.25">
      <c r="B31" s="77" t="s">
        <v>180</v>
      </c>
      <c r="C31" s="77"/>
      <c r="D31" s="79"/>
      <c r="H31" s="78"/>
      <c r="M31" s="36" t="s">
        <v>150</v>
      </c>
    </row>
    <row r="32" spans="1:15" ht="15" customHeight="1" x14ac:dyDescent="0.25">
      <c r="B32" s="246" t="s">
        <v>151</v>
      </c>
      <c r="C32" s="251" t="s">
        <v>300</v>
      </c>
      <c r="D32" s="251" t="s">
        <v>173</v>
      </c>
      <c r="E32" s="251"/>
      <c r="F32" s="248" t="str">
        <f>'PU Wise OWE'!$B$5</f>
        <v xml:space="preserve">OBG(SL) 2021-22 </v>
      </c>
      <c r="G32" s="251" t="s">
        <v>206</v>
      </c>
      <c r="H32" s="248" t="str">
        <f>'PU Wise OWE'!$B$7</f>
        <v>Actuals upto June' 20</v>
      </c>
      <c r="I32" s="248" t="str">
        <f>'PU Wise OWE'!$B$6</f>
        <v>BP to end of  June'21</v>
      </c>
      <c r="J32" s="248" t="str">
        <f>'PU Wise OWE'!$B$8</f>
        <v>Actuals upto June' 21</v>
      </c>
      <c r="K32" s="250" t="s">
        <v>207</v>
      </c>
      <c r="L32" s="250"/>
      <c r="M32" s="250" t="s">
        <v>147</v>
      </c>
      <c r="N32" s="250"/>
      <c r="O32" s="252" t="s">
        <v>312</v>
      </c>
    </row>
    <row r="33" spans="2:15" ht="18" customHeight="1" x14ac:dyDescent="0.25">
      <c r="B33" s="247"/>
      <c r="C33" s="249"/>
      <c r="D33" s="249"/>
      <c r="E33" s="249"/>
      <c r="F33" s="249"/>
      <c r="G33" s="249"/>
      <c r="H33" s="249"/>
      <c r="I33" s="249"/>
      <c r="J33" s="249"/>
      <c r="K33" s="81" t="s">
        <v>145</v>
      </c>
      <c r="L33" s="82" t="s">
        <v>146</v>
      </c>
      <c r="M33" s="81" t="s">
        <v>145</v>
      </c>
      <c r="N33" s="82" t="s">
        <v>146</v>
      </c>
      <c r="O33" s="252"/>
    </row>
    <row r="34" spans="2:15" x14ac:dyDescent="0.25">
      <c r="B34" s="86" t="s">
        <v>181</v>
      </c>
      <c r="C34" s="109">
        <v>10.44</v>
      </c>
      <c r="D34" s="68">
        <f t="shared" ref="D34:D37" si="20">C34/$C$7</f>
        <v>1.335378184474054E-3</v>
      </c>
      <c r="E34" s="21"/>
      <c r="F34" s="22">
        <f>ROUND(('PU Wise OWE'!$AE$126+'PU Wise OWE'!$AF$126)/10000,2)</f>
        <v>9.56</v>
      </c>
      <c r="G34" s="24">
        <f t="shared" ref="G34:G37" si="21">F34/$F$7</f>
        <v>1.1999497928956947E-3</v>
      </c>
      <c r="H34" s="72">
        <f>ROUND(('PU Wise OWE'!$AE$128+'PU Wise OWE'!$AF$128)/10000,2)</f>
        <v>3.65</v>
      </c>
      <c r="I34" s="22">
        <f>ROUND(('PU Wise OWE'!$AE$127+'PU Wise OWE'!$AF$127)/10000,2)</f>
        <v>2.48</v>
      </c>
      <c r="J34" s="23">
        <f>ROUND(('PU Wise OWE'!$AE$129+'PU Wise OWE'!$AF$129)/10000,2)</f>
        <v>1.64</v>
      </c>
      <c r="K34" s="22">
        <f t="shared" ref="K34:K36" si="22">J34-I34</f>
        <v>-0.84000000000000008</v>
      </c>
      <c r="L34" s="24">
        <f t="shared" ref="L34:L36" si="23">K34/I34</f>
        <v>-0.33870967741935487</v>
      </c>
      <c r="M34" s="22">
        <f t="shared" ref="M34" si="24">J34-H34</f>
        <v>-2.0099999999999998</v>
      </c>
      <c r="N34" s="54">
        <f t="shared" ref="N34" si="25">M34/H34</f>
        <v>-0.55068493150684927</v>
      </c>
      <c r="O34" s="54">
        <f t="shared" ref="O34:O37" si="26">J34/F34</f>
        <v>0.17154811715481169</v>
      </c>
    </row>
    <row r="35" spans="2:15" ht="16.5" customHeight="1" x14ac:dyDescent="0.25">
      <c r="B35" s="86" t="s">
        <v>182</v>
      </c>
      <c r="C35" s="109">
        <v>21.76</v>
      </c>
      <c r="D35" s="68">
        <f t="shared" si="20"/>
        <v>2.783316982198795E-3</v>
      </c>
      <c r="E35" s="21"/>
      <c r="F35" s="22">
        <f>ROUND('PU Wise OWE'!$AG$126/10000,2)</f>
        <v>7.15</v>
      </c>
      <c r="G35" s="24">
        <f t="shared" si="21"/>
        <v>8.9745198945650811E-4</v>
      </c>
      <c r="H35" s="72">
        <f>ROUND('PU Wise OWE'!$AG$128/10000,2)</f>
        <v>7.16</v>
      </c>
      <c r="I35" s="22">
        <f>ROUND('PU Wise OWE'!$AG$127/10000,2)</f>
        <v>1.9</v>
      </c>
      <c r="J35" s="23">
        <f>ROUND('PU Wise OWE'!$AG$129/10000,2)</f>
        <v>6</v>
      </c>
      <c r="K35" s="22">
        <f t="shared" si="22"/>
        <v>4.0999999999999996</v>
      </c>
      <c r="L35" s="24">
        <f t="shared" si="23"/>
        <v>2.1578947368421053</v>
      </c>
      <c r="M35" s="22">
        <f t="shared" ref="M35:M37" si="27">J35-H35</f>
        <v>-1.1600000000000001</v>
      </c>
      <c r="N35" s="54">
        <f t="shared" ref="N35:N37" si="28">M35/H35</f>
        <v>-0.16201117318435757</v>
      </c>
      <c r="O35" s="54">
        <f t="shared" si="26"/>
        <v>0.83916083916083917</v>
      </c>
    </row>
    <row r="36" spans="2:15" ht="15.75" customHeight="1" x14ac:dyDescent="0.25">
      <c r="B36" s="86" t="s">
        <v>183</v>
      </c>
      <c r="C36" s="109">
        <v>2.42</v>
      </c>
      <c r="D36" s="68">
        <f t="shared" si="20"/>
        <v>3.0954168643938801E-4</v>
      </c>
      <c r="E36" s="21"/>
      <c r="F36" s="22">
        <f>ROUND('PU Wise OWE'!$AJ$126/10000,2)</f>
        <v>2.23</v>
      </c>
      <c r="G36" s="24">
        <f t="shared" si="21"/>
        <v>2.7990460650181999E-4</v>
      </c>
      <c r="H36" s="72">
        <f>ROUND('PU Wise OWE'!$AJ$128/10000,2)</f>
        <v>0.79</v>
      </c>
      <c r="I36" s="22">
        <f>ROUND('PU Wise OWE'!$AJ$127/10000,2)</f>
        <v>0.57999999999999996</v>
      </c>
      <c r="J36" s="23">
        <f>ROUND('PU Wise OWE'!$AJ$129/10000,2)</f>
        <v>0.42</v>
      </c>
      <c r="K36" s="22">
        <f t="shared" si="22"/>
        <v>-0.15999999999999998</v>
      </c>
      <c r="L36" s="24">
        <f t="shared" si="23"/>
        <v>-0.27586206896551724</v>
      </c>
      <c r="M36" s="22">
        <f t="shared" si="27"/>
        <v>-0.37000000000000005</v>
      </c>
      <c r="N36" s="54">
        <f t="shared" si="28"/>
        <v>-0.46835443037974689</v>
      </c>
      <c r="O36" s="54">
        <f t="shared" si="26"/>
        <v>0.18834080717488788</v>
      </c>
    </row>
    <row r="37" spans="2:15" x14ac:dyDescent="0.25">
      <c r="B37" s="25" t="s">
        <v>149</v>
      </c>
      <c r="C37" s="26">
        <v>34.619999999999997</v>
      </c>
      <c r="D37" s="69">
        <f t="shared" si="20"/>
        <v>4.4282368531122366E-3</v>
      </c>
      <c r="E37" s="26"/>
      <c r="F37" s="76">
        <f t="shared" ref="F37:J37" si="29">SUM(F34:F36)</f>
        <v>18.940000000000001</v>
      </c>
      <c r="G37" s="56">
        <f t="shared" si="21"/>
        <v>2.3773063888540228E-3</v>
      </c>
      <c r="H37" s="76">
        <f>SUM(H34:H36)</f>
        <v>11.600000000000001</v>
      </c>
      <c r="I37" s="76">
        <f t="shared" si="29"/>
        <v>4.96</v>
      </c>
      <c r="J37" s="76">
        <f t="shared" si="29"/>
        <v>8.06</v>
      </c>
      <c r="K37" s="26">
        <f t="shared" ref="K37" si="30">J37-I37</f>
        <v>3.1000000000000005</v>
      </c>
      <c r="L37" s="56">
        <f t="shared" ref="L37" si="31">K37/I37</f>
        <v>0.62500000000000011</v>
      </c>
      <c r="M37" s="26">
        <f t="shared" si="27"/>
        <v>-3.5400000000000009</v>
      </c>
      <c r="N37" s="57">
        <f t="shared" si="28"/>
        <v>-0.3051724137931035</v>
      </c>
      <c r="O37" s="57">
        <f t="shared" si="26"/>
        <v>0.42555438225976766</v>
      </c>
    </row>
    <row r="39" spans="2:15" x14ac:dyDescent="0.25">
      <c r="B39" s="84"/>
      <c r="C39" s="84"/>
      <c r="D39" s="84"/>
      <c r="H39" s="85"/>
      <c r="M39" s="36" t="s">
        <v>150</v>
      </c>
    </row>
    <row r="40" spans="2:15" ht="15" customHeight="1" x14ac:dyDescent="0.25">
      <c r="B40" s="252" t="s">
        <v>164</v>
      </c>
      <c r="C40" s="251" t="s">
        <v>300</v>
      </c>
      <c r="D40" s="251" t="s">
        <v>173</v>
      </c>
      <c r="E40" s="253"/>
      <c r="F40" s="248" t="str">
        <f>'PU Wise OWE'!$B$5</f>
        <v xml:space="preserve">OBG(SL) 2021-22 </v>
      </c>
      <c r="G40" s="251" t="s">
        <v>206</v>
      </c>
      <c r="H40" s="248" t="str">
        <f>'PU Wise OWE'!$B$7</f>
        <v>Actuals upto June' 20</v>
      </c>
      <c r="I40" s="248" t="str">
        <f>'PU Wise OWE'!$B$6</f>
        <v>BP to end of  June'21</v>
      </c>
      <c r="J40" s="248" t="str">
        <f>'PU Wise OWE'!$B$8</f>
        <v>Actuals upto June' 21</v>
      </c>
      <c r="K40" s="250" t="s">
        <v>207</v>
      </c>
      <c r="L40" s="250"/>
      <c r="M40" s="250" t="s">
        <v>147</v>
      </c>
      <c r="N40" s="250"/>
      <c r="O40" s="252" t="s">
        <v>312</v>
      </c>
    </row>
    <row r="41" spans="2:15" ht="17.25" customHeight="1" x14ac:dyDescent="0.25">
      <c r="B41" s="252"/>
      <c r="C41" s="249"/>
      <c r="D41" s="249"/>
      <c r="E41" s="254"/>
      <c r="F41" s="249"/>
      <c r="G41" s="249"/>
      <c r="H41" s="249"/>
      <c r="I41" s="249"/>
      <c r="J41" s="249"/>
      <c r="K41" s="81" t="s">
        <v>145</v>
      </c>
      <c r="L41" s="82" t="s">
        <v>146</v>
      </c>
      <c r="M41" s="81" t="s">
        <v>145</v>
      </c>
      <c r="N41" s="82" t="s">
        <v>146</v>
      </c>
      <c r="O41" s="252"/>
    </row>
    <row r="42" spans="2:15" x14ac:dyDescent="0.25">
      <c r="B42" s="27" t="s">
        <v>165</v>
      </c>
      <c r="C42" s="106">
        <v>273.47000000000003</v>
      </c>
      <c r="D42" s="68">
        <f t="shared" ref="D42:D49" si="32">C42/$C$7</f>
        <v>3.4979489665528697E-2</v>
      </c>
      <c r="E42" s="254"/>
      <c r="F42" s="21">
        <f>SUM(F43:F47)</f>
        <v>213.87</v>
      </c>
      <c r="G42" s="24">
        <f t="shared" ref="G42:G49" si="33">F42/$F$7</f>
        <v>2.684448349441446E-2</v>
      </c>
      <c r="H42" s="72">
        <f>SUM(H43:H47)</f>
        <v>70.94</v>
      </c>
      <c r="I42" s="21">
        <f>SUM(I43:I47)</f>
        <v>55.610000000000007</v>
      </c>
      <c r="J42" s="21">
        <f>SUM(J43:J47)</f>
        <v>164.14000000000001</v>
      </c>
      <c r="K42" s="22">
        <f>J42-I42</f>
        <v>108.53</v>
      </c>
      <c r="L42" s="24">
        <f>K42/I42</f>
        <v>1.9516274051429596</v>
      </c>
      <c r="M42" s="22">
        <f t="shared" ref="M42" si="34">J42-H42</f>
        <v>93.200000000000017</v>
      </c>
      <c r="N42" s="54">
        <f t="shared" ref="N42" si="35">M42/H42</f>
        <v>1.3137862982802371</v>
      </c>
      <c r="O42" s="54">
        <f t="shared" ref="O42:O48" si="36">J42/F42</f>
        <v>0.76747556927105254</v>
      </c>
    </row>
    <row r="43" spans="2:15" x14ac:dyDescent="0.25">
      <c r="B43" s="59" t="s">
        <v>161</v>
      </c>
      <c r="C43" s="21">
        <v>19.690000000000001</v>
      </c>
      <c r="D43" s="68">
        <f t="shared" si="32"/>
        <v>2.5185437214841119E-3</v>
      </c>
      <c r="E43" s="254"/>
      <c r="F43" s="21">
        <f>ROUND('PU Wise OWE'!$AK$82/10000,2)</f>
        <v>14.25</v>
      </c>
      <c r="G43" s="24">
        <f t="shared" si="33"/>
        <v>1.7886280908748589E-3</v>
      </c>
      <c r="H43" s="72">
        <f>ROUND('PU Wise OWE'!$AK$84/10000,2)</f>
        <v>3.62</v>
      </c>
      <c r="I43" s="21">
        <f>ROUND('PU Wise OWE'!$AK$83/10000,2)</f>
        <v>3.71</v>
      </c>
      <c r="J43" s="21">
        <f>ROUND('PU Wise OWE'!$AK$85/10000,2)</f>
        <v>10.26</v>
      </c>
      <c r="K43" s="22">
        <f t="shared" ref="K43:K49" si="37">J43-I43</f>
        <v>6.55</v>
      </c>
      <c r="L43" s="24">
        <f t="shared" ref="L43:L49" si="38">K43/I43</f>
        <v>1.7654986522911051</v>
      </c>
      <c r="M43" s="22">
        <f t="shared" ref="M43:M48" si="39">J43-H43</f>
        <v>6.64</v>
      </c>
      <c r="N43" s="54">
        <f t="shared" ref="N43:N48" si="40">M43/H43</f>
        <v>1.8342541436464086</v>
      </c>
      <c r="O43" s="54">
        <f t="shared" si="36"/>
        <v>0.72</v>
      </c>
    </row>
    <row r="44" spans="2:15" x14ac:dyDescent="0.25">
      <c r="B44" s="60" t="s">
        <v>168</v>
      </c>
      <c r="C44" s="110">
        <v>114.4</v>
      </c>
      <c r="D44" s="68">
        <f t="shared" si="32"/>
        <v>1.4632879722589252E-2</v>
      </c>
      <c r="E44" s="254"/>
      <c r="F44" s="21">
        <f>ROUND('PU Wise OWE'!$AR$82/10000,2)</f>
        <v>78.95</v>
      </c>
      <c r="G44" s="24">
        <f t="shared" si="33"/>
        <v>9.9096272122505338E-3</v>
      </c>
      <c r="H44" s="72">
        <f>ROUND('PU Wise OWE'!$AR$84/10000,2)</f>
        <v>28.24</v>
      </c>
      <c r="I44" s="21">
        <f>ROUND('PU Wise OWE'!$AR$83/10000,2)</f>
        <v>20.53</v>
      </c>
      <c r="J44" s="21">
        <f>ROUND('PU Wise OWE'!$AR$85/10000,2)</f>
        <v>62.36</v>
      </c>
      <c r="K44" s="22">
        <f t="shared" ref="K44:K45" si="41">J44-I44</f>
        <v>41.83</v>
      </c>
      <c r="L44" s="24">
        <f t="shared" ref="L44:L45" si="42">K44/I44</f>
        <v>2.0375060886507548</v>
      </c>
      <c r="M44" s="22">
        <f t="shared" si="39"/>
        <v>34.120000000000005</v>
      </c>
      <c r="N44" s="54">
        <f t="shared" si="40"/>
        <v>1.2082152974504252</v>
      </c>
      <c r="O44" s="54">
        <f t="shared" si="36"/>
        <v>0.78986700443318547</v>
      </c>
    </row>
    <row r="45" spans="2:15" x14ac:dyDescent="0.25">
      <c r="B45" s="60" t="s">
        <v>169</v>
      </c>
      <c r="C45" s="110">
        <v>46.69</v>
      </c>
      <c r="D45" s="68">
        <f t="shared" si="32"/>
        <v>5.9721079916756304E-3</v>
      </c>
      <c r="E45" s="254"/>
      <c r="F45" s="21">
        <f>ROUND('PU Wise OWE'!$AU$82/10000,2)</f>
        <v>34.83</v>
      </c>
      <c r="G45" s="24">
        <f t="shared" si="33"/>
        <v>4.3717836073804443E-3</v>
      </c>
      <c r="H45" s="72">
        <f>ROUND('PU Wise OWE'!$AU$84/10000,2)</f>
        <v>11.4</v>
      </c>
      <c r="I45" s="21">
        <f>ROUND('PU Wise OWE'!$AU$83/10000,2)</f>
        <v>9.0500000000000007</v>
      </c>
      <c r="J45" s="21">
        <f>ROUND('PU Wise OWE'!$AU$85/10000,2)</f>
        <v>26.21</v>
      </c>
      <c r="K45" s="22">
        <f t="shared" si="41"/>
        <v>17.16</v>
      </c>
      <c r="L45" s="24">
        <f t="shared" si="42"/>
        <v>1.8961325966850828</v>
      </c>
      <c r="M45" s="22">
        <f t="shared" si="39"/>
        <v>14.81</v>
      </c>
      <c r="N45" s="54">
        <f t="shared" si="40"/>
        <v>1.2991228070175438</v>
      </c>
      <c r="O45" s="54">
        <f t="shared" si="36"/>
        <v>0.75251220212460523</v>
      </c>
    </row>
    <row r="46" spans="2:15" x14ac:dyDescent="0.25">
      <c r="B46" s="59" t="s">
        <v>166</v>
      </c>
      <c r="C46" s="21">
        <v>54.55</v>
      </c>
      <c r="D46" s="68">
        <f t="shared" si="32"/>
        <v>6.9774789236647173E-3</v>
      </c>
      <c r="E46" s="254"/>
      <c r="F46" s="21">
        <f>ROUND('PU Wise OWE'!$AZ$82/10000,2)</f>
        <v>31.73</v>
      </c>
      <c r="G46" s="24">
        <f t="shared" si="33"/>
        <v>3.9826785490146861E-3</v>
      </c>
      <c r="H46" s="72">
        <f>ROUND('PU Wise OWE'!$AZ$84/10000,2)</f>
        <v>6.98</v>
      </c>
      <c r="I46" s="21">
        <f>ROUND('PU Wise OWE'!$AZ$83/10000,2)</f>
        <v>8.25</v>
      </c>
      <c r="J46" s="21">
        <f>ROUND('PU Wise OWE'!$AZ$85/10000,2)</f>
        <v>30.83</v>
      </c>
      <c r="K46" s="22">
        <f t="shared" si="37"/>
        <v>22.58</v>
      </c>
      <c r="L46" s="24">
        <f t="shared" si="38"/>
        <v>2.7369696969696968</v>
      </c>
      <c r="M46" s="22">
        <f t="shared" si="39"/>
        <v>23.849999999999998</v>
      </c>
      <c r="N46" s="54">
        <f t="shared" si="40"/>
        <v>3.416905444126074</v>
      </c>
      <c r="O46" s="54">
        <f t="shared" si="36"/>
        <v>0.97163567601638823</v>
      </c>
    </row>
    <row r="47" spans="2:15" x14ac:dyDescent="0.25">
      <c r="B47" s="60" t="s">
        <v>167</v>
      </c>
      <c r="C47" s="110">
        <v>38.14</v>
      </c>
      <c r="D47" s="68">
        <f t="shared" si="32"/>
        <v>4.878479306114983E-3</v>
      </c>
      <c r="E47" s="254"/>
      <c r="F47" s="21">
        <f>ROUND('PU Wise OWE'!$BA$82/10000,2)</f>
        <v>54.11</v>
      </c>
      <c r="G47" s="24">
        <f t="shared" si="33"/>
        <v>6.791766034893937E-3</v>
      </c>
      <c r="H47" s="72">
        <f>ROUND('PU Wise OWE'!$BA$84/10000,2)</f>
        <v>20.7</v>
      </c>
      <c r="I47" s="21">
        <f>ROUND('PU Wise OWE'!$BA$83/10000,2)</f>
        <v>14.07</v>
      </c>
      <c r="J47" s="21">
        <f>ROUND('PU Wise OWE'!$BA$85/10000,2)</f>
        <v>34.479999999999997</v>
      </c>
      <c r="K47" s="22">
        <f t="shared" si="37"/>
        <v>20.409999999999997</v>
      </c>
      <c r="L47" s="24">
        <f t="shared" si="38"/>
        <v>1.450604122245913</v>
      </c>
      <c r="M47" s="22">
        <f t="shared" si="39"/>
        <v>13.779999999999998</v>
      </c>
      <c r="N47" s="54">
        <f t="shared" si="40"/>
        <v>0.66570048309178731</v>
      </c>
      <c r="O47" s="54">
        <f t="shared" si="36"/>
        <v>0.63722047680650518</v>
      </c>
    </row>
    <row r="48" spans="2:15" x14ac:dyDescent="0.25">
      <c r="B48" s="61" t="s">
        <v>170</v>
      </c>
      <c r="C48" s="105">
        <v>663.48</v>
      </c>
      <c r="D48" s="68">
        <f t="shared" si="32"/>
        <v>8.4865585999506263E-2</v>
      </c>
      <c r="E48" s="254"/>
      <c r="F48" s="21">
        <f>ROUND('PU Wise OWE'!$AM$82/10000,2)</f>
        <v>685.16</v>
      </c>
      <c r="G48" s="24">
        <f t="shared" si="33"/>
        <v>8.599974896447847E-2</v>
      </c>
      <c r="H48" s="72">
        <f>ROUND('PU Wise OWE'!$AM$84/10000,2)</f>
        <v>157.85</v>
      </c>
      <c r="I48" s="21">
        <f>ROUND('PU Wise OWE'!$AM$83/10000,2)</f>
        <v>178.14</v>
      </c>
      <c r="J48" s="21">
        <f>ROUND('PU Wise OWE'!$AM$85/10000,2)</f>
        <v>213.92</v>
      </c>
      <c r="K48" s="22">
        <f t="shared" si="37"/>
        <v>35.78</v>
      </c>
      <c r="L48" s="24">
        <f t="shared" si="38"/>
        <v>0.20085326147973506</v>
      </c>
      <c r="M48" s="22">
        <f t="shared" si="39"/>
        <v>56.069999999999993</v>
      </c>
      <c r="N48" s="54">
        <f t="shared" si="40"/>
        <v>0.35521064301552102</v>
      </c>
      <c r="O48" s="54">
        <f t="shared" si="36"/>
        <v>0.31221904372701265</v>
      </c>
    </row>
    <row r="49" spans="2:15" s="36" customFormat="1" x14ac:dyDescent="0.25">
      <c r="B49" s="62" t="s">
        <v>130</v>
      </c>
      <c r="C49" s="76">
        <f>C42+C48</f>
        <v>936.95</v>
      </c>
      <c r="D49" s="69">
        <f t="shared" si="32"/>
        <v>0.11984507566503497</v>
      </c>
      <c r="E49" s="255"/>
      <c r="F49" s="26">
        <f>F42+F48</f>
        <v>899.03</v>
      </c>
      <c r="G49" s="56">
        <f t="shared" si="33"/>
        <v>0.11284423245889293</v>
      </c>
      <c r="H49" s="76">
        <f>H42+H48</f>
        <v>228.79</v>
      </c>
      <c r="I49" s="26">
        <f>I42+I48</f>
        <v>233.75</v>
      </c>
      <c r="J49" s="26">
        <f>J42+J48</f>
        <v>378.06</v>
      </c>
      <c r="K49" s="26">
        <f t="shared" si="37"/>
        <v>144.31</v>
      </c>
      <c r="L49" s="56">
        <f t="shared" si="38"/>
        <v>0.61736898395721929</v>
      </c>
      <c r="M49" s="26">
        <f t="shared" ref="M49" si="43">J49-H49</f>
        <v>149.27000000000001</v>
      </c>
      <c r="N49" s="57">
        <f t="shared" ref="N49" si="44">M49/H49</f>
        <v>0.65243236155426376</v>
      </c>
      <c r="O49" s="57">
        <f t="shared" ref="O49" si="45">J49/F49</f>
        <v>0.42051989366317033</v>
      </c>
    </row>
    <row r="51" spans="2:15" x14ac:dyDescent="0.25">
      <c r="B51" s="77" t="s">
        <v>184</v>
      </c>
      <c r="C51" s="77"/>
    </row>
    <row r="52" spans="2:15" ht="47.25" customHeight="1" x14ac:dyDescent="0.25">
      <c r="B52" s="83" t="s">
        <v>185</v>
      </c>
      <c r="C52" s="111">
        <v>188.88</v>
      </c>
      <c r="D52" s="68">
        <f t="shared" ref="D52:D54" si="46">C52/$C$7</f>
        <v>2.4159600716806451E-2</v>
      </c>
      <c r="E52" s="265"/>
      <c r="F52" s="22">
        <f>ROUND('PU Wise OWE'!$AK$126/10000,2)-F43</f>
        <v>121.82</v>
      </c>
      <c r="G52" s="24">
        <f t="shared" ref="G52:G54" si="47">F52/$F$7</f>
        <v>1.5290573616166687E-2</v>
      </c>
      <c r="H52" s="72">
        <f>ROUND('PU Wise OWE'!$AK$128/10000,2)-H43</f>
        <v>10.73</v>
      </c>
      <c r="I52" s="22">
        <f>ROUND('PU Wise OWE'!$AK$127/10000,2)-I43</f>
        <v>31.67</v>
      </c>
      <c r="J52" s="22">
        <f>ROUND('PU Wise OWE'!$AK$129/10000,2)-J43</f>
        <v>94.259999999999991</v>
      </c>
      <c r="K52" s="22">
        <f>J52-I52</f>
        <v>62.589999999999989</v>
      </c>
      <c r="L52" s="24">
        <f>K52/I52</f>
        <v>1.9763182822860748</v>
      </c>
      <c r="M52" s="22">
        <f t="shared" ref="M52" si="48">J52-H52</f>
        <v>83.529999999999987</v>
      </c>
      <c r="N52" s="54">
        <f t="shared" ref="N52" si="49">M52/H52</f>
        <v>7.7847157502329898</v>
      </c>
      <c r="O52" s="54">
        <f t="shared" ref="O52:O54" si="50">J52/F52</f>
        <v>0.7737645706780496</v>
      </c>
    </row>
    <row r="53" spans="2:15" x14ac:dyDescent="0.25">
      <c r="B53" s="20" t="s">
        <v>162</v>
      </c>
      <c r="C53" s="107">
        <v>121.46</v>
      </c>
      <c r="D53" s="68">
        <f t="shared" si="46"/>
        <v>1.5535922824350441E-2</v>
      </c>
      <c r="E53" s="266"/>
      <c r="F53" s="22">
        <f>ROUND('PU Wise OWE'!$AL$126/10000,2)</f>
        <v>109.58</v>
      </c>
      <c r="G53" s="24">
        <f t="shared" si="47"/>
        <v>1.3754236224425755E-2</v>
      </c>
      <c r="H53" s="72">
        <f>ROUND('PU Wise OWE'!$AL$128/10000,2)</f>
        <v>30.36</v>
      </c>
      <c r="I53" s="22">
        <f>ROUND('PU Wise OWE'!$AL$127/10000,2)</f>
        <v>28.49</v>
      </c>
      <c r="J53" s="23">
        <f>ROUND('PU Wise OWE'!$AL$129/10000,2)</f>
        <v>17.86</v>
      </c>
      <c r="K53" s="22">
        <f t="shared" ref="K53" si="51">J53-I53</f>
        <v>-10.629999999999999</v>
      </c>
      <c r="L53" s="24">
        <f t="shared" ref="L53" si="52">K53/I53</f>
        <v>-0.37311337311337311</v>
      </c>
      <c r="M53" s="22">
        <f t="shared" ref="M53:M54" si="53">J53-H53</f>
        <v>-12.5</v>
      </c>
      <c r="N53" s="54">
        <f t="shared" ref="N53:N54" si="54">M53/H53</f>
        <v>-0.41172595520421607</v>
      </c>
      <c r="O53" s="54">
        <f t="shared" si="50"/>
        <v>0.16298594634057309</v>
      </c>
    </row>
    <row r="54" spans="2:15" s="36" customFormat="1" x14ac:dyDescent="0.25">
      <c r="B54" s="25" t="s">
        <v>130</v>
      </c>
      <c r="C54" s="26">
        <f>C52+C53</f>
        <v>310.33999999999997</v>
      </c>
      <c r="D54" s="69">
        <f t="shared" si="46"/>
        <v>3.9695523541156887E-2</v>
      </c>
      <c r="E54" s="267"/>
      <c r="F54" s="76">
        <f t="shared" ref="F54:J54" si="55">SUM(F52:F53)</f>
        <v>231.39999999999998</v>
      </c>
      <c r="G54" s="56">
        <f t="shared" si="47"/>
        <v>2.9044809840592441E-2</v>
      </c>
      <c r="H54" s="76">
        <f>SUM(H52:H53)</f>
        <v>41.09</v>
      </c>
      <c r="I54" s="76">
        <f t="shared" si="55"/>
        <v>60.16</v>
      </c>
      <c r="J54" s="76">
        <f t="shared" si="55"/>
        <v>112.11999999999999</v>
      </c>
      <c r="K54" s="26">
        <f t="shared" ref="K54" si="56">J54-I54</f>
        <v>51.959999999999994</v>
      </c>
      <c r="L54" s="56">
        <f t="shared" ref="L54" si="57">K54/I54</f>
        <v>0.86369680851063824</v>
      </c>
      <c r="M54" s="26">
        <f t="shared" si="53"/>
        <v>71.029999999999987</v>
      </c>
      <c r="N54" s="57">
        <f t="shared" si="54"/>
        <v>1.7286444390362614</v>
      </c>
      <c r="O54" s="57">
        <f t="shared" si="50"/>
        <v>0.48452895419187553</v>
      </c>
    </row>
    <row r="56" spans="2:15" s="36" customFormat="1" x14ac:dyDescent="0.25">
      <c r="B56" s="208" t="s">
        <v>163</v>
      </c>
      <c r="C56" s="112">
        <v>348.19</v>
      </c>
      <c r="D56" s="203" t="e">
        <f>#REF!/#REF!</f>
        <v>#REF!</v>
      </c>
      <c r="E56" s="55"/>
      <c r="F56" s="204">
        <f>ROUND('PU Wise OWE'!$AO$126/10000,2)</f>
        <v>304.54000000000002</v>
      </c>
      <c r="G56" s="205">
        <f t="shared" ref="G56" si="58">F56/$F$7</f>
        <v>3.8225178862809087E-2</v>
      </c>
      <c r="H56" s="209">
        <f>ROUND('PU Wise OWE'!$AO$128/10000,2)</f>
        <v>95.77</v>
      </c>
      <c r="I56" s="204">
        <f>ROUND('PU Wise OWE'!$AO$127/10000,2)</f>
        <v>79.180000000000007</v>
      </c>
      <c r="J56" s="135">
        <f>ROUND('PU Wise OWE'!$AO$129/10000,2)</f>
        <v>79.69</v>
      </c>
      <c r="K56" s="204">
        <f t="shared" ref="K56" si="59">J56-I56</f>
        <v>0.50999999999999091</v>
      </c>
      <c r="L56" s="205">
        <f t="shared" ref="L56" si="60">K56/I56</f>
        <v>6.441020459711933E-3</v>
      </c>
      <c r="M56" s="204">
        <f t="shared" ref="M56" si="61">J56-H56</f>
        <v>-16.079999999999998</v>
      </c>
      <c r="N56" s="206">
        <f t="shared" ref="N56" si="62">M56/H56</f>
        <v>-0.16790226584525425</v>
      </c>
      <c r="O56" s="206">
        <f t="shared" ref="O56" si="63">J56/F56</f>
        <v>0.26167334340316539</v>
      </c>
    </row>
    <row r="57" spans="2:15" x14ac:dyDescent="0.25">
      <c r="C57" s="201"/>
      <c r="O57" s="102"/>
    </row>
    <row r="58" spans="2:15" x14ac:dyDescent="0.25">
      <c r="B58" s="77" t="s">
        <v>186</v>
      </c>
      <c r="C58" s="207"/>
      <c r="O58" s="207"/>
    </row>
    <row r="59" spans="2:15" x14ac:dyDescent="0.25">
      <c r="B59" s="23" t="s">
        <v>187</v>
      </c>
      <c r="C59" s="22">
        <v>80.099999999999994</v>
      </c>
      <c r="D59" s="68">
        <f t="shared" ref="D59:D63" si="64">C59/$C$7</f>
        <v>1.0245574001568173E-2</v>
      </c>
      <c r="E59" s="262"/>
      <c r="F59" s="22">
        <f>ROUND('PU Wise OWE'!$AM$60/10000,2)</f>
        <v>67.81</v>
      </c>
      <c r="G59" s="24">
        <f t="shared" ref="G59:G63" si="65">F59/$F$7</f>
        <v>8.5113593573490649E-3</v>
      </c>
      <c r="H59" s="72">
        <f>ROUND('PU Wise OWE'!$AM$62/10000,2)</f>
        <v>10.17</v>
      </c>
      <c r="I59" s="22">
        <f>ROUND('PU Wise OWE'!$AM$61/10000,2)</f>
        <v>17.63</v>
      </c>
      <c r="J59" s="23">
        <f>ROUND('PU Wise OWE'!$AM$63/10000,2)</f>
        <v>21.59</v>
      </c>
      <c r="K59" s="22">
        <f t="shared" ref="K59:K61" si="66">J59-I59</f>
        <v>3.9600000000000009</v>
      </c>
      <c r="L59" s="24">
        <f t="shared" ref="L59:L61" si="67">K59/I59</f>
        <v>0.22461712989222921</v>
      </c>
      <c r="M59" s="22">
        <f t="shared" ref="M59" si="68">J59-H59</f>
        <v>11.42</v>
      </c>
      <c r="N59" s="54">
        <f t="shared" ref="N59" si="69">M59/H59</f>
        <v>1.1229105211406096</v>
      </c>
      <c r="O59" s="54">
        <f t="shared" ref="O59:O63" si="70">J59/F59</f>
        <v>0.31838961805043503</v>
      </c>
    </row>
    <row r="60" spans="2:15" x14ac:dyDescent="0.25">
      <c r="B60" s="23" t="s">
        <v>188</v>
      </c>
      <c r="C60" s="22">
        <v>21.26</v>
      </c>
      <c r="D60" s="68">
        <f t="shared" si="64"/>
        <v>2.7193620883063595E-3</v>
      </c>
      <c r="E60" s="263"/>
      <c r="F60" s="22">
        <f>ROUND('PU Wise OWE'!$AM$93/10000,2)</f>
        <v>16.309999999999999</v>
      </c>
      <c r="G60" s="24">
        <f t="shared" si="65"/>
        <v>2.0471946780469437E-3</v>
      </c>
      <c r="H60" s="72">
        <f>ROUND('PU Wise OWE'!$AM$95/10000,2)</f>
        <v>4.3099999999999996</v>
      </c>
      <c r="I60" s="22">
        <f>ROUND('PU Wise OWE'!$AM$94/10000,2)</f>
        <v>4.24</v>
      </c>
      <c r="J60" s="23">
        <f>ROUND('PU Wise OWE'!$AM$96/10000,2)</f>
        <v>2.17</v>
      </c>
      <c r="K60" s="22">
        <f t="shared" si="66"/>
        <v>-2.0700000000000003</v>
      </c>
      <c r="L60" s="24">
        <f t="shared" si="67"/>
        <v>-0.48820754716981135</v>
      </c>
      <c r="M60" s="22">
        <f t="shared" ref="M60:M62" si="71">J60-H60</f>
        <v>-2.1399999999999997</v>
      </c>
      <c r="N60" s="54">
        <f t="shared" ref="N60:N62" si="72">M60/H60</f>
        <v>-0.49651972157772617</v>
      </c>
      <c r="O60" s="54">
        <f t="shared" si="70"/>
        <v>0.13304721030042918</v>
      </c>
    </row>
    <row r="61" spans="2:15" x14ac:dyDescent="0.25">
      <c r="B61" s="23" t="s">
        <v>189</v>
      </c>
      <c r="C61" s="22">
        <v>9.89</v>
      </c>
      <c r="D61" s="68">
        <f t="shared" si="64"/>
        <v>1.265027801192375E-3</v>
      </c>
      <c r="E61" s="263"/>
      <c r="F61" s="22">
        <f>ROUND('PU Wise OWE'!$AN$16/10000,2)</f>
        <v>10.1</v>
      </c>
      <c r="G61" s="24">
        <f>F61/$F$7</f>
        <v>1.2677293837077947E-3</v>
      </c>
      <c r="H61" s="72">
        <f>ROUND('PU Wise OWE'!$AN$18/10000,2)</f>
        <v>3.19</v>
      </c>
      <c r="I61" s="22">
        <f>ROUND('PU Wise OWE'!$AN$17/10000,2)</f>
        <v>2.63</v>
      </c>
      <c r="J61" s="23">
        <f>ROUND('PU Wise OWE'!$AN$19/10000,2)</f>
        <v>4.42</v>
      </c>
      <c r="K61" s="22">
        <f t="shared" si="66"/>
        <v>1.79</v>
      </c>
      <c r="L61" s="24">
        <f t="shared" si="67"/>
        <v>0.68060836501901145</v>
      </c>
      <c r="M61" s="22">
        <f t="shared" si="71"/>
        <v>1.23</v>
      </c>
      <c r="N61" s="54">
        <f t="shared" si="72"/>
        <v>0.38557993730407525</v>
      </c>
      <c r="O61" s="54">
        <f t="shared" si="70"/>
        <v>0.43762376237623762</v>
      </c>
    </row>
    <row r="62" spans="2:15" x14ac:dyDescent="0.25">
      <c r="B62" s="23" t="s">
        <v>190</v>
      </c>
      <c r="C62" s="22">
        <v>1.64</v>
      </c>
      <c r="D62" s="68">
        <f t="shared" si="64"/>
        <v>2.0977205196718855E-4</v>
      </c>
      <c r="E62" s="263"/>
      <c r="F62" s="22">
        <f>ROUND('PU Wise OWE'!$AN$60/10000,2)</f>
        <v>1.46</v>
      </c>
      <c r="G62" s="24">
        <f>F62/$F$7</f>
        <v>1.8325593071419607E-4</v>
      </c>
      <c r="H62" s="72">
        <f>ROUND('PU Wise OWE'!$AN$62/10000,2)</f>
        <v>5.15</v>
      </c>
      <c r="I62" s="22">
        <f>ROUND('PU Wise OWE'!$AN$61/10000,2)</f>
        <v>0.38</v>
      </c>
      <c r="J62" s="23">
        <f>ROUND('PU Wise OWE'!$AN$63/10000,2)</f>
        <v>1.19</v>
      </c>
      <c r="K62" s="22">
        <f t="shared" ref="K62" si="73">J62-I62</f>
        <v>0.80999999999999994</v>
      </c>
      <c r="L62" s="24">
        <f t="shared" ref="L62" si="74">K62/I62</f>
        <v>2.1315789473684208</v>
      </c>
      <c r="M62" s="22">
        <f t="shared" si="71"/>
        <v>-3.9600000000000004</v>
      </c>
      <c r="N62" s="54">
        <f t="shared" si="72"/>
        <v>-0.76893203883495154</v>
      </c>
      <c r="O62" s="54">
        <f t="shared" si="70"/>
        <v>0.81506849315068497</v>
      </c>
    </row>
    <row r="63" spans="2:15" s="36" customFormat="1" x14ac:dyDescent="0.25">
      <c r="B63" s="25" t="s">
        <v>130</v>
      </c>
      <c r="C63" s="26">
        <f>C59+C60+C61+C62</f>
        <v>112.89</v>
      </c>
      <c r="D63" s="69">
        <f t="shared" si="64"/>
        <v>1.4439735943034097E-2</v>
      </c>
      <c r="E63" s="264"/>
      <c r="F63" s="26">
        <f>SUM(F59:F62)</f>
        <v>95.679999999999993</v>
      </c>
      <c r="G63" s="56">
        <f t="shared" si="65"/>
        <v>1.2009539349817999E-2</v>
      </c>
      <c r="H63" s="76">
        <f>SUM(H59:H62)</f>
        <v>22.82</v>
      </c>
      <c r="I63" s="26">
        <f>SUM(I59:I62)</f>
        <v>24.879999999999995</v>
      </c>
      <c r="J63" s="26">
        <f>SUM(J59:J62)</f>
        <v>29.37</v>
      </c>
      <c r="K63" s="26">
        <f t="shared" ref="K63" si="75">J63-I63</f>
        <v>4.4900000000000055</v>
      </c>
      <c r="L63" s="56">
        <f t="shared" ref="L63" si="76">K63/I63</f>
        <v>0.18046623794212244</v>
      </c>
      <c r="M63" s="26">
        <f t="shared" ref="M63" si="77">J63-H63</f>
        <v>6.5500000000000007</v>
      </c>
      <c r="N63" s="57">
        <f t="shared" ref="N63" si="78">M63/H63</f>
        <v>0.2870289219982472</v>
      </c>
      <c r="O63" s="57">
        <f t="shared" si="70"/>
        <v>0.30696070234113715</v>
      </c>
    </row>
    <row r="64" spans="2:15" x14ac:dyDescent="0.25">
      <c r="O64" s="94"/>
    </row>
    <row r="65" spans="2:15" x14ac:dyDescent="0.25">
      <c r="B65" s="77" t="s">
        <v>191</v>
      </c>
      <c r="C65" s="77"/>
    </row>
    <row r="66" spans="2:15" x14ac:dyDescent="0.25">
      <c r="B66" s="23" t="s">
        <v>192</v>
      </c>
      <c r="C66" s="22">
        <v>1117.51</v>
      </c>
      <c r="D66" s="68">
        <f t="shared" ref="D66:D68" si="79">C66/$C$7</f>
        <v>0.14294046694747128</v>
      </c>
      <c r="E66" s="23"/>
      <c r="F66" s="22">
        <f>ROUND('PU Wise OWE'!$AP$71/10000,2)</f>
        <v>1543.31</v>
      </c>
      <c r="G66" s="24">
        <f t="shared" ref="G66:G68" si="80">F66/$F$7</f>
        <v>0.1937128153633739</v>
      </c>
      <c r="H66" s="72">
        <f>ROUND('PU Wise OWE'!$AP$73/10000,2)</f>
        <v>472.6</v>
      </c>
      <c r="I66" s="22">
        <f>ROUND('PU Wise OWE'!$AP$72/10000,2)</f>
        <v>563.62</v>
      </c>
      <c r="J66" s="23">
        <f>ROUND('PU Wise OWE'!$AP$74/10000,2)</f>
        <v>513.04999999999995</v>
      </c>
      <c r="K66" s="22">
        <f t="shared" ref="K66" si="81">J66-I66</f>
        <v>-50.57000000000005</v>
      </c>
      <c r="L66" s="24">
        <f t="shared" ref="L66" si="82">K66/I66</f>
        <v>-8.9723572619850339E-2</v>
      </c>
      <c r="M66" s="22">
        <f t="shared" ref="M66" si="83">J66-H66</f>
        <v>40.449999999999932</v>
      </c>
      <c r="N66" s="54">
        <f t="shared" ref="N66" si="84">M66/H66</f>
        <v>8.5590351248412883E-2</v>
      </c>
      <c r="O66" s="54">
        <f t="shared" ref="O66:O68" si="85">J66/F66</f>
        <v>0.33243483162812393</v>
      </c>
    </row>
    <row r="67" spans="2:15" x14ac:dyDescent="0.25">
      <c r="B67" s="89" t="s">
        <v>193</v>
      </c>
      <c r="C67" s="113">
        <v>38.520000000000003</v>
      </c>
      <c r="D67" s="68">
        <f t="shared" si="79"/>
        <v>4.9270850254732341E-3</v>
      </c>
      <c r="E67" s="23"/>
      <c r="F67" s="22">
        <f>ROUND('PU Wise OWE'!$AP$126/10000,2)-F66</f>
        <v>35.230000000000018</v>
      </c>
      <c r="G67" s="24">
        <f t="shared" si="80"/>
        <v>4.4219907116857058E-3</v>
      </c>
      <c r="H67" s="72">
        <f>ROUND('PU Wise OWE'!$AP$128/10000,2)-H66</f>
        <v>8.1999999999999886</v>
      </c>
      <c r="I67" s="22">
        <f>ROUND('PU Wise OWE'!$AP$127/10000,2)-I66</f>
        <v>9.1599999999999682</v>
      </c>
      <c r="J67" s="23">
        <f>ROUND('PU Wise OWE'!$AP$129/10000,2)-J66</f>
        <v>17.430000000000064</v>
      </c>
      <c r="K67" s="22">
        <f t="shared" ref="K67:K83" si="86">J67-I67</f>
        <v>8.2700000000000955</v>
      </c>
      <c r="L67" s="24">
        <f t="shared" ref="L67:L83" si="87">K67/I67</f>
        <v>0.90283842794761182</v>
      </c>
      <c r="M67" s="22">
        <f t="shared" ref="M67" si="88">J67-H67</f>
        <v>9.230000000000075</v>
      </c>
      <c r="N67" s="54">
        <f t="shared" ref="N67" si="89">M67/H67</f>
        <v>1.1256097560975717</v>
      </c>
      <c r="O67" s="54">
        <f t="shared" si="85"/>
        <v>0.49474879364178415</v>
      </c>
    </row>
    <row r="68" spans="2:15" s="36" customFormat="1" x14ac:dyDescent="0.25">
      <c r="B68" s="25" t="s">
        <v>130</v>
      </c>
      <c r="C68" s="26">
        <f>C66+C67</f>
        <v>1156.03</v>
      </c>
      <c r="D68" s="69">
        <f t="shared" si="79"/>
        <v>0.14786755197294452</v>
      </c>
      <c r="E68" s="90"/>
      <c r="F68" s="76">
        <f>SUM(F66:F67)</f>
        <v>1578.54</v>
      </c>
      <c r="G68" s="56">
        <f t="shared" si="80"/>
        <v>0.19813480607505962</v>
      </c>
      <c r="H68" s="76">
        <f>SUM(H66:H67)</f>
        <v>480.8</v>
      </c>
      <c r="I68" s="76">
        <f>SUM(I66:I67)</f>
        <v>572.78</v>
      </c>
      <c r="J68" s="76">
        <f>SUM(J66:J67)</f>
        <v>530.48</v>
      </c>
      <c r="K68" s="26">
        <f t="shared" si="86"/>
        <v>-42.299999999999955</v>
      </c>
      <c r="L68" s="56">
        <f t="shared" si="87"/>
        <v>-7.3850343936589888E-2</v>
      </c>
      <c r="M68" s="26">
        <f t="shared" ref="M68" si="90">J68-H68</f>
        <v>49.680000000000007</v>
      </c>
      <c r="N68" s="57">
        <f t="shared" ref="N68" si="91">M68/H68</f>
        <v>0.10332778702163063</v>
      </c>
      <c r="O68" s="57">
        <f t="shared" si="85"/>
        <v>0.33605736946798942</v>
      </c>
    </row>
    <row r="69" spans="2:15" x14ac:dyDescent="0.25">
      <c r="E69" s="31"/>
      <c r="F69" s="34"/>
      <c r="G69" s="34"/>
      <c r="I69" s="34"/>
      <c r="J69" s="31"/>
      <c r="K69" s="34"/>
      <c r="L69" s="35"/>
      <c r="M69" s="34"/>
      <c r="N69" s="94"/>
      <c r="O69" s="36"/>
    </row>
    <row r="70" spans="2:15" x14ac:dyDescent="0.25">
      <c r="B70" s="77" t="s">
        <v>195</v>
      </c>
      <c r="C70" s="77"/>
      <c r="E70" s="31"/>
      <c r="F70" s="34"/>
      <c r="G70" s="34"/>
      <c r="I70" s="34"/>
      <c r="J70" s="31"/>
      <c r="K70" s="34"/>
      <c r="L70" s="35"/>
      <c r="M70" s="34"/>
      <c r="N70" s="94"/>
    </row>
    <row r="71" spans="2:15" x14ac:dyDescent="0.25">
      <c r="B71" s="23" t="s">
        <v>194</v>
      </c>
      <c r="C71" s="22">
        <v>12.31</v>
      </c>
      <c r="D71" s="68">
        <f t="shared" ref="D71:D73" si="92">C71/$C$7</f>
        <v>1.5745694876317631E-3</v>
      </c>
      <c r="E71" s="23"/>
      <c r="F71" s="72">
        <f>ROUND('PU Wise OWE'!$AQ$27/10000,2)+ROUND('PU Wise OWE'!$BB$27/10000,2)</f>
        <v>11.17</v>
      </c>
      <c r="G71" s="24">
        <f t="shared" ref="G71:G73" si="93">F71/$F$7</f>
        <v>1.402033387724363E-3</v>
      </c>
      <c r="H71" s="72">
        <f>ROUND('PU Wise OWE'!$AQ$29/10000,2)+ROUND('PU Wise OWE'!$BB$29/10000,2)</f>
        <v>4.82</v>
      </c>
      <c r="I71" s="72">
        <f>ROUND('PU Wise OWE'!$AQ$28/10000,2)+ROUND('PU Wise OWE'!$BB$28/10000,2)</f>
        <v>2.9</v>
      </c>
      <c r="J71" s="72">
        <f>ROUND('PU Wise OWE'!$AQ$30/10000,2)+ROUND('PU Wise OWE'!$BB$30/10000,2)</f>
        <v>7.31</v>
      </c>
      <c r="K71" s="22">
        <f t="shared" si="86"/>
        <v>4.41</v>
      </c>
      <c r="L71" s="24">
        <f t="shared" si="87"/>
        <v>1.5206896551724138</v>
      </c>
      <c r="M71" s="22">
        <f t="shared" ref="M71:M72" si="94">J71-H71</f>
        <v>2.4899999999999993</v>
      </c>
      <c r="N71" s="54">
        <f t="shared" ref="N71:N72" si="95">M71/H71</f>
        <v>0.51659751037344381</v>
      </c>
      <c r="O71" s="54">
        <f t="shared" ref="O71:O73" si="96">J71/F71</f>
        <v>0.65443151298119961</v>
      </c>
    </row>
    <row r="72" spans="2:15" x14ac:dyDescent="0.25">
      <c r="B72" s="23" t="s">
        <v>196</v>
      </c>
      <c r="C72" s="22">
        <v>114.52</v>
      </c>
      <c r="D72" s="68">
        <f t="shared" si="92"/>
        <v>1.4648228897123436E-2</v>
      </c>
      <c r="E72" s="23"/>
      <c r="F72" s="72">
        <f>ROUND('PU Wise OWE'!$AQ$38/10000,2)+ROUND('PU Wise OWE'!$BB$38/10000,2)</f>
        <v>79.58</v>
      </c>
      <c r="G72" s="24">
        <f t="shared" si="93"/>
        <v>9.9887034015313167E-3</v>
      </c>
      <c r="H72" s="72">
        <f>ROUND('PU Wise OWE'!$AQ$40/10000,2)+ROUND('PU Wise OWE'!$BB$40/10000,2)</f>
        <v>11.66</v>
      </c>
      <c r="I72" s="72">
        <f>ROUND('PU Wise OWE'!$AQ$39/10000,2)+ROUND('PU Wise OWE'!$BB$39/10000,2)</f>
        <v>20.69</v>
      </c>
      <c r="J72" s="72">
        <f>ROUND('PU Wise OWE'!$AQ$41/10000,2)+ROUND('PU Wise OWE'!$BB$41/10000,2)</f>
        <v>34.97</v>
      </c>
      <c r="K72" s="22">
        <f t="shared" si="86"/>
        <v>14.279999999999998</v>
      </c>
      <c r="L72" s="24">
        <f t="shared" si="87"/>
        <v>0.69018849685838557</v>
      </c>
      <c r="M72" s="22">
        <f t="shared" si="94"/>
        <v>23.31</v>
      </c>
      <c r="N72" s="54">
        <f t="shared" si="95"/>
        <v>1.9991423670668953</v>
      </c>
      <c r="O72" s="54">
        <f t="shared" si="96"/>
        <v>0.43943201809499871</v>
      </c>
    </row>
    <row r="73" spans="2:15" s="36" customFormat="1" x14ac:dyDescent="0.25">
      <c r="B73" s="25" t="s">
        <v>130</v>
      </c>
      <c r="C73" s="26">
        <f>C71+C72</f>
        <v>126.83</v>
      </c>
      <c r="D73" s="69">
        <f t="shared" si="92"/>
        <v>1.62227983847552E-2</v>
      </c>
      <c r="E73" s="25"/>
      <c r="F73" s="76">
        <f>SUM(F71:F72)</f>
        <v>90.75</v>
      </c>
      <c r="G73" s="56">
        <f t="shared" si="93"/>
        <v>1.139073678925568E-2</v>
      </c>
      <c r="H73" s="76">
        <f>SUM(H71:H72)</f>
        <v>16.48</v>
      </c>
      <c r="I73" s="76">
        <f t="shared" ref="I73:J73" si="97">SUM(I71:I72)</f>
        <v>23.59</v>
      </c>
      <c r="J73" s="76">
        <f t="shared" si="97"/>
        <v>42.28</v>
      </c>
      <c r="K73" s="26">
        <f t="shared" si="86"/>
        <v>18.690000000000001</v>
      </c>
      <c r="L73" s="56">
        <f t="shared" si="87"/>
        <v>0.79228486646884277</v>
      </c>
      <c r="M73" s="26">
        <f t="shared" ref="M73" si="98">J73-H73</f>
        <v>25.8</v>
      </c>
      <c r="N73" s="57">
        <f t="shared" ref="N73" si="99">M73/H73</f>
        <v>1.5655339805825244</v>
      </c>
      <c r="O73" s="57">
        <f t="shared" si="96"/>
        <v>0.46589531680440771</v>
      </c>
    </row>
    <row r="74" spans="2:15" s="36" customFormat="1" x14ac:dyDescent="0.25">
      <c r="B74" s="216"/>
      <c r="C74" s="217"/>
      <c r="D74" s="219"/>
      <c r="E74" s="216"/>
      <c r="F74" s="218"/>
      <c r="G74" s="220"/>
      <c r="H74" s="218"/>
      <c r="I74" s="218"/>
      <c r="J74" s="218"/>
      <c r="K74" s="217"/>
      <c r="L74" s="220"/>
      <c r="M74" s="217"/>
      <c r="N74" s="221"/>
      <c r="O74" s="221"/>
    </row>
    <row r="75" spans="2:15" s="36" customFormat="1" x14ac:dyDescent="0.25">
      <c r="B75" s="216"/>
      <c r="C75" s="217"/>
      <c r="D75" s="219"/>
      <c r="E75" s="216"/>
      <c r="F75" s="218"/>
      <c r="G75" s="220"/>
      <c r="H75" s="218"/>
      <c r="I75" s="218"/>
      <c r="J75" s="218"/>
      <c r="K75" s="217"/>
      <c r="L75" s="220"/>
      <c r="M75" s="36" t="s">
        <v>150</v>
      </c>
      <c r="N75" s="221"/>
      <c r="O75" s="221"/>
    </row>
    <row r="76" spans="2:15" x14ac:dyDescent="0.25">
      <c r="B76" s="272" t="s">
        <v>316</v>
      </c>
      <c r="C76" s="252" t="s">
        <v>300</v>
      </c>
      <c r="D76" s="252" t="s">
        <v>173</v>
      </c>
      <c r="E76" s="252"/>
      <c r="F76" s="273" t="str">
        <f>'PU Wise OWE'!$B$5</f>
        <v xml:space="preserve">OBG(SL) 2021-22 </v>
      </c>
      <c r="G76" s="252" t="s">
        <v>206</v>
      </c>
      <c r="H76" s="273" t="str">
        <f>'PU Wise OWE'!$B$7</f>
        <v>Actuals upto June' 20</v>
      </c>
      <c r="I76" s="273" t="str">
        <f>'PU Wise OWE'!$B$6</f>
        <v>BP to end of  June'21</v>
      </c>
      <c r="J76" s="273" t="str">
        <f>'PU Wise OWE'!$B$8</f>
        <v>Actuals upto June' 21</v>
      </c>
      <c r="K76" s="250" t="s">
        <v>207</v>
      </c>
      <c r="L76" s="250"/>
      <c r="M76" s="250" t="s">
        <v>147</v>
      </c>
      <c r="N76" s="250"/>
      <c r="O76" s="252" t="s">
        <v>312</v>
      </c>
    </row>
    <row r="77" spans="2:15" ht="30" x14ac:dyDescent="0.25">
      <c r="B77" s="272"/>
      <c r="C77" s="252"/>
      <c r="D77" s="252"/>
      <c r="E77" s="252"/>
      <c r="F77" s="252"/>
      <c r="G77" s="252"/>
      <c r="H77" s="252"/>
      <c r="I77" s="252"/>
      <c r="J77" s="252"/>
      <c r="K77" s="81" t="s">
        <v>145</v>
      </c>
      <c r="L77" s="82" t="s">
        <v>146</v>
      </c>
      <c r="M77" s="81" t="s">
        <v>145</v>
      </c>
      <c r="N77" s="82" t="s">
        <v>146</v>
      </c>
      <c r="O77" s="252"/>
    </row>
    <row r="78" spans="2:15" x14ac:dyDescent="0.25">
      <c r="B78" s="23" t="s">
        <v>199</v>
      </c>
      <c r="C78" s="22">
        <v>2</v>
      </c>
      <c r="D78" s="68">
        <f t="shared" ref="D78:D84" si="100">C78/$C$7</f>
        <v>2.5581957556974216E-4</v>
      </c>
      <c r="E78" s="23"/>
      <c r="F78" s="22">
        <f>ROUND('PU Wise OWE'!$AW$126/10000,2)</f>
        <v>2.65</v>
      </c>
      <c r="G78" s="24">
        <f t="shared" ref="G78:G84" si="101">F78/$F$7</f>
        <v>3.3262206602234214E-4</v>
      </c>
      <c r="H78" s="72">
        <f>ROUND('PU Wise OWE'!$AW$128/10000,2)</f>
        <v>0.45</v>
      </c>
      <c r="I78" s="22">
        <f>ROUND('PU Wise OWE'!$AW$127/10000,2)</f>
        <v>0.69</v>
      </c>
      <c r="J78" s="23">
        <f>ROUND('PU Wise OWE'!$AW$129/10000,2)</f>
        <v>0.3</v>
      </c>
      <c r="K78" s="22">
        <f t="shared" si="86"/>
        <v>-0.38999999999999996</v>
      </c>
      <c r="L78" s="24">
        <f t="shared" si="87"/>
        <v>-0.56521739130434778</v>
      </c>
      <c r="M78" s="22">
        <f t="shared" ref="M78:M79" si="102">J78-H78</f>
        <v>-0.15000000000000002</v>
      </c>
      <c r="N78" s="54">
        <f t="shared" ref="N78:N79" si="103">M78/H78</f>
        <v>-0.33333333333333337</v>
      </c>
      <c r="O78" s="54">
        <f t="shared" ref="O78:O86" si="104">J78/F78</f>
        <v>0.11320754716981132</v>
      </c>
    </row>
    <row r="79" spans="2:15" x14ac:dyDescent="0.25">
      <c r="B79" s="23" t="s">
        <v>198</v>
      </c>
      <c r="C79" s="22">
        <v>1.66</v>
      </c>
      <c r="D79" s="68">
        <f t="shared" si="100"/>
        <v>2.1233024772288598E-4</v>
      </c>
      <c r="E79" s="23"/>
      <c r="F79" s="22">
        <f>ROUND('PU Wise OWE'!$AX$126/10000,2)</f>
        <v>1.81</v>
      </c>
      <c r="G79" s="24">
        <f t="shared" si="101"/>
        <v>2.2718714698129785E-4</v>
      </c>
      <c r="H79" s="72">
        <f>ROUND('PU Wise OWE'!$AX$128/10000,2)</f>
        <v>0.39</v>
      </c>
      <c r="I79" s="22">
        <f>ROUND('PU Wise OWE'!$AX$127/10000,2)</f>
        <v>0.47</v>
      </c>
      <c r="J79" s="23">
        <f>ROUND('PU Wise OWE'!$AX$129/10000,2)</f>
        <v>0.41</v>
      </c>
      <c r="K79" s="22">
        <f t="shared" si="86"/>
        <v>-0.06</v>
      </c>
      <c r="L79" s="24">
        <f t="shared" si="87"/>
        <v>-0.1276595744680851</v>
      </c>
      <c r="M79" s="22">
        <f t="shared" si="102"/>
        <v>1.9999999999999962E-2</v>
      </c>
      <c r="N79" s="54">
        <f t="shared" si="103"/>
        <v>5.1282051282051183E-2</v>
      </c>
      <c r="O79" s="54">
        <f t="shared" si="104"/>
        <v>0.22651933701657456</v>
      </c>
    </row>
    <row r="80" spans="2:15" x14ac:dyDescent="0.25">
      <c r="B80" s="23" t="s">
        <v>200</v>
      </c>
      <c r="C80" s="22">
        <v>16.940000000000001</v>
      </c>
      <c r="D80" s="68">
        <f t="shared" si="100"/>
        <v>2.1667918050757161E-3</v>
      </c>
      <c r="E80" s="23"/>
      <c r="F80" s="22">
        <f>ROUND('PU Wise OWE'!$BC$126/10000,2)</f>
        <v>14.88</v>
      </c>
      <c r="G80" s="24">
        <f t="shared" si="101"/>
        <v>1.8677042801556422E-3</v>
      </c>
      <c r="H80" s="72">
        <f>ROUND('PU Wise OWE'!$BC$128/10000,2)</f>
        <v>4.55</v>
      </c>
      <c r="I80" s="22">
        <f>ROUND('PU Wise OWE'!$BC$127/10000,2)</f>
        <v>3.87</v>
      </c>
      <c r="J80" s="23">
        <f>ROUND('PU Wise OWE'!$BC$129/10000,2)</f>
        <v>3.94</v>
      </c>
      <c r="K80" s="22">
        <f t="shared" si="86"/>
        <v>6.999999999999984E-2</v>
      </c>
      <c r="L80" s="24">
        <f t="shared" si="87"/>
        <v>1.808785529715758E-2</v>
      </c>
      <c r="M80" s="22">
        <f t="shared" ref="M80:M83" si="105">J80-H80</f>
        <v>-0.60999999999999988</v>
      </c>
      <c r="N80" s="54">
        <f t="shared" ref="N80:N83" si="106">M80/H80</f>
        <v>-0.13406593406593403</v>
      </c>
      <c r="O80" s="54">
        <f t="shared" si="104"/>
        <v>0.26478494623655913</v>
      </c>
    </row>
    <row r="81" spans="2:15" x14ac:dyDescent="0.25">
      <c r="B81" s="23" t="s">
        <v>201</v>
      </c>
      <c r="C81" s="22">
        <v>16.95</v>
      </c>
      <c r="D81" s="68">
        <f t="shared" si="100"/>
        <v>2.1680709029535646E-3</v>
      </c>
      <c r="E81" s="23"/>
      <c r="F81" s="22">
        <f>ROUND('PU Wise OWE'!$BD$126/10000,2)</f>
        <v>14.88</v>
      </c>
      <c r="G81" s="24">
        <f t="shared" si="101"/>
        <v>1.8677042801556422E-3</v>
      </c>
      <c r="H81" s="72">
        <f>ROUND('PU Wise OWE'!$BD$128/10000,2)</f>
        <v>4.4000000000000004</v>
      </c>
      <c r="I81" s="22">
        <f>ROUND('PU Wise OWE'!$BD$127/10000,2)</f>
        <v>3.87</v>
      </c>
      <c r="J81" s="23">
        <f>ROUND('PU Wise OWE'!$BD$129/10000,2)</f>
        <v>3.94</v>
      </c>
      <c r="K81" s="22">
        <f t="shared" si="86"/>
        <v>6.999999999999984E-2</v>
      </c>
      <c r="L81" s="24">
        <f t="shared" si="87"/>
        <v>1.808785529715758E-2</v>
      </c>
      <c r="M81" s="22">
        <f t="shared" si="105"/>
        <v>-0.46000000000000041</v>
      </c>
      <c r="N81" s="54">
        <f t="shared" si="106"/>
        <v>-0.10454545454545464</v>
      </c>
      <c r="O81" s="54">
        <f t="shared" si="104"/>
        <v>0.26478494623655913</v>
      </c>
    </row>
    <row r="82" spans="2:15" x14ac:dyDescent="0.25">
      <c r="B82" s="23" t="s">
        <v>202</v>
      </c>
      <c r="C82" s="22">
        <v>17.329999999999998</v>
      </c>
      <c r="D82" s="68">
        <f t="shared" si="100"/>
        <v>2.2166766223118157E-3</v>
      </c>
      <c r="E82" s="23"/>
      <c r="F82" s="22">
        <f>ROUND('PU Wise OWE'!$BF$126/10000,2)</f>
        <v>12.96</v>
      </c>
      <c r="G82" s="24">
        <f t="shared" si="101"/>
        <v>1.626710179490398E-3</v>
      </c>
      <c r="H82" s="72">
        <f>ROUND('PU Wise OWE'!$BF$128/10000,2)</f>
        <v>4.87</v>
      </c>
      <c r="I82" s="22">
        <f>ROUND('PU Wise OWE'!$BF$127/10000,2)</f>
        <v>3.37</v>
      </c>
      <c r="J82" s="23">
        <f>ROUND('PU Wise OWE'!$BF$129/10000,2)</f>
        <v>4.13</v>
      </c>
      <c r="K82" s="22">
        <f t="shared" si="86"/>
        <v>0.75999999999999979</v>
      </c>
      <c r="L82" s="24">
        <f t="shared" si="87"/>
        <v>0.22551928783382783</v>
      </c>
      <c r="M82" s="22">
        <f t="shared" si="105"/>
        <v>-0.74000000000000021</v>
      </c>
      <c r="N82" s="54">
        <f t="shared" si="106"/>
        <v>-0.15195071868583165</v>
      </c>
      <c r="O82" s="54">
        <f t="shared" si="104"/>
        <v>0.31867283950617281</v>
      </c>
    </row>
    <row r="83" spans="2:15" x14ac:dyDescent="0.25">
      <c r="B83" s="23" t="s">
        <v>203</v>
      </c>
      <c r="C83" s="22">
        <v>166.71</v>
      </c>
      <c r="D83" s="68">
        <f t="shared" si="100"/>
        <v>2.1323840721615858E-2</v>
      </c>
      <c r="E83" s="23"/>
      <c r="F83" s="22">
        <f>ROUND('PU Wise OWE'!$BG$126/10000,2)-ROUND('PU Wise OWE'!$BG$115/10000,2)</f>
        <v>127.09000000000015</v>
      </c>
      <c r="G83" s="24">
        <f t="shared" si="101"/>
        <v>1.5952052215388497E-2</v>
      </c>
      <c r="H83" s="72">
        <f>ROUND('PU Wise OWE'!$BG$128/10000,2)-ROUND('PU Wise OWE'!$BG$117/10000,2)</f>
        <v>15.770000000000209</v>
      </c>
      <c r="I83" s="22">
        <f>ROUND('PU Wise OWE'!$BG$127/10000,2)-ROUND('PU Wise OWE'!$BG$116/10000,2)</f>
        <v>33.849999999999994</v>
      </c>
      <c r="J83" s="23">
        <f>ROUND('PU Wise OWE'!$BG$129/10000,2)-ROUND('PU Wise OWE'!$BG$118/10000,2)</f>
        <v>19.319999999999936</v>
      </c>
      <c r="K83" s="22">
        <f t="shared" si="86"/>
        <v>-14.530000000000058</v>
      </c>
      <c r="L83" s="24">
        <f t="shared" si="87"/>
        <v>-0.42924667651403431</v>
      </c>
      <c r="M83" s="22">
        <f t="shared" si="105"/>
        <v>3.5499999999997272</v>
      </c>
      <c r="N83" s="54">
        <f t="shared" si="106"/>
        <v>0.22511097019655549</v>
      </c>
      <c r="O83" s="54">
        <f t="shared" si="104"/>
        <v>0.15201825478007644</v>
      </c>
    </row>
    <row r="84" spans="2:15" s="36" customFormat="1" x14ac:dyDescent="0.25">
      <c r="B84" s="25" t="s">
        <v>130</v>
      </c>
      <c r="C84" s="26">
        <f>C78+C79+C80+C81+C82+C83</f>
        <v>221.59</v>
      </c>
      <c r="D84" s="69">
        <f t="shared" si="100"/>
        <v>2.8343529875249584E-2</v>
      </c>
      <c r="E84" s="25"/>
      <c r="F84" s="76">
        <f>SUM(F78:F83)</f>
        <v>174.27000000000015</v>
      </c>
      <c r="G84" s="56">
        <f t="shared" si="101"/>
        <v>2.1873980168193818E-2</v>
      </c>
      <c r="H84" s="76">
        <f>SUM(H78:H83)</f>
        <v>30.430000000000209</v>
      </c>
      <c r="I84" s="76">
        <f>SUM(I78:I83)</f>
        <v>46.11999999999999</v>
      </c>
      <c r="J84" s="76">
        <f>SUM(J78:J83)</f>
        <v>32.039999999999935</v>
      </c>
      <c r="K84" s="26">
        <f t="shared" ref="K84" si="107">J84-I84</f>
        <v>-14.080000000000055</v>
      </c>
      <c r="L84" s="56">
        <f t="shared" ref="L84" si="108">K84/I84</f>
        <v>-0.30529054640069508</v>
      </c>
      <c r="M84" s="26">
        <f t="shared" ref="M84" si="109">J84-H84</f>
        <v>1.6099999999997259</v>
      </c>
      <c r="N84" s="57">
        <f t="shared" ref="N84" si="110">M84/H84</f>
        <v>5.2908314163644915E-2</v>
      </c>
      <c r="O84" s="57">
        <f t="shared" si="104"/>
        <v>0.18385264245136804</v>
      </c>
    </row>
    <row r="85" spans="2:15" x14ac:dyDescent="0.25">
      <c r="O85" s="25"/>
    </row>
    <row r="86" spans="2:15" s="36" customFormat="1" ht="30" customHeight="1" x14ac:dyDescent="0.25">
      <c r="B86" s="95" t="s">
        <v>204</v>
      </c>
      <c r="C86" s="114">
        <v>3247.44</v>
      </c>
      <c r="D86" s="203" t="e">
        <f>#REF!/#REF!</f>
        <v>#REF!</v>
      </c>
      <c r="E86" s="25"/>
      <c r="F86" s="114">
        <f>F37+F49+F54+F56+F63+F68+F73+F84</f>
        <v>3393.15</v>
      </c>
      <c r="G86" s="205">
        <f t="shared" ref="G86" si="111">F86/$F$7</f>
        <v>0.42590058993347557</v>
      </c>
      <c r="H86" s="114">
        <f>H37+H49+H54+H56+H63+H68+H73+H84</f>
        <v>927.7800000000002</v>
      </c>
      <c r="I86" s="114">
        <f>I37+I49+I54+I56+I63+I68+I73+I84</f>
        <v>1045.42</v>
      </c>
      <c r="J86" s="114">
        <f>J37+J49+J54+J56+J63+J68+J73+J84</f>
        <v>1212.1000000000001</v>
      </c>
      <c r="K86" s="204">
        <f t="shared" ref="K86" si="112">J86-I86</f>
        <v>166.68000000000006</v>
      </c>
      <c r="L86" s="205">
        <f t="shared" ref="L86" si="113">K86/I86</f>
        <v>0.15943831187465329</v>
      </c>
      <c r="M86" s="204">
        <f t="shared" ref="M86" si="114">J86-H86</f>
        <v>284.31999999999994</v>
      </c>
      <c r="N86" s="206">
        <f t="shared" ref="N86" si="115">M86/H86</f>
        <v>0.30645196059410623</v>
      </c>
      <c r="O86" s="206">
        <f t="shared" si="104"/>
        <v>0.35721969261600578</v>
      </c>
    </row>
    <row r="87" spans="2:15" x14ac:dyDescent="0.25">
      <c r="O87" s="94"/>
    </row>
    <row r="88" spans="2:15" x14ac:dyDescent="0.25">
      <c r="C88" s="181"/>
      <c r="O88" s="181"/>
    </row>
    <row r="89" spans="2:15" x14ac:dyDescent="0.25">
      <c r="B89" s="270" t="s">
        <v>254</v>
      </c>
      <c r="C89" s="256" t="s">
        <v>300</v>
      </c>
      <c r="D89" s="256" t="s">
        <v>173</v>
      </c>
      <c r="E89" s="256"/>
      <c r="F89" s="260" t="s">
        <v>305</v>
      </c>
      <c r="G89" s="256" t="s">
        <v>307</v>
      </c>
      <c r="H89" s="260" t="s">
        <v>327</v>
      </c>
      <c r="I89" s="260" t="s">
        <v>328</v>
      </c>
      <c r="J89" s="256" t="s">
        <v>205</v>
      </c>
      <c r="K89" s="268" t="s">
        <v>147</v>
      </c>
      <c r="L89" s="268"/>
      <c r="M89" s="269" t="s">
        <v>315</v>
      </c>
      <c r="N89" s="197"/>
      <c r="O89" s="202"/>
    </row>
    <row r="90" spans="2:15" ht="30" customHeight="1" x14ac:dyDescent="0.25">
      <c r="B90" s="271"/>
      <c r="C90" s="257"/>
      <c r="D90" s="257"/>
      <c r="E90" s="257"/>
      <c r="F90" s="257"/>
      <c r="G90" s="257"/>
      <c r="H90" s="257"/>
      <c r="I90" s="261"/>
      <c r="J90" s="257"/>
      <c r="K90" s="81" t="s">
        <v>145</v>
      </c>
      <c r="L90" s="81" t="s">
        <v>146</v>
      </c>
      <c r="M90" s="269"/>
      <c r="N90" s="197"/>
      <c r="O90" s="202"/>
    </row>
    <row r="91" spans="2:15" x14ac:dyDescent="0.25">
      <c r="B91" s="20" t="s">
        <v>255</v>
      </c>
      <c r="C91" s="20">
        <v>17</v>
      </c>
      <c r="D91" s="68">
        <f t="shared" ref="D91:D104" si="116">C91/$C$7</f>
        <v>2.1744663923428083E-3</v>
      </c>
      <c r="E91" s="20"/>
      <c r="F91" s="107">
        <v>0.69</v>
      </c>
      <c r="G91" s="189">
        <f t="shared" ref="G91:G104" si="117">F91/$F$7</f>
        <v>8.66072549265721E-5</v>
      </c>
      <c r="H91" s="72">
        <f>ROUND('PU Wise OWE'!$V$29/10000,2)</f>
        <v>0</v>
      </c>
      <c r="I91" s="72">
        <f>[1]Sheet1!$O$90</f>
        <v>0</v>
      </c>
      <c r="J91" s="189">
        <f t="shared" ref="J91:J104" si="118">I91/$I$7</f>
        <v>0</v>
      </c>
      <c r="K91" s="22">
        <f>I91-H91</f>
        <v>0</v>
      </c>
      <c r="L91" s="54" t="e">
        <f>K91/H91</f>
        <v>#DIV/0!</v>
      </c>
      <c r="M91" s="190">
        <f t="shared" ref="M91:M104" si="119">I91/F91</f>
        <v>0</v>
      </c>
      <c r="N91" s="197"/>
      <c r="O91" s="199"/>
    </row>
    <row r="92" spans="2:15" x14ac:dyDescent="0.25">
      <c r="B92" s="20" t="s">
        <v>256</v>
      </c>
      <c r="C92" s="20">
        <v>33.630000000000003</v>
      </c>
      <c r="D92" s="68">
        <f t="shared" si="116"/>
        <v>4.3016061632052145E-3</v>
      </c>
      <c r="E92" s="20"/>
      <c r="F92" s="107">
        <v>33.28</v>
      </c>
      <c r="G92" s="189">
        <f t="shared" si="117"/>
        <v>4.1772310781975647E-3</v>
      </c>
      <c r="H92" s="72">
        <f>ROUND('PU Wise OWE'!$V$40/10000,2)</f>
        <v>5.42</v>
      </c>
      <c r="I92" s="72">
        <f>ROUND('PU Wise OWE'!$V$41/10000,2)</f>
        <v>7.85</v>
      </c>
      <c r="J92" s="189">
        <f t="shared" si="118"/>
        <v>3.5036509381750664E-3</v>
      </c>
      <c r="K92" s="22">
        <f t="shared" ref="K92:K93" si="120">I92-H92</f>
        <v>2.4299999999999997</v>
      </c>
      <c r="L92" s="54">
        <f t="shared" ref="L92:L93" si="121">K92/H92</f>
        <v>0.44833948339483393</v>
      </c>
      <c r="M92" s="190">
        <f t="shared" si="119"/>
        <v>0.23587740384615383</v>
      </c>
      <c r="N92" s="197"/>
      <c r="O92" s="199"/>
    </row>
    <row r="93" spans="2:15" x14ac:dyDescent="0.25">
      <c r="B93" s="20" t="s">
        <v>266</v>
      </c>
      <c r="C93" s="20">
        <v>7.44</v>
      </c>
      <c r="D93" s="68">
        <f t="shared" si="116"/>
        <v>9.5164882111944092E-4</v>
      </c>
      <c r="E93" s="20"/>
      <c r="F93" s="107">
        <v>0.53</v>
      </c>
      <c r="G93" s="189">
        <f t="shared" si="117"/>
        <v>6.6524413204468433E-5</v>
      </c>
      <c r="H93" s="72">
        <f>ROUND('PU Wise OWE'!$V$51/10000,2)</f>
        <v>7.64</v>
      </c>
      <c r="I93" s="72">
        <f>ROUND('PU Wise OWE'!$V$52/10000,2)</f>
        <v>0.46</v>
      </c>
      <c r="J93" s="189">
        <f t="shared" si="118"/>
        <v>2.0530948172745614E-4</v>
      </c>
      <c r="K93" s="22">
        <f t="shared" si="120"/>
        <v>-7.18</v>
      </c>
      <c r="L93" s="54">
        <f t="shared" si="121"/>
        <v>-0.93979057591623039</v>
      </c>
      <c r="M93" s="190">
        <f t="shared" si="119"/>
        <v>0.86792452830188682</v>
      </c>
      <c r="N93" s="197"/>
      <c r="O93" s="199"/>
    </row>
    <row r="94" spans="2:15" x14ac:dyDescent="0.25">
      <c r="B94" s="61" t="s">
        <v>257</v>
      </c>
      <c r="C94" s="27">
        <f>SUM(C91:C93)</f>
        <v>58.07</v>
      </c>
      <c r="D94" s="69">
        <f t="shared" si="116"/>
        <v>7.4277213766674637E-3</v>
      </c>
      <c r="E94" s="27">
        <f t="shared" ref="E94:F94" si="122">SUM(E91:E92)</f>
        <v>0</v>
      </c>
      <c r="F94" s="106">
        <f t="shared" si="122"/>
        <v>33.97</v>
      </c>
      <c r="G94" s="191">
        <f t="shared" si="117"/>
        <v>4.2638383331241366E-3</v>
      </c>
      <c r="H94" s="106">
        <f>SUM(H91:H93)</f>
        <v>13.059999999999999</v>
      </c>
      <c r="I94" s="106">
        <f>SUM(I91:I93)</f>
        <v>8.31</v>
      </c>
      <c r="J94" s="191">
        <f t="shared" si="118"/>
        <v>3.7089604199025228E-3</v>
      </c>
      <c r="K94" s="26">
        <f t="shared" ref="K94" si="123">I94-H94</f>
        <v>-4.7499999999999982</v>
      </c>
      <c r="L94" s="57">
        <f t="shared" ref="L94" si="124">K94/H94</f>
        <v>-0.36370597243491565</v>
      </c>
      <c r="M94" s="192">
        <f t="shared" si="119"/>
        <v>0.2446276125993524</v>
      </c>
      <c r="N94" s="197"/>
      <c r="O94" s="200"/>
    </row>
    <row r="95" spans="2:15" x14ac:dyDescent="0.25">
      <c r="B95" s="20" t="s">
        <v>258</v>
      </c>
      <c r="C95" s="20">
        <v>0</v>
      </c>
      <c r="D95" s="68">
        <f t="shared" si="116"/>
        <v>0</v>
      </c>
      <c r="E95" s="20"/>
      <c r="F95" s="107">
        <v>0</v>
      </c>
      <c r="G95" s="189">
        <f t="shared" si="117"/>
        <v>0</v>
      </c>
      <c r="H95" s="72">
        <f>ROUND('PU Wise OWE'!$AQ$29/10000,2)</f>
        <v>0</v>
      </c>
      <c r="I95" s="72">
        <f>ROUND('PU Wise OWE'!$AQ$30/10000,2)</f>
        <v>0</v>
      </c>
      <c r="J95" s="189">
        <f t="shared" si="118"/>
        <v>0</v>
      </c>
      <c r="K95" s="22">
        <f>I95-H95</f>
        <v>0</v>
      </c>
      <c r="L95" s="54" t="e">
        <f>K95/H95</f>
        <v>#DIV/0!</v>
      </c>
      <c r="M95" s="190">
        <v>0</v>
      </c>
      <c r="N95" s="197"/>
      <c r="O95" s="199"/>
    </row>
    <row r="96" spans="2:15" x14ac:dyDescent="0.25">
      <c r="B96" s="20" t="s">
        <v>259</v>
      </c>
      <c r="C96" s="20">
        <v>13.17</v>
      </c>
      <c r="D96" s="68">
        <f t="shared" si="116"/>
        <v>1.6845719051267521E-3</v>
      </c>
      <c r="E96" s="20"/>
      <c r="F96" s="107">
        <v>14.55</v>
      </c>
      <c r="G96" s="189">
        <f t="shared" si="117"/>
        <v>1.8262834191038033E-3</v>
      </c>
      <c r="H96" s="72">
        <f>ROUND('PU Wise OWE'!$AQ$40/10000,2)</f>
        <v>1.47</v>
      </c>
      <c r="I96" s="72">
        <f>ROUND('PU Wise OWE'!$AQ$41/10000,2)</f>
        <v>6.09</v>
      </c>
      <c r="J96" s="189">
        <f t="shared" si="118"/>
        <v>2.7181190080874081E-3</v>
      </c>
      <c r="K96" s="22">
        <f t="shared" ref="K96:K98" si="125">I96-H96</f>
        <v>4.62</v>
      </c>
      <c r="L96" s="54">
        <f t="shared" ref="L96:L98" si="126">K96/H96</f>
        <v>3.1428571428571428</v>
      </c>
      <c r="M96" s="190">
        <f t="shared" si="119"/>
        <v>0.41855670103092779</v>
      </c>
      <c r="N96" s="197"/>
      <c r="O96" s="199"/>
    </row>
    <row r="97" spans="2:15" x14ac:dyDescent="0.25">
      <c r="B97" s="20" t="s">
        <v>267</v>
      </c>
      <c r="C97" s="20">
        <v>-0.3</v>
      </c>
      <c r="D97" s="68">
        <f t="shared" si="116"/>
        <v>-3.8372936335461326E-5</v>
      </c>
      <c r="E97" s="20"/>
      <c r="F97" s="107">
        <v>0.05</v>
      </c>
      <c r="G97" s="189">
        <f t="shared" si="117"/>
        <v>6.2758880381573994E-6</v>
      </c>
      <c r="H97" s="72">
        <f>ROUND('PU Wise OWE'!$AQ$51/10000,2)</f>
        <v>1.77</v>
      </c>
      <c r="I97" s="72">
        <f>ROUND('PU Wise OWE'!$AQ$52/10000,2)</f>
        <v>1.47</v>
      </c>
      <c r="J97" s="189">
        <f t="shared" si="118"/>
        <v>6.560976916073054E-4</v>
      </c>
      <c r="K97" s="22">
        <f t="shared" si="125"/>
        <v>-0.30000000000000004</v>
      </c>
      <c r="L97" s="54">
        <f t="shared" si="126"/>
        <v>-0.16949152542372883</v>
      </c>
      <c r="M97" s="190">
        <v>0</v>
      </c>
      <c r="N97" s="197"/>
      <c r="O97" s="199"/>
    </row>
    <row r="98" spans="2:15" x14ac:dyDescent="0.25">
      <c r="B98" s="61" t="s">
        <v>260</v>
      </c>
      <c r="C98" s="27">
        <f>SUM(C95:C97)</f>
        <v>12.87</v>
      </c>
      <c r="D98" s="69">
        <f t="shared" si="116"/>
        <v>1.6461989687912907E-3</v>
      </c>
      <c r="E98" s="27">
        <f t="shared" ref="E98" si="127">SUM(E95:E96)</f>
        <v>0</v>
      </c>
      <c r="F98" s="106">
        <f>SUM(F95:F97)</f>
        <v>14.600000000000001</v>
      </c>
      <c r="G98" s="191">
        <f t="shared" si="117"/>
        <v>1.8325593071419608E-3</v>
      </c>
      <c r="H98" s="27">
        <f>SUM(H95:H97)</f>
        <v>3.24</v>
      </c>
      <c r="I98" s="106">
        <f>SUM(I95:I97)</f>
        <v>7.56</v>
      </c>
      <c r="J98" s="191">
        <f t="shared" si="118"/>
        <v>3.3742166996947134E-3</v>
      </c>
      <c r="K98" s="26">
        <f t="shared" si="125"/>
        <v>4.3199999999999994</v>
      </c>
      <c r="L98" s="57">
        <f t="shared" si="126"/>
        <v>1.333333333333333</v>
      </c>
      <c r="M98" s="192">
        <f t="shared" si="119"/>
        <v>0.51780821917808206</v>
      </c>
      <c r="N98" s="197"/>
      <c r="O98" s="200"/>
    </row>
    <row r="99" spans="2:15" x14ac:dyDescent="0.25">
      <c r="B99" s="20" t="s">
        <v>261</v>
      </c>
      <c r="C99" s="107">
        <v>24.12</v>
      </c>
      <c r="D99" s="68">
        <f t="shared" si="116"/>
        <v>3.0851840813710908E-3</v>
      </c>
      <c r="E99" s="20"/>
      <c r="F99" s="107">
        <v>17.600000000000001</v>
      </c>
      <c r="G99" s="189">
        <f t="shared" si="117"/>
        <v>2.2091125894314048E-3</v>
      </c>
      <c r="H99" s="72">
        <f>ROUND('PU Wise OWE'!$AC$29/10000,2)</f>
        <v>2.29</v>
      </c>
      <c r="I99" s="72">
        <f>ROUND('PU Wise OWE'!$AC$30/10000,2)</f>
        <v>3.04</v>
      </c>
      <c r="J99" s="189">
        <f t="shared" si="118"/>
        <v>1.3568278792423188E-3</v>
      </c>
      <c r="K99" s="22">
        <f>I99-H99</f>
        <v>0.75</v>
      </c>
      <c r="L99" s="54">
        <f>K99/H99</f>
        <v>0.32751091703056767</v>
      </c>
      <c r="M99" s="190">
        <f t="shared" si="119"/>
        <v>0.1727272727272727</v>
      </c>
      <c r="N99" s="197"/>
      <c r="O99" s="199"/>
    </row>
    <row r="100" spans="2:15" x14ac:dyDescent="0.25">
      <c r="B100" s="20" t="s">
        <v>262</v>
      </c>
      <c r="C100" s="20">
        <v>145.66</v>
      </c>
      <c r="D100" s="68">
        <f t="shared" si="116"/>
        <v>1.8631339688744322E-2</v>
      </c>
      <c r="E100" s="20"/>
      <c r="F100" s="107">
        <v>115.58</v>
      </c>
      <c r="G100" s="189">
        <f t="shared" si="117"/>
        <v>1.4507342789004644E-2</v>
      </c>
      <c r="H100" s="72">
        <f>ROUND('PU Wise OWE'!$AC$40/10000,2)</f>
        <v>18.190000000000001</v>
      </c>
      <c r="I100" s="72">
        <f>ROUND('PU Wise OWE'!$AC$41/10000,2)</f>
        <v>33.07</v>
      </c>
      <c r="J100" s="189">
        <f t="shared" si="118"/>
        <v>1.4759966436362987E-2</v>
      </c>
      <c r="K100" s="22">
        <f t="shared" ref="K100:K101" si="128">I100-H100</f>
        <v>14.879999999999999</v>
      </c>
      <c r="L100" s="54">
        <f t="shared" ref="L100:L101" si="129">K100/H100</f>
        <v>0.81803188565145668</v>
      </c>
      <c r="M100" s="190">
        <f t="shared" si="119"/>
        <v>0.28612216646478628</v>
      </c>
      <c r="N100" s="197"/>
      <c r="O100" s="199"/>
    </row>
    <row r="101" spans="2:15" x14ac:dyDescent="0.25">
      <c r="B101" s="61" t="s">
        <v>263</v>
      </c>
      <c r="C101" s="27">
        <f t="shared" ref="C101:I101" si="130">SUM(C99:C100)</f>
        <v>169.78</v>
      </c>
      <c r="D101" s="69">
        <f t="shared" si="116"/>
        <v>2.1716523770115414E-2</v>
      </c>
      <c r="E101" s="27">
        <f t="shared" si="130"/>
        <v>0</v>
      </c>
      <c r="F101" s="106">
        <f t="shared" si="130"/>
        <v>133.18</v>
      </c>
      <c r="G101" s="191">
        <f t="shared" si="117"/>
        <v>1.6716455378436048E-2</v>
      </c>
      <c r="H101" s="106">
        <f t="shared" ref="H101" si="131">SUM(H99:H100)</f>
        <v>20.48</v>
      </c>
      <c r="I101" s="106">
        <f t="shared" si="130"/>
        <v>36.11</v>
      </c>
      <c r="J101" s="191">
        <f t="shared" si="118"/>
        <v>1.6116794315605306E-2</v>
      </c>
      <c r="K101" s="22">
        <f t="shared" si="128"/>
        <v>15.629999999999999</v>
      </c>
      <c r="L101" s="54">
        <f t="shared" si="129"/>
        <v>0.76318359374999989</v>
      </c>
      <c r="M101" s="192">
        <f t="shared" si="119"/>
        <v>0.27113680732842765</v>
      </c>
      <c r="N101" s="197"/>
      <c r="O101" s="200"/>
    </row>
    <row r="102" spans="2:15" x14ac:dyDescent="0.25">
      <c r="B102" s="20" t="s">
        <v>264</v>
      </c>
      <c r="C102" s="107">
        <v>12.31</v>
      </c>
      <c r="D102" s="68">
        <f t="shared" si="116"/>
        <v>1.5745694876317631E-3</v>
      </c>
      <c r="E102" s="20"/>
      <c r="F102" s="107">
        <v>11.17</v>
      </c>
      <c r="G102" s="189">
        <f t="shared" si="117"/>
        <v>1.402033387724363E-3</v>
      </c>
      <c r="H102" s="72">
        <f>ROUND('PU Wise OWE'!$BB$29/10000,2)</f>
        <v>4.82</v>
      </c>
      <c r="I102" s="72">
        <f>ROUND('PU Wise OWE'!$BB$30/10000,2)</f>
        <v>7.31</v>
      </c>
      <c r="J102" s="189">
        <f t="shared" si="118"/>
        <v>3.2626354596254439E-3</v>
      </c>
      <c r="K102" s="22">
        <f>I102-H102</f>
        <v>2.4899999999999993</v>
      </c>
      <c r="L102" s="54">
        <f>K102/H102</f>
        <v>0.51659751037344381</v>
      </c>
      <c r="M102" s="190">
        <f t="shared" si="119"/>
        <v>0.65443151298119961</v>
      </c>
      <c r="N102" s="197"/>
      <c r="O102" s="199"/>
    </row>
    <row r="103" spans="2:15" x14ac:dyDescent="0.25">
      <c r="B103" s="20" t="s">
        <v>265</v>
      </c>
      <c r="C103" s="107">
        <v>101.34</v>
      </c>
      <c r="D103" s="68">
        <f t="shared" si="116"/>
        <v>1.2962377894118835E-2</v>
      </c>
      <c r="E103" s="20"/>
      <c r="F103" s="107">
        <v>65.03</v>
      </c>
      <c r="G103" s="189">
        <f t="shared" si="117"/>
        <v>8.1624199824275132E-3</v>
      </c>
      <c r="H103" s="72">
        <f>ROUND('PU Wise OWE'!$BB$40/10000,2)</f>
        <v>10.19</v>
      </c>
      <c r="I103" s="72">
        <f>ROUND('PU Wise OWE'!$BB$41/10000,2)</f>
        <v>28.88</v>
      </c>
      <c r="J103" s="189">
        <f t="shared" si="118"/>
        <v>1.2889864852802028E-2</v>
      </c>
      <c r="K103" s="22">
        <f t="shared" ref="K103:K104" si="132">I103-H103</f>
        <v>18.689999999999998</v>
      </c>
      <c r="L103" s="54">
        <f t="shared" ref="L103:L104" si="133">K103/H103</f>
        <v>1.834151128557409</v>
      </c>
      <c r="M103" s="190">
        <f t="shared" si="119"/>
        <v>0.4441027218206981</v>
      </c>
      <c r="N103" s="197"/>
      <c r="O103" s="199"/>
    </row>
    <row r="104" spans="2:15" x14ac:dyDescent="0.25">
      <c r="B104" s="61" t="s">
        <v>295</v>
      </c>
      <c r="C104" s="106">
        <f>SUM(C102:C103)</f>
        <v>113.65</v>
      </c>
      <c r="D104" s="69">
        <f t="shared" si="116"/>
        <v>1.45369473817506E-2</v>
      </c>
      <c r="E104" s="27">
        <f t="shared" ref="E104:I104" si="134">SUM(E102:E103)</f>
        <v>0</v>
      </c>
      <c r="F104" s="106">
        <f t="shared" si="134"/>
        <v>76.2</v>
      </c>
      <c r="G104" s="191">
        <f t="shared" si="117"/>
        <v>9.5644533701518767E-3</v>
      </c>
      <c r="H104" s="106">
        <f t="shared" ref="H104" si="135">SUM(H102:H103)</f>
        <v>15.01</v>
      </c>
      <c r="I104" s="106">
        <f t="shared" si="134"/>
        <v>36.19</v>
      </c>
      <c r="J104" s="191">
        <f t="shared" si="118"/>
        <v>1.6152500312427473E-2</v>
      </c>
      <c r="K104" s="26">
        <f t="shared" si="132"/>
        <v>21.18</v>
      </c>
      <c r="L104" s="57">
        <f t="shared" si="133"/>
        <v>1.4110592938041306</v>
      </c>
      <c r="M104" s="192">
        <f t="shared" si="119"/>
        <v>0.47493438320209969</v>
      </c>
      <c r="N104" s="197"/>
      <c r="O104" s="200"/>
    </row>
    <row r="105" spans="2:15" x14ac:dyDescent="0.25">
      <c r="B105" s="181"/>
      <c r="C105" s="181"/>
      <c r="D105" s="181"/>
      <c r="E105" s="181"/>
      <c r="F105" s="181"/>
      <c r="G105" s="181"/>
      <c r="H105" s="140"/>
      <c r="I105" s="181"/>
      <c r="J105" s="181"/>
      <c r="K105" s="181"/>
      <c r="L105" s="181"/>
      <c r="M105" s="181"/>
      <c r="N105" s="197"/>
      <c r="O105" s="198"/>
    </row>
    <row r="106" spans="2:15" ht="15" customHeight="1" x14ac:dyDescent="0.25">
      <c r="B106" s="193"/>
      <c r="C106" s="256" t="s">
        <v>300</v>
      </c>
      <c r="D106" s="256" t="s">
        <v>173</v>
      </c>
      <c r="E106" s="256"/>
      <c r="F106" s="260" t="str">
        <f>'PU Wise OWE'!$B$5</f>
        <v xml:space="preserve">OBG(SL) 2021-22 </v>
      </c>
      <c r="G106" s="256" t="s">
        <v>308</v>
      </c>
      <c r="H106" s="260" t="str">
        <f>'PU Wise OWE'!$B$7</f>
        <v>Actuals upto June' 20</v>
      </c>
      <c r="I106" s="260" t="s">
        <v>328</v>
      </c>
      <c r="J106" s="256" t="s">
        <v>205</v>
      </c>
      <c r="K106" s="268" t="s">
        <v>147</v>
      </c>
      <c r="L106" s="268"/>
      <c r="M106" s="269" t="s">
        <v>304</v>
      </c>
      <c r="N106" s="197"/>
      <c r="O106" s="202"/>
    </row>
    <row r="107" spans="2:15" ht="30" x14ac:dyDescent="0.25">
      <c r="B107" s="80" t="s">
        <v>191</v>
      </c>
      <c r="C107" s="257"/>
      <c r="D107" s="257"/>
      <c r="E107" s="257"/>
      <c r="F107" s="257"/>
      <c r="G107" s="257"/>
      <c r="H107" s="257"/>
      <c r="I107" s="261"/>
      <c r="J107" s="257"/>
      <c r="K107" s="81" t="s">
        <v>145</v>
      </c>
      <c r="L107" s="81" t="s">
        <v>146</v>
      </c>
      <c r="M107" s="269"/>
      <c r="N107" s="197"/>
      <c r="O107" s="202"/>
    </row>
    <row r="108" spans="2:15" x14ac:dyDescent="0.25">
      <c r="B108" s="20" t="s">
        <v>218</v>
      </c>
      <c r="C108" s="20">
        <v>305.92</v>
      </c>
      <c r="D108" s="68">
        <f t="shared" ref="D108:D111" si="136">C108/$C$7</f>
        <v>3.9130162279147764E-2</v>
      </c>
      <c r="E108" s="20"/>
      <c r="F108" s="20">
        <v>115.89</v>
      </c>
      <c r="G108" s="189">
        <f t="shared" ref="G108:G111" si="137">F108/$F$7</f>
        <v>1.4546253294841219E-2</v>
      </c>
      <c r="H108" s="111">
        <v>50.76</v>
      </c>
      <c r="I108" s="107">
        <v>83.82</v>
      </c>
      <c r="J108" s="189">
        <f t="shared" ref="J108:J111" si="138">I108/$I$7</f>
        <v>3.7410958170424717E-2</v>
      </c>
      <c r="K108" s="22">
        <f t="shared" ref="K108" si="139">I108-H108</f>
        <v>33.059999999999995</v>
      </c>
      <c r="L108" s="54">
        <f t="shared" ref="L108" si="140">K108/H108</f>
        <v>0.65130023640661927</v>
      </c>
      <c r="M108" s="190">
        <f t="shared" ref="M108:M111" si="141">I108/F108</f>
        <v>0.72327206834066782</v>
      </c>
      <c r="N108" s="197"/>
      <c r="O108" s="199"/>
    </row>
    <row r="109" spans="2:15" x14ac:dyDescent="0.25">
      <c r="B109" s="20" t="s">
        <v>217</v>
      </c>
      <c r="C109" s="20">
        <v>266.58999999999997</v>
      </c>
      <c r="D109" s="68">
        <f t="shared" si="136"/>
        <v>3.409947032556878E-2</v>
      </c>
      <c r="E109" s="20"/>
      <c r="F109" s="107">
        <v>750</v>
      </c>
      <c r="G109" s="189">
        <f t="shared" si="137"/>
        <v>9.4138320572360989E-2</v>
      </c>
      <c r="H109" s="83">
        <v>144.47999999999999</v>
      </c>
      <c r="I109" s="107">
        <v>127.97</v>
      </c>
      <c r="J109" s="189">
        <f t="shared" si="138"/>
        <v>5.7116205166657739E-2</v>
      </c>
      <c r="K109" s="22">
        <f>I109-H109</f>
        <v>-16.509999999999991</v>
      </c>
      <c r="L109" s="54">
        <f>K109/H109</f>
        <v>-0.11427187153931334</v>
      </c>
      <c r="M109" s="190">
        <f t="shared" si="141"/>
        <v>0.17062666666666668</v>
      </c>
      <c r="N109" s="197"/>
      <c r="O109" s="199"/>
    </row>
    <row r="110" spans="2:15" x14ac:dyDescent="0.25">
      <c r="B110" s="194" t="s">
        <v>216</v>
      </c>
      <c r="C110" s="20">
        <v>544.78</v>
      </c>
      <c r="D110" s="68">
        <f t="shared" si="136"/>
        <v>6.9682694189442063E-2</v>
      </c>
      <c r="E110" s="20"/>
      <c r="F110" s="107">
        <v>676.5</v>
      </c>
      <c r="G110" s="189">
        <f t="shared" si="137"/>
        <v>8.491276515626961E-2</v>
      </c>
      <c r="H110" s="83">
        <v>277.36</v>
      </c>
      <c r="I110" s="20">
        <v>301.26</v>
      </c>
      <c r="J110" s="189">
        <f t="shared" si="138"/>
        <v>0.13445985753307269</v>
      </c>
      <c r="K110" s="22">
        <f t="shared" ref="K110" si="142">I110-H110</f>
        <v>23.899999999999977</v>
      </c>
      <c r="L110" s="54">
        <f t="shared" ref="L110" si="143">K110/H110</f>
        <v>8.6169599077011744E-2</v>
      </c>
      <c r="M110" s="190">
        <f t="shared" si="141"/>
        <v>0.44532150776053214</v>
      </c>
      <c r="N110" s="197"/>
      <c r="O110" s="199"/>
    </row>
    <row r="111" spans="2:15" x14ac:dyDescent="0.25">
      <c r="B111" s="27" t="s">
        <v>130</v>
      </c>
      <c r="C111" s="27">
        <f>SUM(C108:C110)</f>
        <v>1117.29</v>
      </c>
      <c r="D111" s="69">
        <f t="shared" si="136"/>
        <v>0.14291232679415861</v>
      </c>
      <c r="E111" s="27"/>
      <c r="F111" s="142">
        <f>+F108+F109+F110</f>
        <v>1542.3899999999999</v>
      </c>
      <c r="G111" s="191">
        <f t="shared" si="137"/>
        <v>0.19359733902347182</v>
      </c>
      <c r="H111" s="142">
        <f>+H108+H109+H110</f>
        <v>472.6</v>
      </c>
      <c r="I111" s="106">
        <f>SUM(I108:I110)</f>
        <v>513.04999999999995</v>
      </c>
      <c r="J111" s="191">
        <f t="shared" si="138"/>
        <v>0.22898702087015513</v>
      </c>
      <c r="K111" s="26">
        <f t="shared" ref="K111" si="144">I111-H111</f>
        <v>40.449999999999932</v>
      </c>
      <c r="L111" s="57">
        <f t="shared" ref="L111" si="145">K111/H111</f>
        <v>8.5590351248412883E-2</v>
      </c>
      <c r="M111" s="192">
        <f t="shared" si="141"/>
        <v>0.33263312132469736</v>
      </c>
      <c r="N111" s="197"/>
      <c r="O111" s="200"/>
    </row>
    <row r="112" spans="2:15" x14ac:dyDescent="0.25">
      <c r="B112" s="181"/>
      <c r="C112" s="181"/>
      <c r="D112" s="181"/>
      <c r="E112" s="181"/>
      <c r="F112" s="181"/>
      <c r="G112" s="181"/>
      <c r="H112" s="140"/>
      <c r="I112" s="181"/>
      <c r="J112" s="181"/>
      <c r="K112" s="181"/>
      <c r="L112" s="181"/>
      <c r="M112" s="181"/>
      <c r="N112" s="197"/>
      <c r="O112" s="198"/>
    </row>
    <row r="113" spans="2:15" x14ac:dyDescent="0.25">
      <c r="B113" s="208" t="s">
        <v>219</v>
      </c>
      <c r="C113" s="32"/>
      <c r="D113" s="32"/>
      <c r="E113" s="32"/>
      <c r="F113" s="32"/>
      <c r="G113" s="32"/>
      <c r="H113" s="210"/>
      <c r="I113" s="32"/>
      <c r="J113" s="32"/>
      <c r="K113" s="32"/>
      <c r="L113" s="32"/>
      <c r="M113" s="32"/>
      <c r="N113" s="197"/>
      <c r="O113" s="198"/>
    </row>
    <row r="114" spans="2:15" x14ac:dyDescent="0.25">
      <c r="B114" s="20" t="s">
        <v>220</v>
      </c>
      <c r="C114" s="107">
        <v>28.69</v>
      </c>
      <c r="D114" s="68">
        <f t="shared" ref="D114:D117" si="146">C114/$C$7</f>
        <v>3.6697318115479515E-3</v>
      </c>
      <c r="E114" s="20"/>
      <c r="F114" s="107">
        <v>27.43</v>
      </c>
      <c r="G114" s="189">
        <f t="shared" ref="G114:G117" si="147">F114/$F$7</f>
        <v>3.4429521777331494E-3</v>
      </c>
      <c r="H114" s="111">
        <v>8.4600000000000009</v>
      </c>
      <c r="I114" s="20">
        <v>6.58</v>
      </c>
      <c r="J114" s="189">
        <f t="shared" ref="J114:J117" si="148">I114/$I$7</f>
        <v>2.9368182386231767E-3</v>
      </c>
      <c r="K114" s="22">
        <f t="shared" ref="K114" si="149">I114-H114</f>
        <v>-1.8800000000000008</v>
      </c>
      <c r="L114" s="54">
        <f t="shared" ref="L114" si="150">K114/H114</f>
        <v>-0.22222222222222229</v>
      </c>
      <c r="M114" s="190">
        <f t="shared" ref="M114:M117" si="151">I114/F114</f>
        <v>0.23988333940940576</v>
      </c>
      <c r="N114" s="197"/>
      <c r="O114" s="199"/>
    </row>
    <row r="115" spans="2:15" x14ac:dyDescent="0.25">
      <c r="B115" s="20" t="s">
        <v>221</v>
      </c>
      <c r="C115" s="107">
        <v>38.6</v>
      </c>
      <c r="D115" s="68">
        <f t="shared" si="146"/>
        <v>4.9373178084960237E-3</v>
      </c>
      <c r="E115" s="20"/>
      <c r="F115" s="20">
        <v>33.72</v>
      </c>
      <c r="G115" s="189">
        <f t="shared" si="147"/>
        <v>4.2324588929333502E-3</v>
      </c>
      <c r="H115" s="83">
        <v>10.9</v>
      </c>
      <c r="I115" s="107">
        <v>6.64</v>
      </c>
      <c r="J115" s="189">
        <f t="shared" si="148"/>
        <v>2.9635977362398014E-3</v>
      </c>
      <c r="K115" s="22">
        <f>I115-H115</f>
        <v>-4.2600000000000007</v>
      </c>
      <c r="L115" s="54">
        <f>K115/H115</f>
        <v>-0.39082568807339452</v>
      </c>
      <c r="M115" s="190">
        <f t="shared" si="151"/>
        <v>0.19691577698695137</v>
      </c>
      <c r="N115" s="197"/>
      <c r="O115" s="199"/>
    </row>
    <row r="116" spans="2:15" x14ac:dyDescent="0.25">
      <c r="B116" s="194" t="s">
        <v>222</v>
      </c>
      <c r="C116" s="20">
        <v>33.32</v>
      </c>
      <c r="D116" s="68">
        <f t="shared" si="146"/>
        <v>4.2619541289919049E-3</v>
      </c>
      <c r="E116" s="20"/>
      <c r="F116" s="20">
        <v>32.950000000000003</v>
      </c>
      <c r="G116" s="189">
        <f t="shared" si="147"/>
        <v>4.1358102171457261E-3</v>
      </c>
      <c r="H116" s="111">
        <v>8.43</v>
      </c>
      <c r="I116" s="107">
        <v>8.24</v>
      </c>
      <c r="J116" s="189">
        <f t="shared" si="148"/>
        <v>3.6777176726831271E-3</v>
      </c>
      <c r="K116" s="22">
        <f t="shared" ref="K116" si="152">I116-H116</f>
        <v>-0.1899999999999995</v>
      </c>
      <c r="L116" s="54">
        <f t="shared" ref="L116" si="153">K116/H116</f>
        <v>-2.2538552787663049E-2</v>
      </c>
      <c r="M116" s="190">
        <f t="shared" si="151"/>
        <v>0.25007587253414265</v>
      </c>
      <c r="N116" s="197"/>
      <c r="O116" s="199"/>
    </row>
    <row r="117" spans="2:15" x14ac:dyDescent="0.25">
      <c r="B117" s="27" t="s">
        <v>130</v>
      </c>
      <c r="C117" s="106">
        <f>SUM(C114:C116)</f>
        <v>100.61000000000001</v>
      </c>
      <c r="D117" s="69">
        <f t="shared" si="146"/>
        <v>1.2869003749035881E-2</v>
      </c>
      <c r="E117" s="27"/>
      <c r="F117" s="27">
        <f>SUM(F114:F116)</f>
        <v>94.1</v>
      </c>
      <c r="G117" s="191">
        <f t="shared" si="147"/>
        <v>1.1811221287812224E-2</v>
      </c>
      <c r="H117" s="149">
        <f>SUM(H114:H116)</f>
        <v>27.79</v>
      </c>
      <c r="I117" s="27">
        <f>SUM(I114:I116)</f>
        <v>21.46</v>
      </c>
      <c r="J117" s="191">
        <f t="shared" si="148"/>
        <v>9.5781336475461061E-3</v>
      </c>
      <c r="K117" s="26">
        <f t="shared" ref="K117" si="154">I117-H117</f>
        <v>-6.3299999999999983</v>
      </c>
      <c r="L117" s="57">
        <f t="shared" ref="L117" si="155">K117/H117</f>
        <v>-0.22777977689816475</v>
      </c>
      <c r="M117" s="192">
        <f t="shared" si="151"/>
        <v>0.22805526036131776</v>
      </c>
      <c r="N117" s="197"/>
      <c r="O117" s="200"/>
    </row>
    <row r="120" spans="2:15" x14ac:dyDescent="0.25">
      <c r="C120" s="34"/>
    </row>
    <row r="121" spans="2:15" x14ac:dyDescent="0.25">
      <c r="C121" s="31"/>
    </row>
    <row r="122" spans="2:15" x14ac:dyDescent="0.25">
      <c r="C122" s="31"/>
    </row>
    <row r="123" spans="2:15" x14ac:dyDescent="0.25">
      <c r="C123" s="31"/>
    </row>
  </sheetData>
  <mergeCells count="83">
    <mergeCell ref="K76:L76"/>
    <mergeCell ref="M76:N76"/>
    <mergeCell ref="O76:O77"/>
    <mergeCell ref="E76:E77"/>
    <mergeCell ref="F76:F77"/>
    <mergeCell ref="G76:G77"/>
    <mergeCell ref="I76:I77"/>
    <mergeCell ref="J76:J77"/>
    <mergeCell ref="H76:H77"/>
    <mergeCell ref="B89:B90"/>
    <mergeCell ref="B76:B77"/>
    <mergeCell ref="C76:C77"/>
    <mergeCell ref="D76:D77"/>
    <mergeCell ref="C89:C90"/>
    <mergeCell ref="K89:L89"/>
    <mergeCell ref="M89:M90"/>
    <mergeCell ref="D106:D107"/>
    <mergeCell ref="E106:E107"/>
    <mergeCell ref="F106:F107"/>
    <mergeCell ref="G106:G107"/>
    <mergeCell ref="I106:I107"/>
    <mergeCell ref="J106:J107"/>
    <mergeCell ref="K106:L106"/>
    <mergeCell ref="M106:M107"/>
    <mergeCell ref="H89:H90"/>
    <mergeCell ref="H106:H107"/>
    <mergeCell ref="C106:C107"/>
    <mergeCell ref="O3:O4"/>
    <mergeCell ref="O11:O12"/>
    <mergeCell ref="O32:O33"/>
    <mergeCell ref="O40:O41"/>
    <mergeCell ref="D89:D90"/>
    <mergeCell ref="E89:E90"/>
    <mergeCell ref="F89:F90"/>
    <mergeCell ref="G89:G90"/>
    <mergeCell ref="I89:I90"/>
    <mergeCell ref="J89:J90"/>
    <mergeCell ref="E59:E63"/>
    <mergeCell ref="E52:E54"/>
    <mergeCell ref="K40:L40"/>
    <mergeCell ref="M40:N40"/>
    <mergeCell ref="J11:J12"/>
    <mergeCell ref="B40:B41"/>
    <mergeCell ref="F40:F41"/>
    <mergeCell ref="I40:I41"/>
    <mergeCell ref="J40:J41"/>
    <mergeCell ref="D40:D41"/>
    <mergeCell ref="G40:G41"/>
    <mergeCell ref="E40:E49"/>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8:O111 O114:O117 O64">
    <cfRule type="cellIs" dxfId="20" priority="4" operator="greaterThan">
      <formula>0.5</formula>
    </cfRule>
  </conditionalFormatting>
  <conditionalFormatting sqref="O91:O104">
    <cfRule type="cellIs" dxfId="19" priority="3" operator="greaterThan">
      <formula>0.85</formula>
    </cfRule>
  </conditionalFormatting>
  <conditionalFormatting sqref="M108:M111 M114:M117">
    <cfRule type="cellIs" dxfId="18" priority="2" operator="greaterThan">
      <formula>0.5</formula>
    </cfRule>
  </conditionalFormatting>
  <conditionalFormatting sqref="M91:M104">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4"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4" zoomScaleSheetLayoutView="100" workbookViewId="0">
      <selection activeCell="B87" sqref="B87:M115"/>
    </sheetView>
  </sheetViews>
  <sheetFormatPr defaultRowHeight="15" x14ac:dyDescent="0.25"/>
  <cols>
    <col min="2" max="2" width="27" customWidth="1"/>
    <col min="3" max="3" width="10" style="182"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280</v>
      </c>
      <c r="C1" s="36"/>
    </row>
    <row r="2" spans="1:14" x14ac:dyDescent="0.25">
      <c r="K2" s="36" t="s">
        <v>150</v>
      </c>
    </row>
    <row r="3" spans="1:14" s="36" customFormat="1" ht="15" customHeight="1" x14ac:dyDescent="0.25">
      <c r="B3" s="238" t="s">
        <v>151</v>
      </c>
      <c r="C3" s="237" t="s">
        <v>300</v>
      </c>
      <c r="D3" s="235" t="str">
        <f>'PU Wise OWE'!$B$7</f>
        <v>Actuals upto June' 20</v>
      </c>
      <c r="E3" s="237" t="s">
        <v>173</v>
      </c>
      <c r="F3" s="237"/>
      <c r="G3" s="278" t="str">
        <f>'PU Wise OWE'!$B$5</f>
        <v xml:space="preserve">OBG(SL) 2021-22 </v>
      </c>
      <c r="H3" s="237" t="s">
        <v>307</v>
      </c>
      <c r="I3" s="235" t="str">
        <f>'PU Wise OWE'!B8</f>
        <v>Actuals upto June' 21</v>
      </c>
      <c r="J3" s="237" t="s">
        <v>205</v>
      </c>
      <c r="K3" s="234" t="s">
        <v>147</v>
      </c>
      <c r="L3" s="234"/>
      <c r="M3" s="258" t="s">
        <v>312</v>
      </c>
      <c r="N3" s="281"/>
    </row>
    <row r="4" spans="1:14" ht="15.6" customHeight="1" x14ac:dyDescent="0.25">
      <c r="A4" s="31"/>
      <c r="B4" s="239"/>
      <c r="C4" s="236"/>
      <c r="D4" s="236"/>
      <c r="E4" s="236"/>
      <c r="F4" s="236"/>
      <c r="G4" s="239"/>
      <c r="H4" s="236"/>
      <c r="I4" s="236"/>
      <c r="J4" s="236"/>
      <c r="K4" s="19" t="s">
        <v>145</v>
      </c>
      <c r="L4" s="18" t="s">
        <v>146</v>
      </c>
      <c r="M4" s="258"/>
      <c r="N4" s="281"/>
    </row>
    <row r="5" spans="1:14" x14ac:dyDescent="0.25">
      <c r="A5" s="31"/>
      <c r="B5" s="63" t="s">
        <v>148</v>
      </c>
      <c r="C5" s="22">
        <v>4575.6000000000004</v>
      </c>
      <c r="D5" s="72">
        <f>ROUND('PU Wise OWE'!$AD$128/10000,2)</f>
        <v>1106.1300000000001</v>
      </c>
      <c r="E5" s="68">
        <f>D5/D7</f>
        <v>0.5450258684405026</v>
      </c>
      <c r="F5" s="68"/>
      <c r="G5" s="22">
        <f>ROUND('PU Wise OWE'!$AD$126/10000,2)</f>
        <v>4658.2700000000004</v>
      </c>
      <c r="H5" s="68">
        <f>G5/G7</f>
        <v>0.58469561943014947</v>
      </c>
      <c r="I5" s="23">
        <f>ROUND('PU Wise OWE'!$AD$129/10000,2)</f>
        <v>1189.6300000000001</v>
      </c>
      <c r="J5" s="24">
        <f>I5/$I$7</f>
        <v>0.49589612121970039</v>
      </c>
      <c r="K5" s="22">
        <f>I5-D5</f>
        <v>83.5</v>
      </c>
      <c r="L5" s="54">
        <f>K5/D5</f>
        <v>7.5488414562483605E-2</v>
      </c>
      <c r="M5" s="54">
        <f>I5/G5</f>
        <v>0.25538021626054308</v>
      </c>
    </row>
    <row r="6" spans="1:14" x14ac:dyDescent="0.25">
      <c r="A6" s="31"/>
      <c r="B6" s="80" t="s">
        <v>144</v>
      </c>
      <c r="C6" s="21">
        <v>3242.41</v>
      </c>
      <c r="D6" s="72">
        <f>D7-D5</f>
        <v>923.36999999999989</v>
      </c>
      <c r="E6" s="68">
        <f>D6/D7</f>
        <v>0.45497413155949734</v>
      </c>
      <c r="F6" s="68"/>
      <c r="G6" s="21">
        <f t="shared" ref="G6:I6" si="0">G7-G5</f>
        <v>3308.7299999999996</v>
      </c>
      <c r="H6" s="68">
        <f>G6/G7</f>
        <v>0.41530438056985058</v>
      </c>
      <c r="I6" s="21">
        <f t="shared" si="0"/>
        <v>1209.3199999999997</v>
      </c>
      <c r="J6" s="24">
        <f t="shared" ref="J6:J7" si="1">I6/$I$7</f>
        <v>0.50410387878029961</v>
      </c>
      <c r="K6" s="22">
        <f>I6-D6</f>
        <v>285.94999999999982</v>
      </c>
      <c r="L6" s="54">
        <f>K6/D6</f>
        <v>0.30968084299901433</v>
      </c>
      <c r="M6" s="54">
        <f>I6/G6</f>
        <v>0.36549370906662071</v>
      </c>
    </row>
    <row r="7" spans="1:14" x14ac:dyDescent="0.25">
      <c r="A7" s="31"/>
      <c r="B7" s="27" t="s">
        <v>171</v>
      </c>
      <c r="C7" s="106">
        <f>SUM(C5:C6)</f>
        <v>7818.01</v>
      </c>
      <c r="D7" s="73">
        <f>ROUND('PU Wise OWE'!BK128/10000,2)</f>
        <v>2029.5</v>
      </c>
      <c r="E7" s="69">
        <f>SUM(E5:E6)</f>
        <v>1</v>
      </c>
      <c r="F7" s="69"/>
      <c r="G7" s="26">
        <f>ROUND('PU Wise OWE'!BK126/10000,2)</f>
        <v>7967</v>
      </c>
      <c r="H7" s="69">
        <f>SUM(H5:H6)</f>
        <v>1</v>
      </c>
      <c r="I7" s="25">
        <f>ROUND('PU Wise OWE'!BK129/10000,2)</f>
        <v>2398.9499999999998</v>
      </c>
      <c r="J7" s="56">
        <f t="shared" si="1"/>
        <v>1</v>
      </c>
      <c r="K7" s="26">
        <f>I7-D7</f>
        <v>369.44999999999982</v>
      </c>
      <c r="L7" s="57">
        <f>K7/D7</f>
        <v>0.18203991130820391</v>
      </c>
      <c r="M7" s="54">
        <f>I7/G7</f>
        <v>0.30111083218275386</v>
      </c>
    </row>
    <row r="8" spans="1:14" x14ac:dyDescent="0.25">
      <c r="A8" s="31"/>
      <c r="B8" s="32"/>
      <c r="C8" s="32"/>
      <c r="D8" s="74"/>
      <c r="E8" s="33"/>
      <c r="F8" s="33"/>
      <c r="G8" s="34"/>
      <c r="H8" s="34"/>
      <c r="I8" s="31"/>
      <c r="J8" s="31"/>
      <c r="K8" s="34"/>
      <c r="L8" s="31"/>
    </row>
    <row r="9" spans="1:14" ht="14.45" customHeight="1" x14ac:dyDescent="0.25">
      <c r="A9" s="31"/>
      <c r="D9" s="74"/>
      <c r="E9" s="33"/>
      <c r="F9" s="33"/>
      <c r="G9" s="34"/>
      <c r="H9" s="34"/>
      <c r="I9" s="31"/>
      <c r="J9" s="31"/>
      <c r="K9" s="34"/>
      <c r="L9" s="31"/>
    </row>
    <row r="10" spans="1:14" x14ac:dyDescent="0.25">
      <c r="A10" s="31"/>
      <c r="B10" s="64" t="s">
        <v>172</v>
      </c>
      <c r="C10" s="64"/>
      <c r="D10" s="75"/>
      <c r="E10" s="65"/>
      <c r="F10" s="65"/>
      <c r="G10" s="65"/>
      <c r="H10" s="65"/>
      <c r="I10" s="65"/>
      <c r="J10" s="65"/>
      <c r="K10" s="36" t="s">
        <v>150</v>
      </c>
    </row>
    <row r="11" spans="1:14" ht="15" customHeight="1" x14ac:dyDescent="0.25">
      <c r="A11" s="31"/>
      <c r="B11" s="244"/>
      <c r="C11" s="244" t="s">
        <v>300</v>
      </c>
      <c r="D11" s="242" t="str">
        <f>'PU Wise OWE'!$B$7</f>
        <v>Actuals upto June' 20</v>
      </c>
      <c r="E11" s="244" t="s">
        <v>173</v>
      </c>
      <c r="F11" s="244"/>
      <c r="G11" s="279" t="str">
        <f>'PU Wise OWE'!$B$5</f>
        <v xml:space="preserve">OBG(SL) 2021-22 </v>
      </c>
      <c r="H11" s="244" t="s">
        <v>307</v>
      </c>
      <c r="I11" s="242" t="str">
        <f>'PU Wise OWE'!B8</f>
        <v>Actuals upto June' 21</v>
      </c>
      <c r="J11" s="244" t="s">
        <v>205</v>
      </c>
      <c r="K11" s="245" t="s">
        <v>147</v>
      </c>
      <c r="L11" s="245"/>
      <c r="M11" s="259" t="s">
        <v>312</v>
      </c>
      <c r="N11" s="281" t="s">
        <v>209</v>
      </c>
    </row>
    <row r="12" spans="1:14" ht="17.25" customHeight="1" x14ac:dyDescent="0.25">
      <c r="A12" s="31"/>
      <c r="B12" s="243"/>
      <c r="C12" s="243"/>
      <c r="D12" s="243"/>
      <c r="E12" s="243"/>
      <c r="F12" s="243"/>
      <c r="G12" s="280"/>
      <c r="H12" s="243"/>
      <c r="I12" s="243"/>
      <c r="J12" s="243"/>
      <c r="K12" s="66" t="s">
        <v>145</v>
      </c>
      <c r="L12" s="67" t="s">
        <v>146</v>
      </c>
      <c r="M12" s="259"/>
      <c r="N12" s="281"/>
    </row>
    <row r="13" spans="1:14" x14ac:dyDescent="0.25">
      <c r="A13" s="31"/>
      <c r="B13" s="20" t="s">
        <v>152</v>
      </c>
      <c r="C13" s="107">
        <v>2522.8000000000002</v>
      </c>
      <c r="D13" s="72">
        <f>ROUND('PU Wise OWE'!$C$128/10000,2)</f>
        <v>628.13</v>
      </c>
      <c r="E13" s="68">
        <f>D13/$D$7</f>
        <v>0.30949987681694996</v>
      </c>
      <c r="F13" s="21"/>
      <c r="G13" s="22">
        <f>ROUND('PU Wise OWE'!$C$126/10000,2)</f>
        <v>2509.4499999999998</v>
      </c>
      <c r="H13" s="24">
        <f>G13/$G$7</f>
        <v>0.3149805447470817</v>
      </c>
      <c r="I13" s="23">
        <f>ROUND('PU Wise OWE'!$C$129/10000,2)</f>
        <v>643.91</v>
      </c>
      <c r="J13" s="24">
        <f>I13/$I$7</f>
        <v>0.26841326413639299</v>
      </c>
      <c r="K13" s="22">
        <f t="shared" ref="K13:K28" si="2">I13-D13</f>
        <v>15.779999999999973</v>
      </c>
      <c r="L13" s="54">
        <f t="shared" ref="L13:L28" si="3">K13/D13</f>
        <v>2.5122188082084874E-2</v>
      </c>
      <c r="M13" s="54">
        <f>I13/G13</f>
        <v>0.25659407439877263</v>
      </c>
    </row>
    <row r="14" spans="1:14" x14ac:dyDescent="0.25">
      <c r="A14" s="31"/>
      <c r="B14" s="20" t="s">
        <v>153</v>
      </c>
      <c r="C14" s="107">
        <v>441.91</v>
      </c>
      <c r="D14" s="72">
        <f>ROUND('PU Wise OWE'!$D$128/10000,2)</f>
        <v>109.85</v>
      </c>
      <c r="E14" s="68">
        <f t="shared" ref="E14:E27" si="4">D14/$D$7</f>
        <v>5.4126632175412658E-2</v>
      </c>
      <c r="F14" s="21"/>
      <c r="G14" s="22">
        <f>ROUND('PU Wise OWE'!$D$126/10000,2)</f>
        <v>451.98</v>
      </c>
      <c r="H14" s="24">
        <f t="shared" ref="H14:H27" si="5">G14/$G$7</f>
        <v>5.673151750972763E-2</v>
      </c>
      <c r="I14" s="23">
        <f>ROUND('PU Wise OWE'!$D$129/10000,2)</f>
        <v>113.89</v>
      </c>
      <c r="J14" s="24">
        <f t="shared" ref="J14:J28" si="6">I14/$I$7</f>
        <v>4.7474936951582988E-2</v>
      </c>
      <c r="K14" s="22">
        <f t="shared" si="2"/>
        <v>4.0400000000000063</v>
      </c>
      <c r="L14" s="54">
        <f t="shared" si="3"/>
        <v>3.6777423759672342E-2</v>
      </c>
      <c r="M14" s="54">
        <f t="shared" ref="M14:M27" si="7">I14/G14</f>
        <v>0.25198017611398732</v>
      </c>
    </row>
    <row r="15" spans="1:14" x14ac:dyDescent="0.25">
      <c r="B15" s="23" t="s">
        <v>174</v>
      </c>
      <c r="C15" s="22">
        <v>98.2</v>
      </c>
      <c r="D15" s="72">
        <f>ROUND('PU Wise OWE'!$E$128/10000,2)</f>
        <v>0.39</v>
      </c>
      <c r="E15" s="68">
        <f t="shared" si="4"/>
        <v>1.9216555801921656E-4</v>
      </c>
      <c r="F15" s="21"/>
      <c r="G15" s="22">
        <f>ROUND('PU Wise OWE'!$E$126/10000,2)</f>
        <v>99.13</v>
      </c>
      <c r="H15" s="24">
        <f t="shared" si="5"/>
        <v>1.244257562445086E-2</v>
      </c>
      <c r="I15" s="23">
        <f>ROUND('PU Wise OWE'!$E$129/10000,2)</f>
        <v>0.23</v>
      </c>
      <c r="J15" s="24">
        <f t="shared" si="6"/>
        <v>9.5875278767794248E-5</v>
      </c>
      <c r="K15" s="22">
        <f t="shared" si="2"/>
        <v>-0.16</v>
      </c>
      <c r="L15" s="54">
        <f t="shared" si="3"/>
        <v>-0.41025641025641024</v>
      </c>
      <c r="M15" s="54">
        <f t="shared" si="7"/>
        <v>2.3201856148491883E-3</v>
      </c>
    </row>
    <row r="16" spans="1:14" x14ac:dyDescent="0.25">
      <c r="B16" s="23" t="s">
        <v>175</v>
      </c>
      <c r="C16" s="22">
        <v>264.85000000000002</v>
      </c>
      <c r="D16" s="72">
        <f>ROUND('PU Wise OWE'!$F$128/10000,2)</f>
        <v>64.959999999999994</v>
      </c>
      <c r="E16" s="68">
        <f t="shared" si="4"/>
        <v>3.2007883715200788E-2</v>
      </c>
      <c r="F16" s="21"/>
      <c r="G16" s="22">
        <f>ROUND('PU Wise OWE'!$F$126/10000,2)</f>
        <v>286.05</v>
      </c>
      <c r="H16" s="24">
        <f t="shared" si="5"/>
        <v>3.5904355466298485E-2</v>
      </c>
      <c r="I16" s="23">
        <f>ROUND('PU Wise OWE'!$F$129/10000,2)</f>
        <v>68.540000000000006</v>
      </c>
      <c r="J16" s="24">
        <f t="shared" si="6"/>
        <v>2.8570833072802688E-2</v>
      </c>
      <c r="K16" s="22">
        <f t="shared" si="2"/>
        <v>3.5800000000000125</v>
      </c>
      <c r="L16" s="54">
        <f t="shared" si="3"/>
        <v>5.5110837438423842E-2</v>
      </c>
      <c r="M16" s="54">
        <f t="shared" si="7"/>
        <v>0.23960846005943018</v>
      </c>
    </row>
    <row r="17" spans="1:14" x14ac:dyDescent="0.25">
      <c r="B17" s="23" t="s">
        <v>176</v>
      </c>
      <c r="C17" s="22">
        <v>134.78</v>
      </c>
      <c r="D17" s="72">
        <f>ROUND('PU Wise OWE'!$G$128/10000,2)</f>
        <v>33.659999999999997</v>
      </c>
      <c r="E17" s="68">
        <f t="shared" si="4"/>
        <v>1.6585365853658534E-2</v>
      </c>
      <c r="F17" s="21"/>
      <c r="G17" s="22">
        <f>ROUND('PU Wise OWE'!$G$126/10000,2)</f>
        <v>148.21</v>
      </c>
      <c r="H17" s="24">
        <f t="shared" si="5"/>
        <v>1.8602987322706165E-2</v>
      </c>
      <c r="I17" s="23">
        <f>ROUND('PU Wise OWE'!$G$129/10000,2)</f>
        <v>34.590000000000003</v>
      </c>
      <c r="J17" s="24">
        <f t="shared" si="6"/>
        <v>1.4418808228600016E-2</v>
      </c>
      <c r="K17" s="22">
        <f t="shared" si="2"/>
        <v>0.93000000000000682</v>
      </c>
      <c r="L17" s="54">
        <f t="shared" si="3"/>
        <v>2.7629233511586658E-2</v>
      </c>
      <c r="M17" s="54">
        <f t="shared" si="7"/>
        <v>0.23338506173672494</v>
      </c>
    </row>
    <row r="18" spans="1:14" x14ac:dyDescent="0.25">
      <c r="A18" s="31"/>
      <c r="B18" s="20" t="s">
        <v>154</v>
      </c>
      <c r="C18" s="107">
        <v>247.05</v>
      </c>
      <c r="D18" s="72">
        <f>ROUND('PU Wise OWE'!$H$128/10000,2)</f>
        <v>70.19</v>
      </c>
      <c r="E18" s="68">
        <f t="shared" si="4"/>
        <v>3.4584873121458484E-2</v>
      </c>
      <c r="F18" s="21"/>
      <c r="G18" s="22">
        <f>ROUND('PU Wise OWE'!$H$126/10000,2)</f>
        <v>289.98</v>
      </c>
      <c r="H18" s="24">
        <f t="shared" si="5"/>
        <v>3.6397640266097653E-2</v>
      </c>
      <c r="I18" s="23">
        <f>ROUND('PU Wise OWE'!$H$129/10000,2)</f>
        <v>84.69</v>
      </c>
      <c r="J18" s="24">
        <f t="shared" si="6"/>
        <v>3.5302945038454325E-2</v>
      </c>
      <c r="K18" s="22">
        <f t="shared" si="2"/>
        <v>14.5</v>
      </c>
      <c r="L18" s="54">
        <f t="shared" si="3"/>
        <v>0.20658213420715202</v>
      </c>
      <c r="M18" s="54">
        <f t="shared" si="7"/>
        <v>0.29205462445685909</v>
      </c>
    </row>
    <row r="19" spans="1:14" ht="45" customHeight="1" x14ac:dyDescent="0.25">
      <c r="A19" s="31"/>
      <c r="B19" s="58" t="s">
        <v>155</v>
      </c>
      <c r="C19" s="108">
        <v>188.24</v>
      </c>
      <c r="D19" s="72">
        <f>ROUND('PU Wise OWE'!$J$128/10000,2)</f>
        <v>47.24</v>
      </c>
      <c r="E19" s="68">
        <f t="shared" si="4"/>
        <v>2.3276669130327669E-2</v>
      </c>
      <c r="F19" s="21"/>
      <c r="G19" s="22">
        <f>ROUND('PU Wise OWE'!$J$126/10000,2)</f>
        <v>198.27</v>
      </c>
      <c r="H19" s="24">
        <f t="shared" si="5"/>
        <v>2.4886406426509352E-2</v>
      </c>
      <c r="I19" s="23">
        <f>ROUND('PU Wise OWE'!$J$129/10000,2)</f>
        <v>53.42</v>
      </c>
      <c r="J19" s="24">
        <f t="shared" si="6"/>
        <v>2.2268075616415518E-2</v>
      </c>
      <c r="K19" s="22">
        <f t="shared" si="2"/>
        <v>6.18</v>
      </c>
      <c r="L19" s="54">
        <f t="shared" si="3"/>
        <v>0.13082133784928027</v>
      </c>
      <c r="M19" s="54">
        <f t="shared" si="7"/>
        <v>0.26943057446915819</v>
      </c>
      <c r="N19" s="71"/>
    </row>
    <row r="20" spans="1:14" x14ac:dyDescent="0.25">
      <c r="A20" s="31"/>
      <c r="B20" s="20" t="s">
        <v>156</v>
      </c>
      <c r="C20" s="107">
        <v>12.03</v>
      </c>
      <c r="D20" s="72">
        <f>ROUND('PU Wise OWE'!$K$128/10000,2)</f>
        <v>1.72</v>
      </c>
      <c r="E20" s="68">
        <f t="shared" si="4"/>
        <v>8.4749938408474994E-4</v>
      </c>
      <c r="F20" s="21"/>
      <c r="G20" s="22">
        <f>ROUND('PU Wise OWE'!$K$126/10000,2)</f>
        <v>11.75</v>
      </c>
      <c r="H20" s="24">
        <f t="shared" si="5"/>
        <v>1.4748336889669888E-3</v>
      </c>
      <c r="I20" s="23">
        <f>ROUND('PU Wise OWE'!$K$129/10000,2)</f>
        <v>0.43</v>
      </c>
      <c r="J20" s="24">
        <f t="shared" si="6"/>
        <v>1.7924508639196316E-4</v>
      </c>
      <c r="K20" s="22">
        <f t="shared" si="2"/>
        <v>-1.29</v>
      </c>
      <c r="L20" s="54">
        <f t="shared" si="3"/>
        <v>-0.75</v>
      </c>
      <c r="M20" s="54">
        <f t="shared" si="7"/>
        <v>3.6595744680851063E-2</v>
      </c>
    </row>
    <row r="21" spans="1:14" x14ac:dyDescent="0.25">
      <c r="A21" s="31"/>
      <c r="B21" s="20" t="s">
        <v>157</v>
      </c>
      <c r="C21" s="107">
        <v>48.93</v>
      </c>
      <c r="D21" s="72">
        <f>ROUND('PU Wise OWE'!$L$128/10000,2)</f>
        <v>16.02</v>
      </c>
      <c r="E21" s="68">
        <f t="shared" si="4"/>
        <v>7.8935698447893561E-3</v>
      </c>
      <c r="F21" s="21"/>
      <c r="G21" s="22">
        <f>ROUND('PU Wise OWE'!$L$126/10000,2)</f>
        <v>52.98</v>
      </c>
      <c r="H21" s="24">
        <f t="shared" si="5"/>
        <v>6.6499309652315796E-3</v>
      </c>
      <c r="I21" s="23">
        <f>ROUND('PU Wise OWE'!$L$129/10000,2)</f>
        <v>9.51</v>
      </c>
      <c r="J21" s="24">
        <f t="shared" si="6"/>
        <v>3.964234352529232E-3</v>
      </c>
      <c r="K21" s="22">
        <f t="shared" si="2"/>
        <v>-6.51</v>
      </c>
      <c r="L21" s="54">
        <f t="shared" si="3"/>
        <v>-0.40636704119850187</v>
      </c>
      <c r="M21" s="54">
        <f t="shared" si="7"/>
        <v>0.1795016987542469</v>
      </c>
      <c r="N21" s="71"/>
    </row>
    <row r="22" spans="1:14" x14ac:dyDescent="0.25">
      <c r="A22" s="31"/>
      <c r="B22" s="20" t="s">
        <v>179</v>
      </c>
      <c r="C22" s="107">
        <v>120.4</v>
      </c>
      <c r="D22" s="72">
        <f>ROUND('PU Wise OWE'!$M$128/10000,2)</f>
        <v>25.65</v>
      </c>
      <c r="E22" s="68">
        <f t="shared" si="4"/>
        <v>1.2638580931263858E-2</v>
      </c>
      <c r="F22" s="21"/>
      <c r="G22" s="22">
        <f>ROUND('PU Wise OWE'!$M$126/10000,2)</f>
        <v>149.94999999999999</v>
      </c>
      <c r="H22" s="24">
        <f t="shared" si="5"/>
        <v>1.882138822643404E-2</v>
      </c>
      <c r="I22" s="23">
        <f>ROUND('PU Wise OWE'!$M$129/10000,2)</f>
        <v>29.42</v>
      </c>
      <c r="J22" s="24">
        <f t="shared" si="6"/>
        <v>1.2263698701515249E-2</v>
      </c>
      <c r="K22" s="22">
        <f t="shared" si="2"/>
        <v>3.7700000000000031</v>
      </c>
      <c r="L22" s="54">
        <f t="shared" si="3"/>
        <v>0.14697855750487343</v>
      </c>
      <c r="M22" s="54">
        <f t="shared" si="7"/>
        <v>0.19619873291097034</v>
      </c>
      <c r="N22" s="71"/>
    </row>
    <row r="23" spans="1:14" x14ac:dyDescent="0.25">
      <c r="A23" s="31"/>
      <c r="B23" s="58" t="s">
        <v>158</v>
      </c>
      <c r="C23" s="108">
        <v>88.73</v>
      </c>
      <c r="D23" s="72">
        <f>ROUND('PU Wise OWE'!$P$128/10000,2)</f>
        <v>27.25</v>
      </c>
      <c r="E23" s="68">
        <f t="shared" si="4"/>
        <v>1.3426952451342695E-2</v>
      </c>
      <c r="F23" s="21"/>
      <c r="G23" s="22">
        <f>ROUND('PU Wise OWE'!$P$126/10000,2)</f>
        <v>92.29</v>
      </c>
      <c r="H23" s="24">
        <f t="shared" si="5"/>
        <v>1.1584034140830929E-2</v>
      </c>
      <c r="I23" s="23">
        <f>ROUND('PU Wise OWE'!$P$129/10000,2)</f>
        <v>33.81</v>
      </c>
      <c r="J23" s="24">
        <f t="shared" si="6"/>
        <v>1.4093665978865756E-2</v>
      </c>
      <c r="K23" s="22">
        <f t="shared" si="2"/>
        <v>6.5600000000000023</v>
      </c>
      <c r="L23" s="54">
        <f t="shared" si="3"/>
        <v>0.24073394495412853</v>
      </c>
      <c r="M23" s="54">
        <f t="shared" si="7"/>
        <v>0.3663452161664319</v>
      </c>
    </row>
    <row r="24" spans="1:14" x14ac:dyDescent="0.25">
      <c r="B24" s="58" t="s">
        <v>159</v>
      </c>
      <c r="C24" s="108">
        <v>81.78</v>
      </c>
      <c r="D24" s="72">
        <f>ROUND('PU Wise OWE'!$S$128/10000,2)</f>
        <v>21.44</v>
      </c>
      <c r="E24" s="68">
        <f t="shared" si="4"/>
        <v>1.0564178369056418E-2</v>
      </c>
      <c r="F24" s="21"/>
      <c r="G24" s="22">
        <f>ROUND('PU Wise OWE'!$S$126/10000,2)</f>
        <v>89.03</v>
      </c>
      <c r="H24" s="24">
        <f t="shared" si="5"/>
        <v>1.1174846240743065E-2</v>
      </c>
      <c r="I24" s="23">
        <f>ROUND('PU Wise OWE'!$S$129/10000,2)</f>
        <v>38.78</v>
      </c>
      <c r="J24" s="24">
        <f t="shared" si="6"/>
        <v>1.6165405698326352E-2</v>
      </c>
      <c r="K24" s="22">
        <f t="shared" si="2"/>
        <v>17.34</v>
      </c>
      <c r="L24" s="54">
        <f t="shared" si="3"/>
        <v>0.80876865671641784</v>
      </c>
      <c r="M24" s="54">
        <f t="shared" si="7"/>
        <v>0.43558351117600808</v>
      </c>
      <c r="N24" s="71"/>
    </row>
    <row r="25" spans="1:14" x14ac:dyDescent="0.25">
      <c r="B25" s="58" t="s">
        <v>160</v>
      </c>
      <c r="C25" s="108">
        <v>90.5</v>
      </c>
      <c r="D25" s="72">
        <f>ROUND('PU Wise OWE'!$T$128/10000,2)</f>
        <v>21.74</v>
      </c>
      <c r="E25" s="68">
        <f t="shared" si="4"/>
        <v>1.0711998029071199E-2</v>
      </c>
      <c r="F25" s="21"/>
      <c r="G25" s="22">
        <f>ROUND('PU Wise OWE'!$T$126/10000,2)</f>
        <v>83.15</v>
      </c>
      <c r="H25" s="24">
        <f t="shared" si="5"/>
        <v>1.0436801807455756E-2</v>
      </c>
      <c r="I25" s="23">
        <f>ROUND('PU Wise OWE'!$T$129/10000,2)</f>
        <v>26.64</v>
      </c>
      <c r="J25" s="24">
        <f t="shared" si="6"/>
        <v>1.11048583755393E-2</v>
      </c>
      <c r="K25" s="22">
        <f t="shared" si="2"/>
        <v>4.9000000000000021</v>
      </c>
      <c r="L25" s="54">
        <f t="shared" si="3"/>
        <v>0.22539098436062568</v>
      </c>
      <c r="M25" s="54">
        <f t="shared" si="7"/>
        <v>0.32038484666265782</v>
      </c>
    </row>
    <row r="26" spans="1:14" x14ac:dyDescent="0.25">
      <c r="B26" s="58" t="s">
        <v>178</v>
      </c>
      <c r="C26" s="108">
        <v>41.07</v>
      </c>
      <c r="D26" s="72">
        <f>ROUND('PU Wise OWE'!$V$128/10000,2)</f>
        <v>13.06</v>
      </c>
      <c r="E26" s="68">
        <f t="shared" si="4"/>
        <v>6.4350825326435082E-3</v>
      </c>
      <c r="F26" s="22"/>
      <c r="G26" s="22">
        <f>ROUND('PU Wise OWE'!$V$126/10000,2)</f>
        <v>34.5</v>
      </c>
      <c r="H26" s="24">
        <f t="shared" si="5"/>
        <v>4.3303627463286056E-3</v>
      </c>
      <c r="I26" s="23">
        <f>ROUND('PU Wise OWE'!$V$129/10000,2)</f>
        <v>8.31</v>
      </c>
      <c r="J26" s="24">
        <f t="shared" si="6"/>
        <v>3.4640155067842187E-3</v>
      </c>
      <c r="K26" s="22">
        <f t="shared" si="2"/>
        <v>-4.75</v>
      </c>
      <c r="L26" s="54">
        <f t="shared" si="3"/>
        <v>-0.36370597243491576</v>
      </c>
      <c r="M26" s="54">
        <f t="shared" si="7"/>
        <v>0.24086956521739131</v>
      </c>
      <c r="N26" s="71"/>
    </row>
    <row r="27" spans="1:14" x14ac:dyDescent="0.25">
      <c r="B27" s="58" t="s">
        <v>177</v>
      </c>
      <c r="C27" s="108">
        <v>169.78</v>
      </c>
      <c r="D27" s="72">
        <f>ROUND('PU Wise OWE'!$AC$128/10000,2)</f>
        <v>20.48</v>
      </c>
      <c r="E27" s="68">
        <f t="shared" si="4"/>
        <v>1.0091155457009116E-2</v>
      </c>
      <c r="F27" s="22"/>
      <c r="G27" s="22">
        <f>ROUND('PU Wise OWE'!$AC$126/10000,2)</f>
        <v>133.18</v>
      </c>
      <c r="H27" s="24">
        <f t="shared" si="5"/>
        <v>1.6716455378436048E-2</v>
      </c>
      <c r="I27" s="23">
        <f>ROUND('PU Wise OWE'!$AC$129/10000,2)</f>
        <v>36.11</v>
      </c>
      <c r="J27" s="24">
        <f t="shared" si="6"/>
        <v>1.5052418766543696E-2</v>
      </c>
      <c r="K27" s="22">
        <f t="shared" si="2"/>
        <v>15.629999999999999</v>
      </c>
      <c r="L27" s="54">
        <f t="shared" si="3"/>
        <v>0.76318359374999989</v>
      </c>
      <c r="M27" s="54">
        <f t="shared" si="7"/>
        <v>0.27113680732842765</v>
      </c>
    </row>
    <row r="28" spans="1:14" x14ac:dyDescent="0.25">
      <c r="B28" s="25" t="s">
        <v>149</v>
      </c>
      <c r="C28" s="26">
        <f>SUM(C13:C27)</f>
        <v>4551.0499999999993</v>
      </c>
      <c r="D28" s="76">
        <f>SUM(D13:D27)</f>
        <v>1101.78</v>
      </c>
      <c r="E28" s="56">
        <f>SUM(E13:E27)</f>
        <v>0.5428824833702881</v>
      </c>
      <c r="F28" s="26"/>
      <c r="G28" s="26">
        <f>G5</f>
        <v>4658.2700000000004</v>
      </c>
      <c r="H28" s="56">
        <f t="shared" ref="H28:I28" si="8">SUM(H13:H27)</f>
        <v>0.58113468055729889</v>
      </c>
      <c r="I28" s="26">
        <f t="shared" si="8"/>
        <v>1182.2799999999997</v>
      </c>
      <c r="J28" s="56">
        <f t="shared" si="6"/>
        <v>0.49283228078951202</v>
      </c>
      <c r="K28" s="26">
        <f t="shared" si="2"/>
        <v>80.499999999999773</v>
      </c>
      <c r="L28" s="57">
        <f t="shared" si="3"/>
        <v>7.3063588012125633E-2</v>
      </c>
    </row>
    <row r="29" spans="1:14" x14ac:dyDescent="0.25">
      <c r="I29" s="70"/>
      <c r="J29" s="70"/>
    </row>
    <row r="31" spans="1:14" x14ac:dyDescent="0.25">
      <c r="B31" s="77" t="s">
        <v>180</v>
      </c>
      <c r="C31" s="77"/>
      <c r="D31" s="78"/>
      <c r="E31" s="79"/>
      <c r="K31" t="s">
        <v>150</v>
      </c>
    </row>
    <row r="32" spans="1:14" ht="15" customHeight="1" x14ac:dyDescent="0.25">
      <c r="B32" s="252"/>
      <c r="C32" s="251" t="s">
        <v>300</v>
      </c>
      <c r="D32" s="248" t="str">
        <f>'PU Wise OWE'!$B$7</f>
        <v>Actuals upto June' 20</v>
      </c>
      <c r="E32" s="251" t="s">
        <v>173</v>
      </c>
      <c r="F32" s="251"/>
      <c r="G32" s="276" t="str">
        <f>'PU Wise OWE'!$B$5</f>
        <v xml:space="preserve">OBG(SL) 2021-22 </v>
      </c>
      <c r="H32" s="251" t="s">
        <v>307</v>
      </c>
      <c r="I32" s="248" t="str">
        <f>'PU Wise OWE'!B8</f>
        <v>Actuals upto June' 21</v>
      </c>
      <c r="J32" s="251" t="s">
        <v>205</v>
      </c>
      <c r="K32" s="250" t="s">
        <v>147</v>
      </c>
      <c r="L32" s="250"/>
      <c r="M32" s="252" t="s">
        <v>312</v>
      </c>
      <c r="N32" s="281" t="s">
        <v>209</v>
      </c>
    </row>
    <row r="33" spans="2:14" ht="17.25" customHeight="1" x14ac:dyDescent="0.25">
      <c r="B33" s="252"/>
      <c r="C33" s="249"/>
      <c r="D33" s="249"/>
      <c r="E33" s="249"/>
      <c r="F33" s="249"/>
      <c r="G33" s="277"/>
      <c r="H33" s="249"/>
      <c r="I33" s="249"/>
      <c r="J33" s="249"/>
      <c r="K33" s="81" t="s">
        <v>145</v>
      </c>
      <c r="L33" s="82" t="s">
        <v>146</v>
      </c>
      <c r="M33" s="252"/>
      <c r="N33" s="281"/>
    </row>
    <row r="34" spans="2:14" x14ac:dyDescent="0.25">
      <c r="B34" s="86" t="s">
        <v>181</v>
      </c>
      <c r="C34" s="109">
        <v>10.44</v>
      </c>
      <c r="D34" s="72">
        <f>ROUND(('PU Wise OWE'!$AE$128+'PU Wise OWE'!$AF$128)/10000,2)</f>
        <v>3.65</v>
      </c>
      <c r="E34" s="87">
        <f>D34/$D$7</f>
        <v>1.7984725301798473E-3</v>
      </c>
      <c r="F34" s="21"/>
      <c r="G34" s="22">
        <f>ROUND(('PU Wise OWE'!$AE$126+'PU Wise OWE'!$AF$126)/10000,2)</f>
        <v>9.56</v>
      </c>
      <c r="H34" s="24">
        <f t="shared" ref="H34:H37" si="9">G34/$G$7</f>
        <v>1.1999497928956947E-3</v>
      </c>
      <c r="I34" s="23">
        <f>ROUND(('PU Wise OWE'!$AE$129+'PU Wise OWE'!$AF$129)/10000,2)</f>
        <v>1.64</v>
      </c>
      <c r="J34" s="24">
        <f t="shared" ref="J34:J37" si="10">I34/$I$7</f>
        <v>6.8363242251818503E-4</v>
      </c>
      <c r="K34" s="22">
        <f>I34-D34</f>
        <v>-2.0099999999999998</v>
      </c>
      <c r="L34" s="54">
        <f>K34/D34</f>
        <v>-0.55068493150684927</v>
      </c>
      <c r="M34" s="54">
        <f t="shared" ref="M34:M37" si="11">I34/G34</f>
        <v>0.17154811715481169</v>
      </c>
      <c r="N34" s="282"/>
    </row>
    <row r="35" spans="2:14" ht="16.5" customHeight="1" x14ac:dyDescent="0.25">
      <c r="B35" s="86" t="s">
        <v>182</v>
      </c>
      <c r="C35" s="109">
        <v>21.76</v>
      </c>
      <c r="D35" s="72">
        <f>ROUND('PU Wise OWE'!$AG$128/10000,2)</f>
        <v>7.16</v>
      </c>
      <c r="E35" s="87">
        <f t="shared" ref="E35:E37" si="12">D35/$D$7</f>
        <v>3.5279625523527963E-3</v>
      </c>
      <c r="F35" s="21"/>
      <c r="G35" s="22">
        <f>ROUND('PU Wise OWE'!$AG$126/10000,2)</f>
        <v>7.15</v>
      </c>
      <c r="H35" s="24">
        <f t="shared" si="9"/>
        <v>8.9745198945650811E-4</v>
      </c>
      <c r="I35" s="23">
        <f>ROUND('PU Wise OWE'!$AG$129/10000,2)</f>
        <v>6</v>
      </c>
      <c r="J35" s="24">
        <f t="shared" si="10"/>
        <v>2.5010942287250672E-3</v>
      </c>
      <c r="K35" s="22">
        <f>I35-D35</f>
        <v>-1.1600000000000001</v>
      </c>
      <c r="L35" s="54">
        <f>K35/D35</f>
        <v>-0.16201117318435757</v>
      </c>
      <c r="M35" s="54">
        <f t="shared" si="11"/>
        <v>0.83916083916083917</v>
      </c>
      <c r="N35" s="282"/>
    </row>
    <row r="36" spans="2:14" ht="15.75" customHeight="1" x14ac:dyDescent="0.25">
      <c r="B36" s="86" t="s">
        <v>183</v>
      </c>
      <c r="C36" s="109">
        <v>2.42</v>
      </c>
      <c r="D36" s="72">
        <f>ROUND('PU Wise OWE'!$AJ$128/10000,2)</f>
        <v>0.79</v>
      </c>
      <c r="E36" s="87">
        <f t="shared" si="12"/>
        <v>3.8925843803892584E-4</v>
      </c>
      <c r="F36" s="21"/>
      <c r="G36" s="22">
        <f>ROUND('PU Wise OWE'!$AJ$126/10000,2)</f>
        <v>2.23</v>
      </c>
      <c r="H36" s="24">
        <f t="shared" si="9"/>
        <v>2.7990460650181999E-4</v>
      </c>
      <c r="I36" s="23">
        <f>ROUND('PU Wise OWE'!$AJ$129/10000,2)</f>
        <v>0.42</v>
      </c>
      <c r="J36" s="24">
        <f t="shared" si="10"/>
        <v>1.7507659601075472E-4</v>
      </c>
      <c r="K36" s="22">
        <f>I36-D36</f>
        <v>-0.37000000000000005</v>
      </c>
      <c r="L36" s="54">
        <f>K36/D36</f>
        <v>-0.46835443037974689</v>
      </c>
      <c r="M36" s="54">
        <f t="shared" si="11"/>
        <v>0.18834080717488788</v>
      </c>
      <c r="N36" s="282"/>
    </row>
    <row r="37" spans="2:14" x14ac:dyDescent="0.25">
      <c r="B37" s="25" t="s">
        <v>149</v>
      </c>
      <c r="C37" s="26">
        <v>34.619999999999997</v>
      </c>
      <c r="D37" s="76">
        <f>SUM(D34:D36)</f>
        <v>11.600000000000001</v>
      </c>
      <c r="E37" s="88">
        <f t="shared" si="12"/>
        <v>5.7156935205715702E-3</v>
      </c>
      <c r="F37" s="26"/>
      <c r="G37" s="76">
        <f t="shared" ref="G37:I37" si="13">SUM(G34:G36)</f>
        <v>18.940000000000001</v>
      </c>
      <c r="H37" s="56">
        <f t="shared" si="9"/>
        <v>2.3773063888540228E-3</v>
      </c>
      <c r="I37" s="76">
        <f t="shared" si="13"/>
        <v>8.06</v>
      </c>
      <c r="J37" s="56">
        <f t="shared" si="10"/>
        <v>3.3598032472540074E-3</v>
      </c>
      <c r="K37" s="26">
        <f>I37-D37</f>
        <v>-3.5400000000000009</v>
      </c>
      <c r="L37" s="57">
        <f>K37/D37</f>
        <v>-0.3051724137931035</v>
      </c>
      <c r="M37" s="54">
        <f t="shared" si="11"/>
        <v>0.42555438225976766</v>
      </c>
    </row>
    <row r="39" spans="2:14" x14ac:dyDescent="0.25">
      <c r="B39" s="84"/>
      <c r="C39" s="84"/>
      <c r="D39" s="85"/>
      <c r="E39" s="84"/>
      <c r="K39" t="s">
        <v>150</v>
      </c>
    </row>
    <row r="40" spans="2:14" ht="15" customHeight="1" x14ac:dyDescent="0.25">
      <c r="B40" s="252" t="s">
        <v>164</v>
      </c>
      <c r="C40" s="251" t="s">
        <v>300</v>
      </c>
      <c r="D40" s="248" t="str">
        <f>'PU Wise OWE'!$B$7</f>
        <v>Actuals upto June' 20</v>
      </c>
      <c r="E40" s="251" t="s">
        <v>173</v>
      </c>
      <c r="F40" s="251"/>
      <c r="G40" s="276" t="str">
        <f>'PU Wise OWE'!$B$5</f>
        <v xml:space="preserve">OBG(SL) 2021-22 </v>
      </c>
      <c r="H40" s="251" t="s">
        <v>297</v>
      </c>
      <c r="I40" s="248" t="str">
        <f>'PU Wise OWE'!B8</f>
        <v>Actuals upto June' 21</v>
      </c>
      <c r="J40" s="251" t="s">
        <v>205</v>
      </c>
      <c r="K40" s="250" t="s">
        <v>147</v>
      </c>
      <c r="L40" s="250"/>
      <c r="M40" s="252" t="s">
        <v>312</v>
      </c>
      <c r="N40" s="281" t="s">
        <v>209</v>
      </c>
    </row>
    <row r="41" spans="2:14" x14ac:dyDescent="0.25">
      <c r="B41" s="252"/>
      <c r="C41" s="249"/>
      <c r="D41" s="249"/>
      <c r="E41" s="249"/>
      <c r="F41" s="249"/>
      <c r="G41" s="277"/>
      <c r="H41" s="249"/>
      <c r="I41" s="249"/>
      <c r="J41" s="249"/>
      <c r="K41" s="81" t="s">
        <v>145</v>
      </c>
      <c r="L41" s="82" t="s">
        <v>146</v>
      </c>
      <c r="M41" s="252"/>
      <c r="N41" s="281"/>
    </row>
    <row r="42" spans="2:14" x14ac:dyDescent="0.25">
      <c r="B42" s="27" t="s">
        <v>165</v>
      </c>
      <c r="C42" s="106">
        <v>273.47000000000003</v>
      </c>
      <c r="D42" s="72">
        <f>SUM(D43:D47)</f>
        <v>70.94</v>
      </c>
      <c r="E42" s="87">
        <f t="shared" ref="E42:E49" si="14">D42/$D$7</f>
        <v>3.4954422271495443E-2</v>
      </c>
      <c r="F42" s="99"/>
      <c r="G42" s="21">
        <f>SUM(G43:G47)</f>
        <v>213.87</v>
      </c>
      <c r="H42" s="24">
        <f t="shared" ref="H42:H49" si="15">G42/$G$7</f>
        <v>2.684448349441446E-2</v>
      </c>
      <c r="I42" s="21">
        <f>SUM(I43:I47)</f>
        <v>164.14000000000001</v>
      </c>
      <c r="J42" s="24">
        <f t="shared" ref="J42:J49" si="16">I42/$I$7</f>
        <v>6.8421601117155437E-2</v>
      </c>
      <c r="K42" s="22">
        <f t="shared" ref="K42:K49" si="17">I42-D42</f>
        <v>93.200000000000017</v>
      </c>
      <c r="L42" s="54">
        <f t="shared" ref="L42:L49" si="18">K42/D42</f>
        <v>1.3137862982802371</v>
      </c>
      <c r="M42" s="54">
        <f t="shared" ref="M42:M49" si="19">I42/G42</f>
        <v>0.76747556927105254</v>
      </c>
    </row>
    <row r="43" spans="2:14" x14ac:dyDescent="0.25">
      <c r="B43" s="59" t="s">
        <v>161</v>
      </c>
      <c r="C43" s="21">
        <v>19.690000000000001</v>
      </c>
      <c r="D43" s="72">
        <f>ROUND('PU Wise OWE'!$AK$84/10000,2)</f>
        <v>3.62</v>
      </c>
      <c r="E43" s="87">
        <f t="shared" si="14"/>
        <v>1.7836905641783691E-3</v>
      </c>
      <c r="F43" s="99"/>
      <c r="G43" s="21">
        <f>ROUND('PU Wise OWE'!$AK$82/10000,2)</f>
        <v>14.25</v>
      </c>
      <c r="H43" s="24">
        <f t="shared" si="15"/>
        <v>1.7886280908748589E-3</v>
      </c>
      <c r="I43" s="21">
        <f>ROUND('PU Wise OWE'!$AK$85/10000,2)</f>
        <v>10.26</v>
      </c>
      <c r="J43" s="24">
        <f t="shared" si="16"/>
        <v>4.2768711311198648E-3</v>
      </c>
      <c r="K43" s="22">
        <f t="shared" si="17"/>
        <v>6.64</v>
      </c>
      <c r="L43" s="54">
        <f t="shared" si="18"/>
        <v>1.8342541436464086</v>
      </c>
      <c r="M43" s="54">
        <f t="shared" si="19"/>
        <v>0.72</v>
      </c>
    </row>
    <row r="44" spans="2:14" x14ac:dyDescent="0.25">
      <c r="B44" s="60" t="s">
        <v>168</v>
      </c>
      <c r="C44" s="110">
        <v>114.4</v>
      </c>
      <c r="D44" s="72">
        <f>ROUND('PU Wise OWE'!$AR$84/10000,2)</f>
        <v>28.24</v>
      </c>
      <c r="E44" s="87">
        <f t="shared" si="14"/>
        <v>1.3914757329391476E-2</v>
      </c>
      <c r="F44" s="99"/>
      <c r="G44" s="21">
        <f>ROUND('PU Wise OWE'!$AR$82/10000,2)</f>
        <v>78.95</v>
      </c>
      <c r="H44" s="24">
        <f t="shared" si="15"/>
        <v>9.9096272122505338E-3</v>
      </c>
      <c r="I44" s="21">
        <f>ROUND('PU Wise OWE'!$AR$85/10000,2)</f>
        <v>62.36</v>
      </c>
      <c r="J44" s="24">
        <f t="shared" si="16"/>
        <v>2.5994706017215867E-2</v>
      </c>
      <c r="K44" s="22">
        <f t="shared" si="17"/>
        <v>34.120000000000005</v>
      </c>
      <c r="L44" s="54">
        <f t="shared" si="18"/>
        <v>1.2082152974504252</v>
      </c>
      <c r="M44" s="54">
        <f t="shared" si="19"/>
        <v>0.78986700443318547</v>
      </c>
    </row>
    <row r="45" spans="2:14" x14ac:dyDescent="0.25">
      <c r="B45" s="60" t="s">
        <v>169</v>
      </c>
      <c r="C45" s="110">
        <v>46.69</v>
      </c>
      <c r="D45" s="72">
        <f>ROUND('PU Wise OWE'!$AU$84/10000,2)</f>
        <v>11.4</v>
      </c>
      <c r="E45" s="87">
        <f t="shared" si="14"/>
        <v>5.6171470805617147E-3</v>
      </c>
      <c r="F45" s="99"/>
      <c r="G45" s="21">
        <f>ROUND('PU Wise OWE'!$AU$82/10000,2)</f>
        <v>34.83</v>
      </c>
      <c r="H45" s="24">
        <f t="shared" si="15"/>
        <v>4.3717836073804443E-3</v>
      </c>
      <c r="I45" s="21">
        <f>ROUND('PU Wise OWE'!$AU$85/10000,2)</f>
        <v>26.21</v>
      </c>
      <c r="J45" s="24">
        <f t="shared" si="16"/>
        <v>1.0925613289147337E-2</v>
      </c>
      <c r="K45" s="22">
        <f t="shared" si="17"/>
        <v>14.81</v>
      </c>
      <c r="L45" s="54">
        <f t="shared" si="18"/>
        <v>1.2991228070175438</v>
      </c>
      <c r="M45" s="54">
        <f t="shared" si="19"/>
        <v>0.75251220212460523</v>
      </c>
    </row>
    <row r="46" spans="2:14" x14ac:dyDescent="0.25">
      <c r="B46" s="59" t="s">
        <v>166</v>
      </c>
      <c r="C46" s="21">
        <v>54.55</v>
      </c>
      <c r="D46" s="72">
        <f>ROUND('PU Wise OWE'!$AZ$84/10000,2)</f>
        <v>6.98</v>
      </c>
      <c r="E46" s="87">
        <f t="shared" si="14"/>
        <v>3.4392707563439271E-3</v>
      </c>
      <c r="F46" s="99"/>
      <c r="G46" s="21">
        <f>ROUND('PU Wise OWE'!$AZ$82/10000,2)</f>
        <v>31.73</v>
      </c>
      <c r="H46" s="24">
        <f t="shared" si="15"/>
        <v>3.9826785490146861E-3</v>
      </c>
      <c r="I46" s="21">
        <f>ROUND('PU Wise OWE'!$AZ$85/10000,2)</f>
        <v>30.83</v>
      </c>
      <c r="J46" s="24">
        <f t="shared" si="16"/>
        <v>1.2851455845265636E-2</v>
      </c>
      <c r="K46" s="22">
        <f t="shared" si="17"/>
        <v>23.849999999999998</v>
      </c>
      <c r="L46" s="54">
        <f t="shared" si="18"/>
        <v>3.416905444126074</v>
      </c>
      <c r="M46" s="54">
        <f t="shared" si="19"/>
        <v>0.97163567601638823</v>
      </c>
    </row>
    <row r="47" spans="2:14" x14ac:dyDescent="0.25">
      <c r="B47" s="60" t="s">
        <v>167</v>
      </c>
      <c r="C47" s="110">
        <v>38.14</v>
      </c>
      <c r="D47" s="72">
        <f>ROUND('PU Wise OWE'!$BA$84/10000,2)</f>
        <v>20.7</v>
      </c>
      <c r="E47" s="87">
        <f t="shared" si="14"/>
        <v>1.0199556541019955E-2</v>
      </c>
      <c r="F47" s="99"/>
      <c r="G47" s="21">
        <f>ROUND('PU Wise OWE'!$BA$82/10000,2)</f>
        <v>54.11</v>
      </c>
      <c r="H47" s="24">
        <f t="shared" si="15"/>
        <v>6.791766034893937E-3</v>
      </c>
      <c r="I47" s="21">
        <f>ROUND('PU Wise OWE'!$BA$85/10000,2)</f>
        <v>34.479999999999997</v>
      </c>
      <c r="J47" s="24">
        <f t="shared" si="16"/>
        <v>1.4372954834406719E-2</v>
      </c>
      <c r="K47" s="22">
        <f t="shared" si="17"/>
        <v>13.779999999999998</v>
      </c>
      <c r="L47" s="54">
        <f t="shared" si="18"/>
        <v>0.66570048309178731</v>
      </c>
      <c r="M47" s="54">
        <f t="shared" si="19"/>
        <v>0.63722047680650518</v>
      </c>
    </row>
    <row r="48" spans="2:14" x14ac:dyDescent="0.25">
      <c r="B48" s="61" t="s">
        <v>170</v>
      </c>
      <c r="C48" s="105">
        <v>663.48</v>
      </c>
      <c r="D48" s="72">
        <f>ROUND('PU Wise OWE'!$AM$84/10000,2)-ROUND('PU Wise OWE'!$BJ$84/10000,2)</f>
        <v>151.60999999999999</v>
      </c>
      <c r="E48" s="87">
        <f t="shared" si="14"/>
        <v>7.4703128849470307E-2</v>
      </c>
      <c r="F48" s="99"/>
      <c r="G48" s="21">
        <f>ROUND('PU Wise OWE'!$AM$82/10000,2)-ROUND('PU Wise OWE'!$BJ$82/10000,2)</f>
        <v>637.38</v>
      </c>
      <c r="H48" s="24">
        <f t="shared" si="15"/>
        <v>8.0002510355215259E-2</v>
      </c>
      <c r="I48" s="21">
        <f>ROUND('PU Wise OWE'!$AM$85/10000,2)-ROUND('PU Wise OWE'!$BJ$85/10000,2)</f>
        <v>213.04999999999998</v>
      </c>
      <c r="J48" s="24">
        <f t="shared" si="16"/>
        <v>8.8809687571645923E-2</v>
      </c>
      <c r="K48" s="22">
        <f t="shared" si="17"/>
        <v>61.44</v>
      </c>
      <c r="L48" s="54">
        <f t="shared" si="18"/>
        <v>0.40525031330387179</v>
      </c>
      <c r="M48" s="54">
        <f t="shared" si="19"/>
        <v>0.33425899777212964</v>
      </c>
    </row>
    <row r="49" spans="2:14" s="36" customFormat="1" x14ac:dyDescent="0.25">
      <c r="B49" s="62" t="s">
        <v>130</v>
      </c>
      <c r="C49" s="76">
        <f>C42+C48</f>
        <v>936.95</v>
      </c>
      <c r="D49" s="76">
        <f>D42+D48</f>
        <v>222.54999999999998</v>
      </c>
      <c r="E49" s="88">
        <f t="shared" si="14"/>
        <v>0.10965755112096574</v>
      </c>
      <c r="F49" s="100"/>
      <c r="G49" s="26">
        <f>G42+G48</f>
        <v>851.25</v>
      </c>
      <c r="H49" s="56">
        <f t="shared" si="15"/>
        <v>0.10684699384962973</v>
      </c>
      <c r="I49" s="26">
        <f>I42+I48</f>
        <v>377.19</v>
      </c>
      <c r="J49" s="56">
        <f t="shared" si="16"/>
        <v>0.15723128868880137</v>
      </c>
      <c r="K49" s="26">
        <f t="shared" si="17"/>
        <v>154.64000000000001</v>
      </c>
      <c r="L49" s="57">
        <f t="shared" si="18"/>
        <v>0.69485508874410262</v>
      </c>
      <c r="M49" s="54">
        <f t="shared" si="19"/>
        <v>0.4431013215859031</v>
      </c>
    </row>
    <row r="51" spans="2:14" x14ac:dyDescent="0.25">
      <c r="B51" s="77" t="s">
        <v>184</v>
      </c>
      <c r="C51" s="77"/>
    </row>
    <row r="52" spans="2:14" ht="48" customHeight="1" x14ac:dyDescent="0.25">
      <c r="B52" s="83" t="s">
        <v>185</v>
      </c>
      <c r="C52" s="111">
        <v>188.88</v>
      </c>
      <c r="D52" s="72">
        <f>ROUND('PU Wise OWE'!$AK$128/10000,2)-D43</f>
        <v>10.73</v>
      </c>
      <c r="E52" s="87">
        <f t="shared" ref="E52:E56" si="20">D52/$D$7</f>
        <v>5.2870165065287021E-3</v>
      </c>
      <c r="F52" s="265"/>
      <c r="G52" s="22">
        <f>ROUND('PU Wise OWE'!$AK$126/10000,2)-G43</f>
        <v>121.82</v>
      </c>
      <c r="H52" s="24">
        <f t="shared" ref="H52:H54" si="21">G52/$G$7</f>
        <v>1.5290573616166687E-2</v>
      </c>
      <c r="I52" s="22">
        <f>ROUND('PU Wise OWE'!$AK$129/10000,2)-I43</f>
        <v>94.259999999999991</v>
      </c>
      <c r="J52" s="24">
        <f t="shared" ref="J52:J56" si="22">I52/$I$7</f>
        <v>3.9292190333270804E-2</v>
      </c>
      <c r="K52" s="22">
        <f>I52-D52</f>
        <v>83.529999999999987</v>
      </c>
      <c r="L52" s="54">
        <f>K52/D52</f>
        <v>7.7847157502329898</v>
      </c>
      <c r="M52" s="54">
        <f t="shared" ref="M52:M54" si="23">I52/G52</f>
        <v>0.7737645706780496</v>
      </c>
    </row>
    <row r="53" spans="2:14" x14ac:dyDescent="0.25">
      <c r="B53" s="20" t="s">
        <v>162</v>
      </c>
      <c r="C53" s="107">
        <v>121.46</v>
      </c>
      <c r="D53" s="72">
        <f>ROUND('PU Wise OWE'!$AL$128/10000,2)</f>
        <v>30.36</v>
      </c>
      <c r="E53" s="87">
        <f t="shared" si="20"/>
        <v>1.4959349593495935E-2</v>
      </c>
      <c r="F53" s="266"/>
      <c r="G53" s="22">
        <f>ROUND('PU Wise OWE'!$AL$126/10000,2)</f>
        <v>109.58</v>
      </c>
      <c r="H53" s="24">
        <f t="shared" si="21"/>
        <v>1.3754236224425755E-2</v>
      </c>
      <c r="I53" s="23">
        <f>ROUND('PU Wise OWE'!$AL$129/10000,2)</f>
        <v>17.86</v>
      </c>
      <c r="J53" s="24">
        <f t="shared" si="22"/>
        <v>7.4449238208382836E-3</v>
      </c>
      <c r="K53" s="22">
        <f>I53-D53</f>
        <v>-12.5</v>
      </c>
      <c r="L53" s="54">
        <f>K53/D53</f>
        <v>-0.41172595520421607</v>
      </c>
      <c r="M53" s="54">
        <f t="shared" si="23"/>
        <v>0.16298594634057309</v>
      </c>
    </row>
    <row r="54" spans="2:14" s="36" customFormat="1" x14ac:dyDescent="0.25">
      <c r="B54" s="25" t="s">
        <v>130</v>
      </c>
      <c r="C54" s="26">
        <f>C52+C53</f>
        <v>310.33999999999997</v>
      </c>
      <c r="D54" s="76">
        <f>SUM(D52:D53)</f>
        <v>41.09</v>
      </c>
      <c r="E54" s="88">
        <f t="shared" si="20"/>
        <v>2.024636610002464E-2</v>
      </c>
      <c r="F54" s="267"/>
      <c r="G54" s="76">
        <f t="shared" ref="G54:I54" si="24">SUM(G52:G53)</f>
        <v>231.39999999999998</v>
      </c>
      <c r="H54" s="56">
        <f t="shared" si="21"/>
        <v>2.9044809840592441E-2</v>
      </c>
      <c r="I54" s="76">
        <f t="shared" si="24"/>
        <v>112.11999999999999</v>
      </c>
      <c r="J54" s="56">
        <f t="shared" si="22"/>
        <v>4.673711415410909E-2</v>
      </c>
      <c r="K54" s="26">
        <f>I54-D54</f>
        <v>71.029999999999987</v>
      </c>
      <c r="L54" s="104">
        <f>K54/D54</f>
        <v>1.7286444390362614</v>
      </c>
      <c r="M54" s="54">
        <f t="shared" si="23"/>
        <v>0.48452895419187553</v>
      </c>
    </row>
    <row r="56" spans="2:14" s="36" customFormat="1" x14ac:dyDescent="0.25">
      <c r="B56" s="80" t="s">
        <v>163</v>
      </c>
      <c r="C56" s="112">
        <v>348.19</v>
      </c>
      <c r="D56" s="73">
        <f>ROUND('PU Wise OWE'!$AO$128/10000,2)</f>
        <v>95.77</v>
      </c>
      <c r="E56" s="88">
        <f t="shared" si="20"/>
        <v>4.7188962798718898E-2</v>
      </c>
      <c r="F56" s="55"/>
      <c r="G56" s="26">
        <f>ROUND('PU Wise OWE'!$AO$126/10000,2)</f>
        <v>304.54000000000002</v>
      </c>
      <c r="H56" s="56">
        <f t="shared" ref="H56" si="25">G56/$G$7</f>
        <v>3.8225178862809087E-2</v>
      </c>
      <c r="I56" s="25">
        <f>ROUND('PU Wise OWE'!$AO$129/10000,2)</f>
        <v>79.69</v>
      </c>
      <c r="J56" s="56">
        <f t="shared" si="22"/>
        <v>3.32186998478501E-2</v>
      </c>
      <c r="K56" s="26">
        <f>I56-D56</f>
        <v>-16.079999999999998</v>
      </c>
      <c r="L56" s="57">
        <f>K56/D56</f>
        <v>-0.16790226584525425</v>
      </c>
      <c r="M56" s="54">
        <f t="shared" ref="M56" si="26">I56/G56</f>
        <v>0.26167334340316539</v>
      </c>
      <c r="N56" s="120"/>
    </row>
    <row r="57" spans="2:14" s="36" customFormat="1" x14ac:dyDescent="0.25">
      <c r="B57" s="118"/>
      <c r="C57" s="119"/>
      <c r="D57" s="115"/>
      <c r="E57" s="116"/>
      <c r="F57" s="117"/>
      <c r="G57" s="93"/>
      <c r="H57" s="92"/>
      <c r="I57" s="90"/>
      <c r="J57" s="92"/>
      <c r="K57" s="26"/>
      <c r="L57" s="57"/>
      <c r="M57" s="102"/>
    </row>
    <row r="58" spans="2:14" x14ac:dyDescent="0.25">
      <c r="C58" s="251" t="s">
        <v>300</v>
      </c>
      <c r="D58" s="248" t="str">
        <f>'PU Wise OWE'!$B$7</f>
        <v>Actuals upto June' 20</v>
      </c>
      <c r="E58" s="251" t="s">
        <v>173</v>
      </c>
      <c r="F58" s="251"/>
      <c r="G58" s="276" t="str">
        <f>'PU Wise OWE'!$B$5</f>
        <v xml:space="preserve">OBG(SL) 2021-22 </v>
      </c>
      <c r="H58" s="251" t="s">
        <v>297</v>
      </c>
      <c r="I58" s="248" t="str">
        <f>'PU Wise OWE'!B8</f>
        <v>Actuals upto June' 21</v>
      </c>
      <c r="J58" s="251" t="s">
        <v>205</v>
      </c>
      <c r="K58" s="250" t="s">
        <v>147</v>
      </c>
      <c r="L58" s="250"/>
      <c r="M58" s="252" t="s">
        <v>312</v>
      </c>
      <c r="N58" s="281" t="s">
        <v>209</v>
      </c>
    </row>
    <row r="59" spans="2:14" x14ac:dyDescent="0.25">
      <c r="B59" s="77" t="s">
        <v>186</v>
      </c>
      <c r="C59" s="249"/>
      <c r="D59" s="249"/>
      <c r="E59" s="249"/>
      <c r="F59" s="249"/>
      <c r="G59" s="277"/>
      <c r="H59" s="249"/>
      <c r="I59" s="249"/>
      <c r="J59" s="249"/>
      <c r="K59" s="81" t="s">
        <v>145</v>
      </c>
      <c r="L59" s="82" t="s">
        <v>146</v>
      </c>
      <c r="M59" s="252"/>
      <c r="N59" s="281"/>
    </row>
    <row r="60" spans="2:14" x14ac:dyDescent="0.25">
      <c r="B60" s="23" t="s">
        <v>187</v>
      </c>
      <c r="C60" s="22">
        <v>80.099999999999994</v>
      </c>
      <c r="D60" s="72">
        <f>ROUND('PU Wise OWE'!$AM$62/10000,2)</f>
        <v>10.17</v>
      </c>
      <c r="E60" s="87">
        <f t="shared" ref="E60:E64" si="27">D60/$D$7</f>
        <v>5.0110864745011082E-3</v>
      </c>
      <c r="F60" s="262"/>
      <c r="G60" s="22">
        <f>ROUND('PU Wise OWE'!$AM$60/10000,2)</f>
        <v>67.81</v>
      </c>
      <c r="H60" s="24" t="b">
        <f>H58=G60/$G$7</f>
        <v>0</v>
      </c>
      <c r="I60" s="23">
        <f>ROUND('PU Wise OWE'!$AM$63/10000,2)</f>
        <v>21.59</v>
      </c>
      <c r="J60" s="96">
        <f t="shared" ref="J60:J64" si="28">I60/$I$7</f>
        <v>8.999770733029034E-3</v>
      </c>
      <c r="K60" s="22">
        <f>I60-D60</f>
        <v>11.42</v>
      </c>
      <c r="L60" s="54">
        <f>K60/D60</f>
        <v>1.1229105211406096</v>
      </c>
      <c r="M60" s="54">
        <f t="shared" ref="M60:M64" si="29">I60/G60</f>
        <v>0.31838961805043503</v>
      </c>
      <c r="N60" s="71"/>
    </row>
    <row r="61" spans="2:14" x14ac:dyDescent="0.25">
      <c r="B61" s="23" t="s">
        <v>188</v>
      </c>
      <c r="C61" s="22">
        <v>21.26</v>
      </c>
      <c r="D61" s="72">
        <f>ROUND('PU Wise OWE'!$AM$95/10000,2)</f>
        <v>4.3099999999999996</v>
      </c>
      <c r="E61" s="87">
        <f t="shared" si="27"/>
        <v>2.1236757822123676E-3</v>
      </c>
      <c r="F61" s="263"/>
      <c r="G61" s="22">
        <f>ROUND('PU Wise OWE'!$AM$93/10000,2)</f>
        <v>16.309999999999999</v>
      </c>
      <c r="H61" s="24">
        <f t="shared" ref="H61:H64" si="30">G61/$G$7</f>
        <v>2.0471946780469437E-3</v>
      </c>
      <c r="I61" s="23">
        <f>ROUND('PU Wise OWE'!$AM$96/10000,2)</f>
        <v>2.17</v>
      </c>
      <c r="J61" s="96">
        <f t="shared" si="28"/>
        <v>9.0456241272223272E-4</v>
      </c>
      <c r="K61" s="22">
        <f>I61-D61</f>
        <v>-2.1399999999999997</v>
      </c>
      <c r="L61" s="54">
        <f>K61/D61</f>
        <v>-0.49651972157772617</v>
      </c>
      <c r="M61" s="54">
        <f t="shared" si="29"/>
        <v>0.13304721030042918</v>
      </c>
    </row>
    <row r="62" spans="2:14" x14ac:dyDescent="0.25">
      <c r="B62" s="23" t="s">
        <v>189</v>
      </c>
      <c r="C62" s="22">
        <v>9.89</v>
      </c>
      <c r="D62" s="72">
        <f>ROUND('PU Wise OWE'!$AN$18/10000,2)</f>
        <v>3.19</v>
      </c>
      <c r="E62" s="87">
        <f t="shared" si="27"/>
        <v>1.5718157181571816E-3</v>
      </c>
      <c r="F62" s="263"/>
      <c r="G62" s="22">
        <f>ROUND('PU Wise OWE'!$AN$16/10000,2)</f>
        <v>10.1</v>
      </c>
      <c r="H62" s="24">
        <f>G62/$G$7</f>
        <v>1.2677293837077947E-3</v>
      </c>
      <c r="I62" s="23">
        <f>ROUND('PU Wise OWE'!$AN$19/10000,2)</f>
        <v>4.42</v>
      </c>
      <c r="J62" s="96">
        <f t="shared" si="28"/>
        <v>1.8424727484941329E-3</v>
      </c>
      <c r="K62" s="22">
        <f>I62-D62</f>
        <v>1.23</v>
      </c>
      <c r="L62" s="54">
        <f>K62/D62</f>
        <v>0.38557993730407525</v>
      </c>
      <c r="M62" s="54">
        <f t="shared" si="29"/>
        <v>0.43762376237623762</v>
      </c>
      <c r="N62" s="71"/>
    </row>
    <row r="63" spans="2:14" x14ac:dyDescent="0.25">
      <c r="B63" s="23" t="s">
        <v>190</v>
      </c>
      <c r="C63" s="22">
        <v>1.64</v>
      </c>
      <c r="D63" s="72">
        <f>ROUND('PU Wise OWE'!$AN$62/10000,2)</f>
        <v>5.15</v>
      </c>
      <c r="E63" s="87">
        <f t="shared" si="27"/>
        <v>2.5375708302537571E-3</v>
      </c>
      <c r="F63" s="263"/>
      <c r="G63" s="22">
        <f>ROUND('PU Wise OWE'!$AN$60/10000,2)</f>
        <v>1.46</v>
      </c>
      <c r="H63" s="24">
        <f>G63/$G$7</f>
        <v>1.8325593071419607E-4</v>
      </c>
      <c r="I63" s="23">
        <f>ROUND('PU Wise OWE'!$AN$63/10000,2)</f>
        <v>1.19</v>
      </c>
      <c r="J63" s="96">
        <f t="shared" si="28"/>
        <v>4.9605035536380506E-4</v>
      </c>
      <c r="K63" s="22">
        <f>I63-D63</f>
        <v>-3.9600000000000004</v>
      </c>
      <c r="L63" s="54">
        <f>K63/D63</f>
        <v>-0.76893203883495154</v>
      </c>
      <c r="M63" s="54">
        <f t="shared" si="29"/>
        <v>0.81506849315068497</v>
      </c>
    </row>
    <row r="64" spans="2:14" s="36" customFormat="1" x14ac:dyDescent="0.25">
      <c r="B64" s="25" t="s">
        <v>130</v>
      </c>
      <c r="C64" s="26">
        <f>C60+C61+C62+C63</f>
        <v>112.89</v>
      </c>
      <c r="D64" s="76">
        <f>SUM(D60:D63)</f>
        <v>22.82</v>
      </c>
      <c r="E64" s="88">
        <f t="shared" si="27"/>
        <v>1.1244148805124416E-2</v>
      </c>
      <c r="F64" s="264"/>
      <c r="G64" s="26">
        <f>SUM(G60:G63)</f>
        <v>95.679999999999993</v>
      </c>
      <c r="H64" s="56">
        <f t="shared" si="30"/>
        <v>1.2009539349817999E-2</v>
      </c>
      <c r="I64" s="26">
        <f>SUM(I60:I63)</f>
        <v>29.37</v>
      </c>
      <c r="J64" s="56">
        <f t="shared" si="28"/>
        <v>1.2242856249609205E-2</v>
      </c>
      <c r="K64" s="26">
        <f>I64-D64</f>
        <v>6.5500000000000007</v>
      </c>
      <c r="L64" s="57">
        <f>K64/D64</f>
        <v>0.2870289219982472</v>
      </c>
      <c r="M64" s="54">
        <f t="shared" si="29"/>
        <v>0.30696070234113715</v>
      </c>
    </row>
    <row r="66" spans="2:13" x14ac:dyDescent="0.25">
      <c r="B66" s="77" t="s">
        <v>191</v>
      </c>
      <c r="C66" s="77"/>
    </row>
    <row r="67" spans="2:13" x14ac:dyDescent="0.25">
      <c r="B67" s="23" t="s">
        <v>192</v>
      </c>
      <c r="C67" s="22">
        <v>1117.51</v>
      </c>
      <c r="D67" s="72">
        <f>ROUND('PU Wise OWE'!$AP$73/10000,2)</f>
        <v>472.6</v>
      </c>
      <c r="E67" s="87">
        <f t="shared" ref="E67:E69" si="31">D67/$D$7</f>
        <v>0.23286523774328655</v>
      </c>
      <c r="F67" s="23"/>
      <c r="G67" s="22">
        <f>ROUND('PU Wise OWE'!$AP$71/10000,2)</f>
        <v>1543.31</v>
      </c>
      <c r="H67" s="24">
        <f t="shared" ref="H67:H69" si="32">G67/$G$7</f>
        <v>0.1937128153633739</v>
      </c>
      <c r="I67" s="23">
        <f>ROUND('PU Wise OWE'!$AP$74/10000,2)</f>
        <v>513.04999999999995</v>
      </c>
      <c r="J67" s="96">
        <f t="shared" ref="J67:J69" si="33">I67/$I$7</f>
        <v>0.21386439900789928</v>
      </c>
      <c r="K67" s="22">
        <f>I67-D67</f>
        <v>40.449999999999932</v>
      </c>
      <c r="L67" s="54">
        <f>K67/D67</f>
        <v>8.5590351248412883E-2</v>
      </c>
      <c r="M67" s="54">
        <f t="shared" ref="M67:M68" si="34">I67/G67</f>
        <v>0.33243483162812393</v>
      </c>
    </row>
    <row r="68" spans="2:13" x14ac:dyDescent="0.25">
      <c r="B68" s="89" t="s">
        <v>193</v>
      </c>
      <c r="C68" s="113">
        <v>38.520000000000003</v>
      </c>
      <c r="D68" s="72">
        <f>ROUND('PU Wise OWE'!$AP$128/10000,2)-D67</f>
        <v>8.1999999999999886</v>
      </c>
      <c r="E68" s="87">
        <f t="shared" si="31"/>
        <v>4.0404040404040352E-3</v>
      </c>
      <c r="F68" s="23"/>
      <c r="G68" s="22">
        <f>ROUND('PU Wise OWE'!$AP$126/10000,2)-G67</f>
        <v>35.230000000000018</v>
      </c>
      <c r="H68" s="24">
        <f t="shared" si="32"/>
        <v>4.4219907116857058E-3</v>
      </c>
      <c r="I68" s="23">
        <f>ROUND('PU Wise OWE'!$AP$129/10000,2)-I67</f>
        <v>17.430000000000064</v>
      </c>
      <c r="J68" s="96">
        <f t="shared" si="33"/>
        <v>7.2656787344463477E-3</v>
      </c>
      <c r="K68" s="22">
        <f>I68-D68</f>
        <v>9.230000000000075</v>
      </c>
      <c r="L68" s="54">
        <f>K68/D68</f>
        <v>1.1256097560975717</v>
      </c>
      <c r="M68" s="54">
        <f t="shared" si="34"/>
        <v>0.49474879364178415</v>
      </c>
    </row>
    <row r="69" spans="2:13" s="36" customFormat="1" x14ac:dyDescent="0.25">
      <c r="B69" s="25" t="s">
        <v>130</v>
      </c>
      <c r="C69" s="26">
        <f>C67+C68</f>
        <v>1156.03</v>
      </c>
      <c r="D69" s="76">
        <f>SUM(D67:D68)</f>
        <v>480.8</v>
      </c>
      <c r="E69" s="88">
        <f t="shared" si="31"/>
        <v>0.23690564178369056</v>
      </c>
      <c r="F69" s="90"/>
      <c r="G69" s="91">
        <f>SUM(G67:G68)</f>
        <v>1578.54</v>
      </c>
      <c r="H69" s="92">
        <f t="shared" si="32"/>
        <v>0.19813480607505962</v>
      </c>
      <c r="I69" s="91">
        <f>SUM(I67:I68)</f>
        <v>530.48</v>
      </c>
      <c r="J69" s="56">
        <f t="shared" si="33"/>
        <v>0.22113007774234564</v>
      </c>
      <c r="K69" s="93">
        <f>I69-D69</f>
        <v>49.680000000000007</v>
      </c>
      <c r="L69" s="103">
        <f>K69/D69</f>
        <v>0.10332778702163063</v>
      </c>
    </row>
    <row r="70" spans="2:13" x14ac:dyDescent="0.25">
      <c r="F70" s="31"/>
      <c r="G70" s="34"/>
      <c r="H70" s="34"/>
      <c r="I70" s="31"/>
      <c r="J70" s="31"/>
      <c r="K70" s="34"/>
      <c r="L70" s="94"/>
    </row>
    <row r="71" spans="2:13" x14ac:dyDescent="0.25">
      <c r="B71" s="77" t="s">
        <v>195</v>
      </c>
      <c r="C71" s="77"/>
      <c r="F71" s="31"/>
      <c r="G71" s="34"/>
      <c r="H71" s="34"/>
      <c r="I71" s="31"/>
      <c r="J71" s="31"/>
      <c r="K71" s="34"/>
      <c r="L71" s="94"/>
    </row>
    <row r="72" spans="2:13" x14ac:dyDescent="0.25">
      <c r="B72" s="23" t="s">
        <v>194</v>
      </c>
      <c r="C72" s="22">
        <v>12.31</v>
      </c>
      <c r="D72" s="72">
        <f>ROUND('PU Wise OWE'!$AQ$29/10000,2)+ROUND('PU Wise OWE'!$BB$29/10000,2)</f>
        <v>4.82</v>
      </c>
      <c r="E72" s="87">
        <f t="shared" ref="E72:E74" si="35">D72/$D$7</f>
        <v>2.3749692042374969E-3</v>
      </c>
      <c r="F72" s="23"/>
      <c r="G72" s="72">
        <f>ROUND('PU Wise OWE'!$AQ$27/10000,2)+ROUND('PU Wise OWE'!$BB$27/10000,2)</f>
        <v>11.17</v>
      </c>
      <c r="H72" s="24">
        <f t="shared" ref="H72:H74" si="36">G72/$G$7</f>
        <v>1.402033387724363E-3</v>
      </c>
      <c r="I72" s="72">
        <f>ROUND('PU Wise OWE'!$AQ$30/10000,2)+ROUND('PU Wise OWE'!$BB$30/10000,2)</f>
        <v>7.31</v>
      </c>
      <c r="J72" s="96">
        <f t="shared" ref="J72:J74" si="37">I72/$I$7</f>
        <v>3.0471664686633738E-3</v>
      </c>
      <c r="K72" s="22">
        <f>I72-D72</f>
        <v>2.4899999999999993</v>
      </c>
      <c r="L72" s="54">
        <f>K72/D72</f>
        <v>0.51659751037344381</v>
      </c>
      <c r="M72" s="54">
        <f t="shared" ref="M72:M73" si="38">I72/G72</f>
        <v>0.65443151298119961</v>
      </c>
    </row>
    <row r="73" spans="2:13" x14ac:dyDescent="0.25">
      <c r="B73" s="23" t="s">
        <v>196</v>
      </c>
      <c r="C73" s="22">
        <v>114.52</v>
      </c>
      <c r="D73" s="72">
        <f>ROUND('PU Wise OWE'!$AQ$40/10000,2)+ROUND('PU Wise OWE'!$BB$40/10000,2)</f>
        <v>11.66</v>
      </c>
      <c r="E73" s="87">
        <f t="shared" si="35"/>
        <v>5.7452574525745257E-3</v>
      </c>
      <c r="F73" s="23"/>
      <c r="G73" s="72">
        <f>ROUND('PU Wise OWE'!$AQ$38/10000,2)+ROUND('PU Wise OWE'!$BB$38/10000,2)</f>
        <v>79.58</v>
      </c>
      <c r="H73" s="24">
        <f t="shared" si="36"/>
        <v>9.9887034015313167E-3</v>
      </c>
      <c r="I73" s="72">
        <f>ROUND('PU Wise OWE'!$AQ$41/10000,2)+ROUND('PU Wise OWE'!$BB$41/10000,2)</f>
        <v>34.97</v>
      </c>
      <c r="J73" s="96">
        <f t="shared" si="37"/>
        <v>1.4577210863085934E-2</v>
      </c>
      <c r="K73" s="22">
        <f>I73-D73</f>
        <v>23.31</v>
      </c>
      <c r="L73" s="54">
        <f>K73/D73</f>
        <v>1.9991423670668953</v>
      </c>
      <c r="M73" s="54">
        <f t="shared" si="38"/>
        <v>0.43943201809499871</v>
      </c>
    </row>
    <row r="74" spans="2:13" s="36" customFormat="1" x14ac:dyDescent="0.25">
      <c r="B74" s="25" t="s">
        <v>130</v>
      </c>
      <c r="C74" s="26">
        <f>C72+C73</f>
        <v>126.83</v>
      </c>
      <c r="D74" s="76">
        <f>SUM(D72:D73)</f>
        <v>16.48</v>
      </c>
      <c r="E74" s="88">
        <f t="shared" si="35"/>
        <v>8.1202266568120227E-3</v>
      </c>
      <c r="F74" s="25"/>
      <c r="G74" s="76">
        <f>SUM(G72:G73)</f>
        <v>90.75</v>
      </c>
      <c r="H74" s="56">
        <f t="shared" si="36"/>
        <v>1.139073678925568E-2</v>
      </c>
      <c r="I74" s="76">
        <f t="shared" ref="I74" si="39">SUM(I72:I73)</f>
        <v>42.28</v>
      </c>
      <c r="J74" s="56">
        <f t="shared" si="37"/>
        <v>1.7624377331749309E-2</v>
      </c>
      <c r="K74" s="26">
        <f>I74-D74</f>
        <v>25.8</v>
      </c>
      <c r="L74" s="57">
        <f>K74/D74</f>
        <v>1.5655339805825244</v>
      </c>
    </row>
    <row r="75" spans="2:13" x14ac:dyDescent="0.25">
      <c r="E75" s="31"/>
      <c r="F75" s="31"/>
      <c r="G75" s="34"/>
      <c r="H75" s="34"/>
      <c r="I75" s="31"/>
      <c r="J75" s="31"/>
      <c r="K75" s="34"/>
      <c r="L75" s="94"/>
    </row>
    <row r="76" spans="2:13" x14ac:dyDescent="0.25">
      <c r="B76" s="77" t="s">
        <v>197</v>
      </c>
      <c r="C76" s="77"/>
      <c r="E76" s="31"/>
      <c r="F76" s="31"/>
      <c r="G76" s="34"/>
      <c r="H76" s="34"/>
      <c r="I76" s="31"/>
      <c r="J76" s="31"/>
      <c r="K76" s="34"/>
      <c r="L76" s="94"/>
    </row>
    <row r="77" spans="2:13" x14ac:dyDescent="0.25">
      <c r="B77" s="23" t="s">
        <v>199</v>
      </c>
      <c r="C77" s="22">
        <v>2</v>
      </c>
      <c r="D77" s="72">
        <f>ROUND('PU Wise OWE'!$AW$128/10000,2)</f>
        <v>0.45</v>
      </c>
      <c r="E77" s="87">
        <f t="shared" ref="E77:E83" si="40">D77/$D$7</f>
        <v>2.2172949002217295E-4</v>
      </c>
      <c r="F77" s="23"/>
      <c r="G77" s="22">
        <f>ROUND('PU Wise OWE'!$AW$126/10000,2)</f>
        <v>2.65</v>
      </c>
      <c r="H77" s="24">
        <f t="shared" ref="H77:H83" si="41">G77/$G$7</f>
        <v>3.3262206602234214E-4</v>
      </c>
      <c r="I77" s="23">
        <f>ROUND('PU Wise OWE'!$AW$129/10000,2)</f>
        <v>0.3</v>
      </c>
      <c r="J77" s="96">
        <f t="shared" ref="J77:J85" si="42">I77/$I$7</f>
        <v>1.2505471143625337E-4</v>
      </c>
      <c r="K77" s="22">
        <f t="shared" ref="K77:K83" si="43">I77-D77</f>
        <v>-0.15000000000000002</v>
      </c>
      <c r="L77" s="54">
        <f t="shared" ref="L77:L83" si="44">K77/D77</f>
        <v>-0.33333333333333337</v>
      </c>
      <c r="M77" s="54">
        <f t="shared" ref="M77:M82" si="45">I77/G77</f>
        <v>0.11320754716981132</v>
      </c>
    </row>
    <row r="78" spans="2:13" x14ac:dyDescent="0.25">
      <c r="B78" s="23" t="s">
        <v>198</v>
      </c>
      <c r="C78" s="22">
        <v>1.66</v>
      </c>
      <c r="D78" s="72">
        <f>ROUND('PU Wise OWE'!$AX$128/10000,2)</f>
        <v>0.39</v>
      </c>
      <c r="E78" s="87">
        <f t="shared" si="40"/>
        <v>1.9216555801921656E-4</v>
      </c>
      <c r="F78" s="23"/>
      <c r="G78" s="22">
        <f>ROUND('PU Wise OWE'!$AX$126/10000,2)</f>
        <v>1.81</v>
      </c>
      <c r="H78" s="24">
        <f t="shared" si="41"/>
        <v>2.2718714698129785E-4</v>
      </c>
      <c r="I78" s="23">
        <f>ROUND('PU Wise OWE'!$AX$129/10000,2)</f>
        <v>0.41</v>
      </c>
      <c r="J78" s="96">
        <f t="shared" si="42"/>
        <v>1.7090810562954626E-4</v>
      </c>
      <c r="K78" s="22">
        <f t="shared" si="43"/>
        <v>1.9999999999999962E-2</v>
      </c>
      <c r="L78" s="54">
        <f t="shared" si="44"/>
        <v>5.1282051282051183E-2</v>
      </c>
      <c r="M78" s="54">
        <f t="shared" si="45"/>
        <v>0.22651933701657456</v>
      </c>
    </row>
    <row r="79" spans="2:13" x14ac:dyDescent="0.25">
      <c r="B79" s="23" t="s">
        <v>200</v>
      </c>
      <c r="C79" s="22">
        <v>16.940000000000001</v>
      </c>
      <c r="D79" s="72">
        <f>ROUND('PU Wise OWE'!$BC$128/10000,2)</f>
        <v>4.55</v>
      </c>
      <c r="E79" s="87">
        <f t="shared" si="40"/>
        <v>2.2419315102241931E-3</v>
      </c>
      <c r="F79" s="23"/>
      <c r="G79" s="22">
        <f>ROUND('PU Wise OWE'!$BC$126/10000,2)</f>
        <v>14.88</v>
      </c>
      <c r="H79" s="24">
        <f t="shared" si="41"/>
        <v>1.8677042801556422E-3</v>
      </c>
      <c r="I79" s="23">
        <f>ROUND('PU Wise OWE'!$BC$129/10000,2)</f>
        <v>3.94</v>
      </c>
      <c r="J79" s="96">
        <f t="shared" si="42"/>
        <v>1.6423852101961275E-3</v>
      </c>
      <c r="K79" s="22">
        <f t="shared" si="43"/>
        <v>-0.60999999999999988</v>
      </c>
      <c r="L79" s="54">
        <f t="shared" si="44"/>
        <v>-0.13406593406593403</v>
      </c>
      <c r="M79" s="54">
        <f t="shared" si="45"/>
        <v>0.26478494623655913</v>
      </c>
    </row>
    <row r="80" spans="2:13" x14ac:dyDescent="0.25">
      <c r="B80" s="23" t="s">
        <v>201</v>
      </c>
      <c r="C80" s="22">
        <v>16.95</v>
      </c>
      <c r="D80" s="72">
        <f>ROUND('PU Wise OWE'!$BD$128/10000,2)</f>
        <v>4.4000000000000004</v>
      </c>
      <c r="E80" s="87">
        <f t="shared" si="40"/>
        <v>2.1680216802168022E-3</v>
      </c>
      <c r="F80" s="23"/>
      <c r="G80" s="22">
        <f>ROUND('PU Wise OWE'!$BD$126/10000,2)</f>
        <v>14.88</v>
      </c>
      <c r="H80" s="24">
        <f t="shared" si="41"/>
        <v>1.8677042801556422E-3</v>
      </c>
      <c r="I80" s="23">
        <f>ROUND('PU Wise OWE'!$BD$129/10000,2)</f>
        <v>3.94</v>
      </c>
      <c r="J80" s="96">
        <f t="shared" si="42"/>
        <v>1.6423852101961275E-3</v>
      </c>
      <c r="K80" s="22">
        <f t="shared" si="43"/>
        <v>-0.46000000000000041</v>
      </c>
      <c r="L80" s="54">
        <f t="shared" si="44"/>
        <v>-0.10454545454545464</v>
      </c>
      <c r="M80" s="54">
        <f t="shared" si="45"/>
        <v>0.26478494623655913</v>
      </c>
    </row>
    <row r="81" spans="2:13" x14ac:dyDescent="0.25">
      <c r="B81" s="23" t="s">
        <v>202</v>
      </c>
      <c r="C81" s="22">
        <v>17.329999999999998</v>
      </c>
      <c r="D81" s="72">
        <f>ROUND('PU Wise OWE'!$BF$128/10000,2)</f>
        <v>4.87</v>
      </c>
      <c r="E81" s="87">
        <f t="shared" si="40"/>
        <v>2.3996058142399606E-3</v>
      </c>
      <c r="F81" s="23"/>
      <c r="G81" s="22">
        <f>ROUND('PU Wise OWE'!$BF$126/10000,2)</f>
        <v>12.96</v>
      </c>
      <c r="H81" s="24">
        <f t="shared" si="41"/>
        <v>1.626710179490398E-3</v>
      </c>
      <c r="I81" s="23">
        <f>ROUND('PU Wise OWE'!$BF$129/10000,2)</f>
        <v>4.13</v>
      </c>
      <c r="J81" s="96">
        <f t="shared" si="42"/>
        <v>1.7215865274390881E-3</v>
      </c>
      <c r="K81" s="22">
        <f t="shared" si="43"/>
        <v>-0.74000000000000021</v>
      </c>
      <c r="L81" s="54">
        <f t="shared" si="44"/>
        <v>-0.15195071868583165</v>
      </c>
      <c r="M81" s="54">
        <f t="shared" si="45"/>
        <v>0.31867283950617281</v>
      </c>
    </row>
    <row r="82" spans="2:13" x14ac:dyDescent="0.25">
      <c r="B82" s="23" t="s">
        <v>203</v>
      </c>
      <c r="C82" s="22">
        <v>166.71</v>
      </c>
      <c r="D82" s="72">
        <f>ROUND('PU Wise OWE'!$BG$128/10000,2)-ROUND('PU Wise OWE'!$BG$117/10000,2)</f>
        <v>15.770000000000209</v>
      </c>
      <c r="E82" s="87">
        <f t="shared" si="40"/>
        <v>7.7703867947771415E-3</v>
      </c>
      <c r="F82" s="23"/>
      <c r="G82" s="22">
        <f>ROUND('PU Wise OWE'!$BG$126/10000,2)-ROUND('PU Wise OWE'!$BG$115/10000,2)</f>
        <v>127.09000000000015</v>
      </c>
      <c r="H82" s="24">
        <f t="shared" si="41"/>
        <v>1.5952052215388497E-2</v>
      </c>
      <c r="I82" s="23">
        <f>ROUND('PU Wise OWE'!$BG$129/10000,2)-ROUND('PU Wise OWE'!$BG$118/10000,2)</f>
        <v>19.319999999999936</v>
      </c>
      <c r="J82" s="96">
        <f t="shared" si="42"/>
        <v>8.0535234164946911E-3</v>
      </c>
      <c r="K82" s="22">
        <f t="shared" si="43"/>
        <v>3.5499999999997272</v>
      </c>
      <c r="L82" s="54">
        <f t="shared" si="44"/>
        <v>0.22511097019655549</v>
      </c>
      <c r="M82" s="54">
        <f t="shared" si="45"/>
        <v>0.15201825478007644</v>
      </c>
    </row>
    <row r="83" spans="2:13" s="36" customFormat="1" x14ac:dyDescent="0.25">
      <c r="B83" s="25" t="s">
        <v>130</v>
      </c>
      <c r="C83" s="26">
        <f>C77+C78+C79+C80+C81+C82</f>
        <v>221.59</v>
      </c>
      <c r="D83" s="76">
        <f>SUM(D77:D82)</f>
        <v>30.430000000000209</v>
      </c>
      <c r="E83" s="88">
        <f t="shared" si="40"/>
        <v>1.4993840847499487E-2</v>
      </c>
      <c r="F83" s="25"/>
      <c r="G83" s="76">
        <f>SUM(G77:G82)</f>
        <v>174.27000000000015</v>
      </c>
      <c r="H83" s="56">
        <f t="shared" si="41"/>
        <v>2.1873980168193818E-2</v>
      </c>
      <c r="I83" s="76">
        <f>SUM(I77:I82)</f>
        <v>32.039999999999935</v>
      </c>
      <c r="J83" s="56">
        <f t="shared" si="42"/>
        <v>1.3355843181391833E-2</v>
      </c>
      <c r="K83" s="26">
        <f t="shared" si="43"/>
        <v>1.6099999999997259</v>
      </c>
      <c r="L83" s="57">
        <f t="shared" si="44"/>
        <v>5.2908314163644915E-2</v>
      </c>
      <c r="M83" s="25"/>
    </row>
    <row r="85" spans="2:13" s="36" customFormat="1" ht="31.5" customHeight="1" x14ac:dyDescent="0.25">
      <c r="B85" s="95" t="s">
        <v>204</v>
      </c>
      <c r="C85" s="114">
        <v>3247.44</v>
      </c>
      <c r="D85" s="76">
        <f>D37+D49+D54+D56+D64+D69+D74+D83</f>
        <v>921.54000000000019</v>
      </c>
      <c r="E85" s="88">
        <f t="shared" ref="E85" si="46">D85/$D$7</f>
        <v>0.45407243163340733</v>
      </c>
      <c r="F85" s="25"/>
      <c r="G85" s="76">
        <f>G37+G49+G54+G56+G64+G69+G74+G83</f>
        <v>3345.3700000000003</v>
      </c>
      <c r="H85" s="56">
        <f t="shared" ref="H85" si="47">G85/$G$7</f>
        <v>0.41990335132421241</v>
      </c>
      <c r="I85" s="76">
        <f>I37+I49+I54+I56+I64+I69+I74+I83</f>
        <v>1211.2299999999998</v>
      </c>
      <c r="J85" s="56">
        <f t="shared" si="42"/>
        <v>0.50490006044311053</v>
      </c>
      <c r="K85" s="26">
        <f>I85-D85</f>
        <v>289.6899999999996</v>
      </c>
      <c r="L85" s="57">
        <f>K85/D85</f>
        <v>0.3143542331314968</v>
      </c>
      <c r="M85" s="54">
        <f t="shared" ref="M85" si="48">I85/G85</f>
        <v>0.36206159557836642</v>
      </c>
    </row>
    <row r="86" spans="2:13" x14ac:dyDescent="0.25">
      <c r="B86" s="181"/>
      <c r="C86" s="181"/>
      <c r="D86" s="140"/>
      <c r="E86" s="181"/>
      <c r="F86" s="181"/>
      <c r="G86" s="181"/>
      <c r="H86" s="181"/>
      <c r="I86" s="181"/>
      <c r="J86" s="181"/>
      <c r="K86" s="181"/>
      <c r="L86" s="181"/>
      <c r="M86" s="181"/>
    </row>
    <row r="87" spans="2:13" s="150" customFormat="1" ht="16.5" customHeight="1" x14ac:dyDescent="0.25">
      <c r="B87" s="188"/>
      <c r="C87" s="256" t="s">
        <v>300</v>
      </c>
      <c r="D87" s="260" t="s">
        <v>301</v>
      </c>
      <c r="E87" s="256" t="s">
        <v>173</v>
      </c>
      <c r="F87" s="256"/>
      <c r="G87" s="274" t="s">
        <v>305</v>
      </c>
      <c r="H87" s="256" t="s">
        <v>307</v>
      </c>
      <c r="I87" s="260" t="s">
        <v>302</v>
      </c>
      <c r="J87" s="256" t="s">
        <v>205</v>
      </c>
      <c r="K87" s="268" t="s">
        <v>147</v>
      </c>
      <c r="L87" s="268"/>
      <c r="M87" s="269" t="s">
        <v>304</v>
      </c>
    </row>
    <row r="88" spans="2:13" s="150" customFormat="1" x14ac:dyDescent="0.25">
      <c r="B88" s="80" t="s">
        <v>254</v>
      </c>
      <c r="C88" s="257"/>
      <c r="D88" s="257"/>
      <c r="E88" s="257"/>
      <c r="F88" s="257"/>
      <c r="G88" s="275"/>
      <c r="H88" s="257"/>
      <c r="I88" s="261"/>
      <c r="J88" s="257"/>
      <c r="K88" s="81" t="s">
        <v>145</v>
      </c>
      <c r="L88" s="81" t="s">
        <v>146</v>
      </c>
      <c r="M88" s="269"/>
    </row>
    <row r="89" spans="2:13" s="150" customFormat="1" ht="15" customHeight="1" x14ac:dyDescent="0.25">
      <c r="B89" s="20" t="s">
        <v>255</v>
      </c>
      <c r="C89" s="20">
        <v>17</v>
      </c>
      <c r="D89" s="83">
        <v>0</v>
      </c>
      <c r="E89" s="87">
        <f t="shared" ref="E89:E102" si="49">D89/$D$7</f>
        <v>0</v>
      </c>
      <c r="F89" s="20"/>
      <c r="G89" s="107">
        <v>0.69</v>
      </c>
      <c r="H89" s="189">
        <f t="shared" ref="H89:H102" si="50">G89/$G$7</f>
        <v>8.66072549265721E-5</v>
      </c>
      <c r="I89" s="20">
        <v>0</v>
      </c>
      <c r="J89" s="189">
        <f t="shared" ref="J89:J102" si="51">I89/$I$7</f>
        <v>0</v>
      </c>
      <c r="K89" s="107">
        <f>I89-D89</f>
        <v>0</v>
      </c>
      <c r="L89" s="190">
        <v>0</v>
      </c>
      <c r="M89" s="190">
        <f t="shared" ref="M89:M102" si="52">I89/G89</f>
        <v>0</v>
      </c>
    </row>
    <row r="90" spans="2:13" s="150" customFormat="1" x14ac:dyDescent="0.25">
      <c r="B90" s="20" t="s">
        <v>256</v>
      </c>
      <c r="C90" s="20">
        <v>33.630000000000003</v>
      </c>
      <c r="D90" s="111">
        <v>1.86</v>
      </c>
      <c r="E90" s="87">
        <f t="shared" si="49"/>
        <v>9.1648189209164819E-4</v>
      </c>
      <c r="F90" s="20"/>
      <c r="G90" s="107">
        <v>33.28</v>
      </c>
      <c r="H90" s="189">
        <f t="shared" si="50"/>
        <v>4.1772310781975647E-3</v>
      </c>
      <c r="I90" s="107">
        <v>2.77</v>
      </c>
      <c r="J90" s="189">
        <f t="shared" si="51"/>
        <v>1.1546718355947394E-3</v>
      </c>
      <c r="K90" s="107">
        <f t="shared" ref="K90:K102" si="53">I90-D90</f>
        <v>0.90999999999999992</v>
      </c>
      <c r="L90" s="190">
        <f t="shared" ref="L90:L102" si="54">K90/D90</f>
        <v>0.48924731182795694</v>
      </c>
      <c r="M90" s="190">
        <f t="shared" si="52"/>
        <v>8.3233173076923073E-2</v>
      </c>
    </row>
    <row r="91" spans="2:13" s="150" customFormat="1" x14ac:dyDescent="0.25">
      <c r="B91" s="20" t="s">
        <v>266</v>
      </c>
      <c r="C91" s="20">
        <v>7.44</v>
      </c>
      <c r="D91" s="111">
        <v>0.04</v>
      </c>
      <c r="E91" s="87">
        <f t="shared" si="49"/>
        <v>1.9709288001970929E-5</v>
      </c>
      <c r="F91" s="20"/>
      <c r="G91" s="107">
        <v>0.53</v>
      </c>
      <c r="H91" s="189">
        <f t="shared" si="50"/>
        <v>6.6524413204468433E-5</v>
      </c>
      <c r="I91" s="107">
        <v>0</v>
      </c>
      <c r="J91" s="189">
        <f t="shared" si="51"/>
        <v>0</v>
      </c>
      <c r="K91" s="107">
        <f t="shared" si="53"/>
        <v>-0.04</v>
      </c>
      <c r="L91" s="190">
        <f t="shared" si="54"/>
        <v>-1</v>
      </c>
      <c r="M91" s="190">
        <f t="shared" si="52"/>
        <v>0</v>
      </c>
    </row>
    <row r="92" spans="2:13" s="150" customFormat="1" x14ac:dyDescent="0.25">
      <c r="B92" s="61" t="s">
        <v>257</v>
      </c>
      <c r="C92" s="27">
        <f>SUM(C89:C91)</f>
        <v>58.07</v>
      </c>
      <c r="D92" s="106">
        <f>SUM(D89:D91)</f>
        <v>1.9000000000000001</v>
      </c>
      <c r="E92" s="88">
        <f t="shared" si="49"/>
        <v>9.3619118009361923E-4</v>
      </c>
      <c r="F92" s="27">
        <f t="shared" ref="F92:G92" si="55">SUM(F89:F90)</f>
        <v>0</v>
      </c>
      <c r="G92" s="106">
        <f t="shared" si="55"/>
        <v>33.97</v>
      </c>
      <c r="H92" s="191">
        <f t="shared" si="50"/>
        <v>4.2638383331241366E-3</v>
      </c>
      <c r="I92" s="106">
        <f>SUM(I89:I91)</f>
        <v>2.77</v>
      </c>
      <c r="J92" s="191">
        <f t="shared" si="51"/>
        <v>1.1546718355947394E-3</v>
      </c>
      <c r="K92" s="106">
        <f t="shared" si="53"/>
        <v>0.86999999999999988</v>
      </c>
      <c r="L92" s="192">
        <f t="shared" si="54"/>
        <v>0.45789473684210519</v>
      </c>
      <c r="M92" s="192">
        <f t="shared" si="52"/>
        <v>8.1542537533117465E-2</v>
      </c>
    </row>
    <row r="93" spans="2:13" s="150" customFormat="1" x14ac:dyDescent="0.25">
      <c r="B93" s="20" t="s">
        <v>258</v>
      </c>
      <c r="C93" s="20">
        <v>0</v>
      </c>
      <c r="D93" s="83">
        <v>0</v>
      </c>
      <c r="E93" s="87">
        <f t="shared" si="49"/>
        <v>0</v>
      </c>
      <c r="F93" s="20"/>
      <c r="G93" s="107">
        <v>0</v>
      </c>
      <c r="H93" s="189">
        <f t="shared" si="50"/>
        <v>0</v>
      </c>
      <c r="I93" s="107">
        <v>0</v>
      </c>
      <c r="J93" s="189">
        <f t="shared" si="51"/>
        <v>0</v>
      </c>
      <c r="K93" s="107">
        <f t="shared" si="53"/>
        <v>0</v>
      </c>
      <c r="L93" s="190">
        <v>0</v>
      </c>
      <c r="M93" s="190">
        <v>0</v>
      </c>
    </row>
    <row r="94" spans="2:13" s="150" customFormat="1" x14ac:dyDescent="0.25">
      <c r="B94" s="20" t="s">
        <v>259</v>
      </c>
      <c r="C94" s="20">
        <v>13.17</v>
      </c>
      <c r="D94" s="111">
        <v>0.17</v>
      </c>
      <c r="E94" s="87">
        <f t="shared" si="49"/>
        <v>8.3764474008376447E-5</v>
      </c>
      <c r="F94" s="20"/>
      <c r="G94" s="107">
        <v>14.55</v>
      </c>
      <c r="H94" s="189">
        <f t="shared" si="50"/>
        <v>1.8262834191038033E-3</v>
      </c>
      <c r="I94" s="107">
        <v>3.38</v>
      </c>
      <c r="J94" s="189">
        <f t="shared" si="51"/>
        <v>1.4089497488484547E-3</v>
      </c>
      <c r="K94" s="107">
        <f t="shared" si="53"/>
        <v>3.21</v>
      </c>
      <c r="L94" s="190">
        <f t="shared" si="54"/>
        <v>18.882352941176467</v>
      </c>
      <c r="M94" s="190">
        <f t="shared" si="52"/>
        <v>0.23230240549828177</v>
      </c>
    </row>
    <row r="95" spans="2:13" s="150" customFormat="1" x14ac:dyDescent="0.25">
      <c r="B95" s="20" t="s">
        <v>267</v>
      </c>
      <c r="C95" s="20">
        <v>-0.3</v>
      </c>
      <c r="D95" s="111">
        <v>0</v>
      </c>
      <c r="E95" s="87">
        <f t="shared" si="49"/>
        <v>0</v>
      </c>
      <c r="F95" s="20"/>
      <c r="G95" s="107">
        <v>0.05</v>
      </c>
      <c r="H95" s="189">
        <f t="shared" si="50"/>
        <v>6.2758880381573994E-6</v>
      </c>
      <c r="I95" s="107">
        <v>0</v>
      </c>
      <c r="J95" s="189">
        <f t="shared" si="51"/>
        <v>0</v>
      </c>
      <c r="K95" s="107">
        <f t="shared" si="53"/>
        <v>0</v>
      </c>
      <c r="L95" s="190">
        <v>0</v>
      </c>
      <c r="M95" s="190">
        <v>0</v>
      </c>
    </row>
    <row r="96" spans="2:13" s="150" customFormat="1" x14ac:dyDescent="0.25">
      <c r="B96" s="61" t="s">
        <v>260</v>
      </c>
      <c r="C96" s="27">
        <f>SUM(C93:C95)</f>
        <v>12.87</v>
      </c>
      <c r="D96" s="27">
        <f>SUM(D93:D95)</f>
        <v>0.17</v>
      </c>
      <c r="E96" s="88">
        <f t="shared" si="49"/>
        <v>8.3764474008376447E-5</v>
      </c>
      <c r="F96" s="27">
        <f t="shared" ref="F96" si="56">SUM(F93:F94)</f>
        <v>0</v>
      </c>
      <c r="G96" s="106">
        <f>SUM(G93:G95)</f>
        <v>14.600000000000001</v>
      </c>
      <c r="H96" s="191">
        <f t="shared" si="50"/>
        <v>1.8325593071419608E-3</v>
      </c>
      <c r="I96" s="106">
        <f>SUM(I93:I95)</f>
        <v>3.38</v>
      </c>
      <c r="J96" s="191">
        <f t="shared" si="51"/>
        <v>1.4089497488484547E-3</v>
      </c>
      <c r="K96" s="106">
        <f t="shared" si="53"/>
        <v>3.21</v>
      </c>
      <c r="L96" s="192">
        <f t="shared" si="54"/>
        <v>18.882352941176467</v>
      </c>
      <c r="M96" s="192">
        <f t="shared" si="52"/>
        <v>0.23150684931506846</v>
      </c>
    </row>
    <row r="97" spans="2:13" s="150" customFormat="1" x14ac:dyDescent="0.25">
      <c r="B97" s="20" t="s">
        <v>261</v>
      </c>
      <c r="C97" s="107">
        <v>24.12</v>
      </c>
      <c r="D97" s="111">
        <v>1.61</v>
      </c>
      <c r="E97" s="87">
        <f t="shared" si="49"/>
        <v>7.9329884207932988E-4</v>
      </c>
      <c r="F97" s="20"/>
      <c r="G97" s="107">
        <v>17.600000000000001</v>
      </c>
      <c r="H97" s="189">
        <f t="shared" si="50"/>
        <v>2.2091125894314048E-3</v>
      </c>
      <c r="I97" s="107">
        <v>0.15</v>
      </c>
      <c r="J97" s="189">
        <f t="shared" si="51"/>
        <v>6.2527355718126687E-5</v>
      </c>
      <c r="K97" s="107">
        <f t="shared" si="53"/>
        <v>-1.4600000000000002</v>
      </c>
      <c r="L97" s="190">
        <f t="shared" si="54"/>
        <v>-0.90683229813664601</v>
      </c>
      <c r="M97" s="190">
        <f t="shared" si="52"/>
        <v>8.5227272727272721E-3</v>
      </c>
    </row>
    <row r="98" spans="2:13" s="150" customFormat="1" x14ac:dyDescent="0.25">
      <c r="B98" s="20" t="s">
        <v>262</v>
      </c>
      <c r="C98" s="20">
        <v>145.66</v>
      </c>
      <c r="D98" s="111">
        <v>4.3499999999999996</v>
      </c>
      <c r="E98" s="87">
        <f t="shared" si="49"/>
        <v>2.1433850702143385E-3</v>
      </c>
      <c r="F98" s="20"/>
      <c r="G98" s="107">
        <v>11.56</v>
      </c>
      <c r="H98" s="189">
        <f t="shared" si="50"/>
        <v>1.4509853144219907E-3</v>
      </c>
      <c r="I98" s="107">
        <v>6.27</v>
      </c>
      <c r="J98" s="189">
        <f t="shared" si="51"/>
        <v>2.6136434690176955E-3</v>
      </c>
      <c r="K98" s="107">
        <f t="shared" si="53"/>
        <v>1.92</v>
      </c>
      <c r="L98" s="190">
        <f t="shared" si="54"/>
        <v>0.44137931034482758</v>
      </c>
      <c r="M98" s="190">
        <f t="shared" si="52"/>
        <v>0.54238754325259508</v>
      </c>
    </row>
    <row r="99" spans="2:13" s="150" customFormat="1" x14ac:dyDescent="0.25">
      <c r="B99" s="61" t="s">
        <v>263</v>
      </c>
      <c r="C99" s="27">
        <f t="shared" ref="C99" si="57">SUM(C97:C98)</f>
        <v>169.78</v>
      </c>
      <c r="D99" s="106">
        <f t="shared" ref="D99:I99" si="58">SUM(D97:D98)</f>
        <v>5.96</v>
      </c>
      <c r="E99" s="88">
        <f t="shared" si="49"/>
        <v>2.9366839122936684E-3</v>
      </c>
      <c r="F99" s="27">
        <f t="shared" si="58"/>
        <v>0</v>
      </c>
      <c r="G99" s="106">
        <f t="shared" si="58"/>
        <v>29.160000000000004</v>
      </c>
      <c r="H99" s="191">
        <f t="shared" si="50"/>
        <v>3.6600979038533955E-3</v>
      </c>
      <c r="I99" s="106">
        <f t="shared" si="58"/>
        <v>6.42</v>
      </c>
      <c r="J99" s="191">
        <f t="shared" si="51"/>
        <v>2.676170824735822E-3</v>
      </c>
      <c r="K99" s="106">
        <f t="shared" si="53"/>
        <v>0.45999999999999996</v>
      </c>
      <c r="L99" s="192">
        <f t="shared" si="54"/>
        <v>7.7181208053691275E-2</v>
      </c>
      <c r="M99" s="192">
        <f t="shared" si="52"/>
        <v>0.22016460905349791</v>
      </c>
    </row>
    <row r="100" spans="2:13" s="150" customFormat="1" x14ac:dyDescent="0.25">
      <c r="B100" s="20" t="s">
        <v>264</v>
      </c>
      <c r="C100" s="107">
        <v>12.31</v>
      </c>
      <c r="D100" s="111">
        <v>4.28</v>
      </c>
      <c r="E100" s="87">
        <f t="shared" si="49"/>
        <v>2.1088938162108894E-3</v>
      </c>
      <c r="F100" s="20"/>
      <c r="G100" s="107">
        <v>13.17</v>
      </c>
      <c r="H100" s="189">
        <f t="shared" si="50"/>
        <v>1.6530689092506589E-3</v>
      </c>
      <c r="I100" s="107">
        <v>1.93</v>
      </c>
      <c r="J100" s="189">
        <f t="shared" si="51"/>
        <v>8.0451864357323002E-4</v>
      </c>
      <c r="K100" s="107">
        <f t="shared" si="53"/>
        <v>-2.3500000000000005</v>
      </c>
      <c r="L100" s="190">
        <f t="shared" si="54"/>
        <v>-0.54906542056074781</v>
      </c>
      <c r="M100" s="190">
        <f t="shared" si="52"/>
        <v>0.14654517843583903</v>
      </c>
    </row>
    <row r="101" spans="2:13" s="150" customFormat="1" x14ac:dyDescent="0.25">
      <c r="B101" s="20" t="s">
        <v>265</v>
      </c>
      <c r="C101" s="107">
        <v>101.34</v>
      </c>
      <c r="D101" s="111">
        <v>1.64</v>
      </c>
      <c r="E101" s="87">
        <f t="shared" si="49"/>
        <v>8.0808080808080808E-4</v>
      </c>
      <c r="F101" s="20"/>
      <c r="G101" s="107">
        <v>65.03</v>
      </c>
      <c r="H101" s="189">
        <f t="shared" si="50"/>
        <v>8.1624199824275132E-3</v>
      </c>
      <c r="I101" s="107">
        <v>5.95</v>
      </c>
      <c r="J101" s="189">
        <f t="shared" si="51"/>
        <v>2.4802517768190251E-3</v>
      </c>
      <c r="K101" s="107">
        <f t="shared" si="53"/>
        <v>4.3100000000000005</v>
      </c>
      <c r="L101" s="190">
        <f t="shared" si="54"/>
        <v>2.6280487804878052</v>
      </c>
      <c r="M101" s="190">
        <f t="shared" si="52"/>
        <v>9.1496232508073191E-2</v>
      </c>
    </row>
    <row r="102" spans="2:13" s="150" customFormat="1" x14ac:dyDescent="0.25">
      <c r="B102" s="61" t="s">
        <v>295</v>
      </c>
      <c r="C102" s="106">
        <f>SUM(C100:C101)</f>
        <v>113.65</v>
      </c>
      <c r="D102" s="106">
        <f t="shared" ref="D102:I102" si="59">SUM(D100:D101)</f>
        <v>5.92</v>
      </c>
      <c r="E102" s="88">
        <f t="shared" si="49"/>
        <v>2.9169746242916975E-3</v>
      </c>
      <c r="F102" s="27">
        <f t="shared" si="59"/>
        <v>0</v>
      </c>
      <c r="G102" s="106">
        <f t="shared" si="59"/>
        <v>78.2</v>
      </c>
      <c r="H102" s="191">
        <f t="shared" si="50"/>
        <v>9.815488891678173E-3</v>
      </c>
      <c r="I102" s="106">
        <f t="shared" si="59"/>
        <v>7.88</v>
      </c>
      <c r="J102" s="191">
        <f t="shared" si="51"/>
        <v>3.2847704203922551E-3</v>
      </c>
      <c r="K102" s="106">
        <f t="shared" si="53"/>
        <v>1.96</v>
      </c>
      <c r="L102" s="192">
        <f t="shared" si="54"/>
        <v>0.33108108108108109</v>
      </c>
      <c r="M102" s="192">
        <f t="shared" si="52"/>
        <v>0.10076726342710997</v>
      </c>
    </row>
    <row r="103" spans="2:13" x14ac:dyDescent="0.25">
      <c r="B103" s="181"/>
      <c r="C103" s="181"/>
      <c r="D103" s="140"/>
      <c r="E103" s="181"/>
      <c r="F103" s="181"/>
      <c r="G103" s="181"/>
      <c r="H103" s="181"/>
      <c r="I103" s="181"/>
      <c r="J103" s="181"/>
      <c r="K103" s="181"/>
      <c r="L103" s="181"/>
      <c r="M103" s="181"/>
    </row>
    <row r="104" spans="2:13" ht="15" customHeight="1" x14ac:dyDescent="0.25">
      <c r="B104" s="193"/>
      <c r="C104" s="256" t="s">
        <v>300</v>
      </c>
      <c r="D104" s="260" t="str">
        <f>'PU Wise OWE'!$B$7</f>
        <v>Actuals upto June' 20</v>
      </c>
      <c r="E104" s="256" t="s">
        <v>173</v>
      </c>
      <c r="F104" s="256"/>
      <c r="G104" s="274" t="str">
        <f>'PU Wise OWE'!$B$5</f>
        <v xml:space="preserve">OBG(SL) 2021-22 </v>
      </c>
      <c r="H104" s="256" t="s">
        <v>308</v>
      </c>
      <c r="I104" s="260" t="str">
        <f>I40</f>
        <v>Actuals upto June' 21</v>
      </c>
      <c r="J104" s="256" t="s">
        <v>205</v>
      </c>
      <c r="K104" s="268" t="s">
        <v>147</v>
      </c>
      <c r="L104" s="268"/>
      <c r="M104" s="269" t="s">
        <v>304</v>
      </c>
    </row>
    <row r="105" spans="2:13" x14ac:dyDescent="0.25">
      <c r="B105" s="80" t="s">
        <v>191</v>
      </c>
      <c r="C105" s="257"/>
      <c r="D105" s="257"/>
      <c r="E105" s="257"/>
      <c r="F105" s="257"/>
      <c r="G105" s="275"/>
      <c r="H105" s="257"/>
      <c r="I105" s="257"/>
      <c r="J105" s="257"/>
      <c r="K105" s="81" t="s">
        <v>145</v>
      </c>
      <c r="L105" s="81" t="s">
        <v>146</v>
      </c>
      <c r="M105" s="269"/>
    </row>
    <row r="106" spans="2:13" x14ac:dyDescent="0.25">
      <c r="B106" s="20" t="s">
        <v>218</v>
      </c>
      <c r="C106" s="20">
        <v>305.92</v>
      </c>
      <c r="D106" s="111">
        <v>19.18</v>
      </c>
      <c r="E106" s="87">
        <f t="shared" ref="E106:E109" si="60">D106/$D$7</f>
        <v>9.4506035969450595E-3</v>
      </c>
      <c r="F106" s="20"/>
      <c r="G106" s="20">
        <v>115.89</v>
      </c>
      <c r="H106" s="189">
        <f t="shared" ref="H106:H109" si="61">G106/$G$7</f>
        <v>1.4546253294841219E-2</v>
      </c>
      <c r="I106" s="107">
        <v>28.26</v>
      </c>
      <c r="J106" s="189">
        <f t="shared" ref="J106:J109" si="62">I106/$I$7</f>
        <v>1.1780153817295068E-2</v>
      </c>
      <c r="K106" s="107">
        <f>I106-D106</f>
        <v>9.0800000000000018</v>
      </c>
      <c r="L106" s="190">
        <f>K106/D106</f>
        <v>0.47340980187695525</v>
      </c>
      <c r="M106" s="190">
        <f t="shared" ref="M106:M109" si="63">I106/G106</f>
        <v>0.24385192855293814</v>
      </c>
    </row>
    <row r="107" spans="2:13" x14ac:dyDescent="0.25">
      <c r="B107" s="20" t="s">
        <v>217</v>
      </c>
      <c r="C107" s="20">
        <v>266.58999999999997</v>
      </c>
      <c r="D107" s="83">
        <v>27.95</v>
      </c>
      <c r="E107" s="87">
        <f t="shared" si="60"/>
        <v>1.3771864991377187E-2</v>
      </c>
      <c r="F107" s="20"/>
      <c r="G107" s="107">
        <v>750</v>
      </c>
      <c r="H107" s="189">
        <f t="shared" si="61"/>
        <v>9.4138320572360989E-2</v>
      </c>
      <c r="I107" s="107">
        <v>40.58</v>
      </c>
      <c r="J107" s="189">
        <f t="shared" si="62"/>
        <v>1.6915733966943871E-2</v>
      </c>
      <c r="K107" s="107">
        <f t="shared" ref="K107:K109" si="64">I107-D107</f>
        <v>12.629999999999999</v>
      </c>
      <c r="L107" s="190">
        <f t="shared" ref="L107:L109" si="65">K107/D107</f>
        <v>0.45187835420393557</v>
      </c>
      <c r="M107" s="190">
        <f t="shared" si="63"/>
        <v>5.4106666666666664E-2</v>
      </c>
    </row>
    <row r="108" spans="2:13" ht="15.75" customHeight="1" x14ac:dyDescent="0.25">
      <c r="B108" s="194" t="s">
        <v>216</v>
      </c>
      <c r="C108" s="20">
        <v>544.78</v>
      </c>
      <c r="D108" s="83">
        <v>165.44</v>
      </c>
      <c r="E108" s="87">
        <f t="shared" si="60"/>
        <v>8.1517615176151761E-2</v>
      </c>
      <c r="F108" s="20"/>
      <c r="G108" s="107">
        <v>676.5</v>
      </c>
      <c r="H108" s="189">
        <f t="shared" si="61"/>
        <v>8.491276515626961E-2</v>
      </c>
      <c r="I108" s="20">
        <v>301.26</v>
      </c>
      <c r="J108" s="189">
        <f t="shared" si="62"/>
        <v>0.12557994122428562</v>
      </c>
      <c r="K108" s="107">
        <f t="shared" si="64"/>
        <v>135.82</v>
      </c>
      <c r="L108" s="190">
        <f t="shared" si="65"/>
        <v>0.82096228239845259</v>
      </c>
      <c r="M108" s="190">
        <f t="shared" si="63"/>
        <v>0.44532150776053214</v>
      </c>
    </row>
    <row r="109" spans="2:13" x14ac:dyDescent="0.25">
      <c r="B109" s="27" t="s">
        <v>130</v>
      </c>
      <c r="C109" s="27">
        <f>SUM(C106:C108)</f>
        <v>1117.29</v>
      </c>
      <c r="D109" s="142">
        <f>+D106+D107+D108</f>
        <v>212.57</v>
      </c>
      <c r="E109" s="88">
        <f t="shared" si="60"/>
        <v>0.10474008376447401</v>
      </c>
      <c r="F109" s="27"/>
      <c r="G109" s="142">
        <f>+G106+G107+G108</f>
        <v>1542.3899999999999</v>
      </c>
      <c r="H109" s="191">
        <f t="shared" si="61"/>
        <v>0.19359733902347182</v>
      </c>
      <c r="I109" s="106">
        <f>SUM(I106:I108)</f>
        <v>370.1</v>
      </c>
      <c r="J109" s="191">
        <f t="shared" si="62"/>
        <v>0.15427582900852457</v>
      </c>
      <c r="K109" s="106">
        <f t="shared" si="64"/>
        <v>157.53000000000003</v>
      </c>
      <c r="L109" s="192">
        <f t="shared" si="65"/>
        <v>0.74107352871995125</v>
      </c>
      <c r="M109" s="192">
        <f t="shared" si="63"/>
        <v>0.23995228184830039</v>
      </c>
    </row>
    <row r="110" spans="2:13" x14ac:dyDescent="0.25">
      <c r="B110" s="181"/>
      <c r="C110" s="181"/>
      <c r="D110" s="140"/>
      <c r="E110" s="181"/>
      <c r="F110" s="181"/>
      <c r="G110" s="181"/>
      <c r="H110" s="181"/>
      <c r="I110" s="181"/>
      <c r="J110" s="181"/>
      <c r="K110" s="181"/>
      <c r="L110" s="181"/>
      <c r="M110" s="181"/>
    </row>
    <row r="111" spans="2:13" x14ac:dyDescent="0.25">
      <c r="B111" s="80" t="s">
        <v>219</v>
      </c>
      <c r="C111" s="20"/>
      <c r="D111" s="83"/>
      <c r="E111" s="20"/>
      <c r="F111" s="20"/>
      <c r="G111" s="20"/>
      <c r="H111" s="20"/>
      <c r="I111" s="20"/>
      <c r="J111" s="20"/>
      <c r="K111" s="20"/>
      <c r="L111" s="20"/>
      <c r="M111" s="20"/>
    </row>
    <row r="112" spans="2:13" x14ac:dyDescent="0.25">
      <c r="B112" s="20" t="s">
        <v>220</v>
      </c>
      <c r="C112" s="107">
        <v>28.69</v>
      </c>
      <c r="D112" s="111">
        <v>5.63</v>
      </c>
      <c r="E112" s="87">
        <f t="shared" ref="E112:E115" si="66">D112/$D$7</f>
        <v>2.7740822862774082E-3</v>
      </c>
      <c r="F112" s="20"/>
      <c r="G112" s="107">
        <v>27.91</v>
      </c>
      <c r="H112" s="189">
        <f t="shared" ref="H112:H115" si="67">G112/$G$7</f>
        <v>3.5032007028994601E-3</v>
      </c>
      <c r="I112" s="20">
        <v>0.22</v>
      </c>
      <c r="J112" s="189">
        <f t="shared" ref="J112" si="68">I112/$I$7</f>
        <v>9.1706788386585811E-5</v>
      </c>
      <c r="K112" s="107">
        <f>I112-D112</f>
        <v>-5.41</v>
      </c>
      <c r="L112" s="190">
        <f>K112/D112</f>
        <v>-0.96092362344582594</v>
      </c>
      <c r="M112" s="190">
        <f t="shared" ref="M112" si="69">I112/G112</f>
        <v>7.8824793980652088E-3</v>
      </c>
    </row>
    <row r="113" spans="2:13" x14ac:dyDescent="0.25">
      <c r="B113" s="20" t="s">
        <v>221</v>
      </c>
      <c r="C113" s="107">
        <v>38.6</v>
      </c>
      <c r="D113" s="83">
        <v>2.54</v>
      </c>
      <c r="E113" s="87">
        <f t="shared" si="66"/>
        <v>1.251539788125154E-3</v>
      </c>
      <c r="F113" s="20"/>
      <c r="G113" s="20">
        <v>33.72</v>
      </c>
      <c r="H113" s="189">
        <f t="shared" si="67"/>
        <v>4.2324588929333502E-3</v>
      </c>
      <c r="I113" s="107">
        <v>0.11</v>
      </c>
      <c r="J113" s="189">
        <f t="shared" ref="J113:J115" si="70">I113/$I$7</f>
        <v>4.5853394193292906E-5</v>
      </c>
      <c r="K113" s="107">
        <f t="shared" ref="K113:K115" si="71">I113-D113</f>
        <v>-2.4300000000000002</v>
      </c>
      <c r="L113" s="190">
        <f t="shared" ref="L113:L115" si="72">K113/D113</f>
        <v>-0.95669291338582685</v>
      </c>
      <c r="M113" s="190">
        <f t="shared" ref="M113:M115" si="73">I113/G113</f>
        <v>3.2621589561091344E-3</v>
      </c>
    </row>
    <row r="114" spans="2:13" x14ac:dyDescent="0.25">
      <c r="B114" s="194" t="s">
        <v>222</v>
      </c>
      <c r="C114" s="20">
        <v>33.32</v>
      </c>
      <c r="D114" s="83">
        <v>2.81</v>
      </c>
      <c r="E114" s="87">
        <f t="shared" si="66"/>
        <v>1.3845774821384577E-3</v>
      </c>
      <c r="F114" s="20"/>
      <c r="G114" s="20">
        <v>33.19</v>
      </c>
      <c r="H114" s="189">
        <f t="shared" si="67"/>
        <v>4.1659344797288812E-3</v>
      </c>
      <c r="I114" s="107">
        <v>3.03</v>
      </c>
      <c r="J114" s="189">
        <f t="shared" si="70"/>
        <v>1.2630525855061589E-3</v>
      </c>
      <c r="K114" s="107">
        <f t="shared" si="71"/>
        <v>0.21999999999999975</v>
      </c>
      <c r="L114" s="190">
        <f t="shared" si="72"/>
        <v>7.8291814946619132E-2</v>
      </c>
      <c r="M114" s="190">
        <f t="shared" si="73"/>
        <v>9.1292557999397408E-2</v>
      </c>
    </row>
    <row r="115" spans="2:13" x14ac:dyDescent="0.25">
      <c r="B115" s="27" t="s">
        <v>130</v>
      </c>
      <c r="C115" s="106">
        <f>SUM(C112:C114)</f>
        <v>100.61000000000001</v>
      </c>
      <c r="D115" s="149">
        <f>SUM(D112:D114)</f>
        <v>10.98</v>
      </c>
      <c r="E115" s="88">
        <f t="shared" si="66"/>
        <v>5.41019955654102E-3</v>
      </c>
      <c r="F115" s="27"/>
      <c r="G115" s="27">
        <f>SUM(G112:G114)</f>
        <v>94.82</v>
      </c>
      <c r="H115" s="191">
        <f t="shared" si="67"/>
        <v>1.190159407556169E-2</v>
      </c>
      <c r="I115" s="27">
        <f>SUM(I112:I114)</f>
        <v>3.36</v>
      </c>
      <c r="J115" s="191">
        <f t="shared" si="70"/>
        <v>1.4006127680860378E-3</v>
      </c>
      <c r="K115" s="106">
        <f t="shared" si="71"/>
        <v>-7.620000000000001</v>
      </c>
      <c r="L115" s="192">
        <f t="shared" si="72"/>
        <v>-0.69398907103825147</v>
      </c>
      <c r="M115" s="192">
        <f t="shared" si="73"/>
        <v>3.543556211769669E-2</v>
      </c>
    </row>
    <row r="118" spans="2:13" x14ac:dyDescent="0.25">
      <c r="C118" s="34"/>
      <c r="D118" s="141"/>
      <c r="E118" s="31"/>
      <c r="F118" s="31"/>
      <c r="G118" s="31"/>
    </row>
    <row r="119" spans="2:13" x14ac:dyDescent="0.25">
      <c r="C119" s="31"/>
      <c r="D119" s="141"/>
      <c r="E119" s="31"/>
      <c r="F119" s="31"/>
      <c r="G119" s="31"/>
    </row>
    <row r="120" spans="2:13" x14ac:dyDescent="0.25">
      <c r="C120" s="31"/>
      <c r="D120" s="141"/>
      <c r="E120" s="31"/>
      <c r="F120" s="31"/>
      <c r="G120" s="31"/>
    </row>
    <row r="121" spans="2:13" x14ac:dyDescent="0.25">
      <c r="C121" s="31"/>
      <c r="D121" s="141"/>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x14ac:dyDescent="0.25">
      <c r="A1" s="133"/>
      <c r="B1" s="1"/>
      <c r="C1" s="232" t="s">
        <v>213</v>
      </c>
      <c r="D1" s="232"/>
      <c r="E1" s="232"/>
      <c r="F1" s="232"/>
      <c r="G1" s="232"/>
      <c r="H1" s="232"/>
      <c r="I1" s="232"/>
      <c r="J1" s="232"/>
      <c r="K1" s="232"/>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x14ac:dyDescent="0.25">
      <c r="A2" s="133"/>
      <c r="B2" s="1"/>
      <c r="C2" s="1"/>
      <c r="D2" s="1"/>
      <c r="E2" s="1"/>
      <c r="F2" s="1"/>
      <c r="G2" s="1"/>
      <c r="H2" s="1"/>
      <c r="I2" s="1"/>
      <c r="J2" s="1"/>
      <c r="K2" s="1"/>
      <c r="L2" s="1"/>
      <c r="M2" s="233" t="s">
        <v>69</v>
      </c>
      <c r="N2" s="233"/>
      <c r="O2" s="233"/>
      <c r="P2" s="1"/>
      <c r="Q2" s="1"/>
      <c r="R2" s="1"/>
      <c r="S2" s="1"/>
      <c r="T2" s="1"/>
      <c r="U2" s="1"/>
      <c r="V2" s="1"/>
      <c r="W2" s="1"/>
      <c r="X2" s="1"/>
      <c r="Y2" s="1"/>
      <c r="Z2" s="1"/>
      <c r="AA2" s="1"/>
      <c r="AB2" s="1"/>
      <c r="AC2" s="2"/>
      <c r="AD2" s="1"/>
      <c r="AE2" s="1"/>
      <c r="AF2" s="1"/>
      <c r="AG2" s="1"/>
      <c r="AH2" s="1"/>
      <c r="AI2" s="1"/>
      <c r="AJ2" s="1"/>
      <c r="AK2" s="1"/>
      <c r="AL2" s="1"/>
      <c r="AM2" s="1"/>
      <c r="AN2" s="1"/>
      <c r="AO2" s="1"/>
      <c r="AP2" s="233" t="s">
        <v>69</v>
      </c>
      <c r="AQ2" s="233"/>
      <c r="AR2" s="233"/>
      <c r="AS2" s="1"/>
      <c r="AT2" s="1"/>
      <c r="AU2" s="1"/>
      <c r="AV2" s="2"/>
      <c r="AW2" s="1"/>
      <c r="AX2" s="1"/>
      <c r="AY2" s="1"/>
      <c r="AZ2" s="1"/>
      <c r="BA2" s="1"/>
      <c r="BB2" s="1"/>
      <c r="BC2" s="1"/>
      <c r="BD2" s="1"/>
      <c r="BE2" s="1"/>
      <c r="BF2" s="1"/>
      <c r="BG2" s="2"/>
      <c r="BH2" s="233" t="s">
        <v>69</v>
      </c>
      <c r="BI2" s="233"/>
      <c r="BJ2" s="233"/>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9" t="s">
        <v>128</v>
      </c>
    </row>
    <row r="4" spans="1:63" ht="15.75" x14ac:dyDescent="0.25">
      <c r="A4" s="130"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50"/>
    </row>
    <row r="5" spans="1:63" ht="15.75" x14ac:dyDescent="0.25">
      <c r="A5" s="8" t="s">
        <v>131</v>
      </c>
      <c r="B5" s="11" t="s">
        <v>214</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x14ac:dyDescent="0.25">
      <c r="A6" s="130" t="s">
        <v>131</v>
      </c>
      <c r="B6" s="5" t="s">
        <v>211</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x14ac:dyDescent="0.25">
      <c r="A7" s="130"/>
      <c r="B7" s="134" t="s">
        <v>215</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x14ac:dyDescent="0.25">
      <c r="A8" s="130"/>
      <c r="B8" s="12" t="s">
        <v>212</v>
      </c>
      <c r="C8" s="9">
        <f>IF('Upto Month Current'!$B$4="",0,'Upto Month Current'!$B$4)</f>
        <v>717155</v>
      </c>
      <c r="D8" s="9">
        <f>IF('Upto Month Current'!$B$5="",0,'Upto Month Current'!$B$5)</f>
        <v>121689</v>
      </c>
      <c r="E8" s="9">
        <f>IF('Upto Month Current'!$B$6="",0,'Upto Month Current'!$B$6)</f>
        <v>422</v>
      </c>
      <c r="F8" s="9">
        <f>IF('Upto Month Current'!$B$7="",0,'Upto Month Current'!$B$7)</f>
        <v>73089</v>
      </c>
      <c r="G8" s="9">
        <f>IF('Upto Month Current'!$B$8="",0,'Upto Month Current'!$B$8)</f>
        <v>28947</v>
      </c>
      <c r="H8" s="9">
        <f>IF('Upto Month Current'!$B$9="",0,'Upto Month Current'!$B$9)</f>
        <v>0</v>
      </c>
      <c r="I8" s="9">
        <f>IF('Upto Month Current'!$B$10="",0,'Upto Month Current'!$B$10)</f>
        <v>0</v>
      </c>
      <c r="J8" s="9">
        <f>IF('Upto Month Current'!$B$11="",0,'Upto Month Current'!$B$11)</f>
        <v>774</v>
      </c>
      <c r="K8" s="9">
        <f>IF('Upto Month Current'!$B$12="",0,'Upto Month Current'!$B$12)</f>
        <v>0</v>
      </c>
      <c r="L8" s="9">
        <f>IF('Upto Month Current'!$B$13="",0,'Upto Month Current'!$B$13)</f>
        <v>498</v>
      </c>
      <c r="M8" s="9">
        <f>IF('Upto Month Current'!$B$14="",0,'Upto Month Current'!$B$14)</f>
        <v>1183</v>
      </c>
      <c r="N8" s="9">
        <f>IF('Upto Month Current'!$B$15="",0,'Upto Month Current'!$B$15)</f>
        <v>962</v>
      </c>
      <c r="O8" s="9">
        <f>IF('Upto Month Current'!$B$16="",0,'Upto Month Current'!$B$16)</f>
        <v>3773</v>
      </c>
      <c r="P8" s="9">
        <f>IF('Upto Month Current'!$B$17="",0,'Upto Month Current'!$B$17)</f>
        <v>21022</v>
      </c>
      <c r="Q8" s="9">
        <f>IF('Upto Month Current'!$B$18="",0,'Upto Month Current'!$B$18)</f>
        <v>0</v>
      </c>
      <c r="R8" s="9">
        <f>IF('Upto Month Current'!$B$21="",0,'Upto Month Current'!$B$21)</f>
        <v>2604</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2006</v>
      </c>
      <c r="Z8" s="9">
        <f>IF('Upto Month Current'!$B$43="",0,'Upto Month Current'!$B$43)</f>
        <v>341</v>
      </c>
      <c r="AA8" s="9">
        <f>IF('Upto Month Current'!$B$44="",0,'Upto Month Current'!$B$44)</f>
        <v>612</v>
      </c>
      <c r="AB8" s="9">
        <f>IF('Upto Month Current'!$B$51="",0,'Upto Month Current'!$B$51)</f>
        <v>0</v>
      </c>
      <c r="AC8" s="123">
        <f t="shared" si="0"/>
        <v>975077</v>
      </c>
      <c r="AD8" s="9">
        <f>IF('Upto Month Current'!$B$19="",0,'Upto Month Current'!$B$19)</f>
        <v>2518</v>
      </c>
      <c r="AE8" s="9">
        <f>IF('Upto Month Current'!$B$20="",0,'Upto Month Current'!$B$20)</f>
        <v>1565</v>
      </c>
      <c r="AF8" s="9">
        <f>IF('Upto Month Current'!$B$22="",0,'Upto Month Current'!$B$22)</f>
        <v>34072</v>
      </c>
      <c r="AG8" s="9">
        <f>IF('Upto Month Current'!$B$23="",0,'Upto Month Current'!$B$23)</f>
        <v>0</v>
      </c>
      <c r="AH8" s="9">
        <f>IF('Upto Month Current'!$B$24="",0,'Upto Month Current'!$B$24)</f>
        <v>0</v>
      </c>
      <c r="AI8" s="9">
        <f>IF('Upto Month Current'!$B$25="",0,'Upto Month Current'!$B$25)</f>
        <v>312</v>
      </c>
      <c r="AJ8" s="9">
        <f>IF('Upto Month Current'!$B$28="",0,'Upto Month Current'!$B$28)</f>
        <v>3112</v>
      </c>
      <c r="AK8" s="9">
        <f>IF('Upto Month Current'!$B$29="",0,'Upto Month Current'!$B$29)</f>
        <v>2974</v>
      </c>
      <c r="AL8" s="9">
        <f>IF('Upto Month Current'!$B$31="",0,'Upto Month Current'!$B$31)</f>
        <v>44</v>
      </c>
      <c r="AM8" s="9">
        <f>IF('Upto Month Current'!$B$32="",0,'Upto Month Current'!$B$32)</f>
        <v>0</v>
      </c>
      <c r="AN8" s="9">
        <f>IF('Upto Month Current'!$B$33="",0,'Upto Month Current'!$B$33)</f>
        <v>15803</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2935</v>
      </c>
      <c r="AW8" s="9">
        <f>IF('Upto Month Current'!$B$46="",0,'Upto Month Current'!$B$46)</f>
        <v>2058</v>
      </c>
      <c r="AX8" s="9">
        <f>IF('Upto Month Current'!$B$47="",0,'Upto Month Current'!$B$47)</f>
        <v>1907</v>
      </c>
      <c r="AY8" s="9">
        <f>IF('Upto Month Current'!$B$49="",0,'Upto Month Current'!$B$49)</f>
        <v>0</v>
      </c>
      <c r="AZ8" s="9">
        <f>IF('Upto Month Current'!$B$50="",0,'Upto Month Current'!$B$50)</f>
        <v>0</v>
      </c>
      <c r="BA8" s="9">
        <f>IF('Upto Month Current'!$B$52="",0,'Upto Month Current'!$B$52)</f>
        <v>0</v>
      </c>
      <c r="BB8" s="9">
        <f>IF('Upto Month Current'!$B$53="",0,'Upto Month Current'!$B$53)</f>
        <v>1764</v>
      </c>
      <c r="BC8" s="9">
        <f>IF('Upto Month Current'!$B$54="",0,'Upto Month Current'!$B$54)</f>
        <v>1764</v>
      </c>
      <c r="BD8" s="9">
        <f>IF('Upto Month Current'!$B$55="",0,'Upto Month Current'!$B$55)</f>
        <v>0</v>
      </c>
      <c r="BE8" s="9">
        <f>IF('Upto Month Current'!$B$56="",0,'Upto Month Current'!$B$56)</f>
        <v>544</v>
      </c>
      <c r="BF8" s="9">
        <f>IF('Upto Month Current'!$B$58="",0,'Upto Month Current'!$B$58)</f>
        <v>3067</v>
      </c>
      <c r="BG8" s="124">
        <f t="shared" si="2"/>
        <v>74439</v>
      </c>
      <c r="BH8" s="125">
        <f t="shared" si="3"/>
        <v>1049516</v>
      </c>
      <c r="BI8" s="9">
        <f>IF('Upto Month Current'!$B$60="",0,'Upto Month Current'!$B$60)</f>
        <v>450</v>
      </c>
      <c r="BJ8" s="126">
        <f t="shared" si="1"/>
        <v>1049066</v>
      </c>
      <c r="BK8">
        <f>'Upto Month Current'!$B$61</f>
        <v>1050524</v>
      </c>
    </row>
    <row r="9" spans="1:63" ht="15.75" x14ac:dyDescent="0.25">
      <c r="A9" s="130"/>
      <c r="B9" s="5" t="s">
        <v>210</v>
      </c>
      <c r="C9" s="128">
        <f t="shared" ref="C9:AH9" si="6">C8/C5</f>
        <v>0.29512818634572002</v>
      </c>
      <c r="D9" s="128">
        <f t="shared" si="6"/>
        <v>0.27741454540480653</v>
      </c>
      <c r="E9" s="128">
        <f t="shared" si="6"/>
        <v>5.4969389084277712E-3</v>
      </c>
      <c r="F9" s="128">
        <f t="shared" si="6"/>
        <v>0.2523503882499577</v>
      </c>
      <c r="G9" s="128">
        <f t="shared" si="6"/>
        <v>0.27112309983421845</v>
      </c>
      <c r="H9" s="128" t="e">
        <f t="shared" si="6"/>
        <v>#DIV/0!</v>
      </c>
      <c r="I9" s="128" t="e">
        <f t="shared" si="6"/>
        <v>#DIV/0!</v>
      </c>
      <c r="J9" s="128" t="e">
        <f t="shared" si="6"/>
        <v>#DIV/0!</v>
      </c>
      <c r="K9" s="128" t="e">
        <f t="shared" si="6"/>
        <v>#DIV/0!</v>
      </c>
      <c r="L9" s="128">
        <f t="shared" si="6"/>
        <v>0.13459459459459461</v>
      </c>
      <c r="M9" s="128">
        <f t="shared" si="6"/>
        <v>0.15235028976175144</v>
      </c>
      <c r="N9" s="128">
        <f t="shared" si="6"/>
        <v>0.16230808166019908</v>
      </c>
      <c r="O9" s="128">
        <f t="shared" si="6"/>
        <v>0.30205748138659833</v>
      </c>
      <c r="P9" s="128">
        <f t="shared" si="6"/>
        <v>0.33494789840986583</v>
      </c>
      <c r="Q9" s="128" t="e">
        <f t="shared" si="6"/>
        <v>#DIV/0!</v>
      </c>
      <c r="R9" s="128">
        <f t="shared" si="6"/>
        <v>0.23078968359478863</v>
      </c>
      <c r="S9" s="128" t="e">
        <f t="shared" si="6"/>
        <v>#DIV/0!</v>
      </c>
      <c r="T9" s="128" t="e">
        <f t="shared" si="6"/>
        <v>#DIV/0!</v>
      </c>
      <c r="U9" s="128" t="e">
        <f t="shared" si="6"/>
        <v>#DIV/0!</v>
      </c>
      <c r="V9" s="128" t="e">
        <f t="shared" si="6"/>
        <v>#DIV/0!</v>
      </c>
      <c r="W9" s="128">
        <f t="shared" si="6"/>
        <v>0</v>
      </c>
      <c r="X9" s="128">
        <f t="shared" si="6"/>
        <v>0</v>
      </c>
      <c r="Y9" s="128">
        <f t="shared" si="6"/>
        <v>3.7849056603773583</v>
      </c>
      <c r="Z9" s="128" t="e">
        <f t="shared" si="6"/>
        <v>#DIV/0!</v>
      </c>
      <c r="AA9" s="128" t="e">
        <f t="shared" si="6"/>
        <v>#DIV/0!</v>
      </c>
      <c r="AB9" s="128" t="e">
        <f t="shared" si="6"/>
        <v>#DIV/0!</v>
      </c>
      <c r="AC9" s="128">
        <f t="shared" si="6"/>
        <v>0.28286189539055645</v>
      </c>
      <c r="AD9" s="128">
        <f t="shared" si="6"/>
        <v>3.1267073958178113E-2</v>
      </c>
      <c r="AE9" s="128">
        <f t="shared" si="6"/>
        <v>6.7960743442765328E-2</v>
      </c>
      <c r="AF9" s="128">
        <f t="shared" si="6"/>
        <v>2.8938338712417191</v>
      </c>
      <c r="AG9" s="128" t="e">
        <f t="shared" si="6"/>
        <v>#DIV/0!</v>
      </c>
      <c r="AH9" s="128">
        <f t="shared" si="6"/>
        <v>0</v>
      </c>
      <c r="AI9" s="128">
        <f t="shared" ref="AI9:BJ9" si="7">AI8/AI5</f>
        <v>1.3</v>
      </c>
      <c r="AJ9" s="128">
        <f t="shared" si="7"/>
        <v>0.3323366082870568</v>
      </c>
      <c r="AK9" s="128">
        <f t="shared" si="7"/>
        <v>0.1667975322490185</v>
      </c>
      <c r="AL9" s="128">
        <f t="shared" si="7"/>
        <v>4.1706161137440759E-2</v>
      </c>
      <c r="AM9" s="128">
        <f t="shared" si="7"/>
        <v>0</v>
      </c>
      <c r="AN9" s="128">
        <f t="shared" si="7"/>
        <v>0.19839307011487037</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0.24915110356536502</v>
      </c>
      <c r="AW9" s="128">
        <f t="shared" si="7"/>
        <v>0.19718309859154928</v>
      </c>
      <c r="AX9" s="128">
        <f t="shared" si="7"/>
        <v>0.93526238352133395</v>
      </c>
      <c r="AY9" s="128" t="e">
        <f t="shared" si="7"/>
        <v>#DIV/0!</v>
      </c>
      <c r="AZ9" s="128" t="e">
        <f t="shared" si="7"/>
        <v>#DIV/0!</v>
      </c>
      <c r="BA9" s="128" t="e">
        <f t="shared" si="7"/>
        <v>#DIV/0!</v>
      </c>
      <c r="BB9" s="128">
        <f t="shared" si="7"/>
        <v>0.93136219640971485</v>
      </c>
      <c r="BC9" s="128">
        <f t="shared" si="7"/>
        <v>0.89588623666835954</v>
      </c>
      <c r="BD9" s="128">
        <f t="shared" si="7"/>
        <v>0</v>
      </c>
      <c r="BE9" s="128">
        <f t="shared" si="7"/>
        <v>0.72340425531914898</v>
      </c>
      <c r="BF9" s="128">
        <f t="shared" si="7"/>
        <v>3.7558627952828223E-2</v>
      </c>
      <c r="BG9" s="128">
        <f t="shared" si="7"/>
        <v>0.22265260462779068</v>
      </c>
      <c r="BH9" s="128">
        <f t="shared" si="7"/>
        <v>0.27753871996175072</v>
      </c>
      <c r="BI9" s="128">
        <f t="shared" si="7"/>
        <v>2.4307243558580455E-2</v>
      </c>
      <c r="BJ9" s="128">
        <f t="shared" si="7"/>
        <v>0.27878455455342932</v>
      </c>
    </row>
    <row r="10" spans="1:63" ht="15.75" x14ac:dyDescent="0.2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x14ac:dyDescent="0.25">
      <c r="A11" s="15" t="s">
        <v>136</v>
      </c>
      <c r="B11" s="11" t="s">
        <v>214</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x14ac:dyDescent="0.25">
      <c r="A12" s="130" t="s">
        <v>136</v>
      </c>
      <c r="B12" s="5" t="s">
        <v>211</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x14ac:dyDescent="0.2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x14ac:dyDescent="0.25">
      <c r="A14" s="130"/>
      <c r="B14" s="12" t="s">
        <v>212</v>
      </c>
      <c r="C14" s="9">
        <f>IF('Upto Month Current'!$C$4="",0,'Upto Month Current'!$C$4)</f>
        <v>1202738</v>
      </c>
      <c r="D14" s="9">
        <f>IF('Upto Month Current'!$C$5="",0,'Upto Month Current'!$C$5)</f>
        <v>191643</v>
      </c>
      <c r="E14" s="9">
        <f>IF('Upto Month Current'!$C$6="",0,'Upto Month Current'!$C$6)</f>
        <v>877</v>
      </c>
      <c r="F14" s="9">
        <f>IF('Upto Month Current'!$C$7="",0,'Upto Month Current'!$C$7)</f>
        <v>87575</v>
      </c>
      <c r="G14" s="9">
        <f>IF('Upto Month Current'!$C$8="",0,'Upto Month Current'!$C$8)</f>
        <v>65215</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18683</v>
      </c>
      <c r="M14" s="9">
        <f>IF('Upto Month Current'!$C$14="",0,'Upto Month Current'!$C$14)</f>
        <v>120403</v>
      </c>
      <c r="N14" s="9">
        <f>IF('Upto Month Current'!$C$15="",0,'Upto Month Current'!$C$15)</f>
        <v>33</v>
      </c>
      <c r="O14" s="9">
        <f>IF('Upto Month Current'!$C$16="",0,'Upto Month Current'!$C$16)</f>
        <v>1256</v>
      </c>
      <c r="P14" s="9">
        <f>IF('Upto Month Current'!$C$17="",0,'Upto Month Current'!$C$17)</f>
        <v>97231</v>
      </c>
      <c r="Q14" s="9">
        <f>IF('Upto Month Current'!$C$18="",0,'Upto Month Current'!$C$18)</f>
        <v>0</v>
      </c>
      <c r="R14" s="9">
        <f>IF('Upto Month Current'!$C$21="",0,'Upto Month Current'!$C$21)</f>
        <v>1472</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12495</v>
      </c>
      <c r="Z14" s="9">
        <f>IF('Upto Month Current'!$C$43="",0,'Upto Month Current'!$C$43)</f>
        <v>1061</v>
      </c>
      <c r="AA14" s="9">
        <f>IF('Upto Month Current'!$C$44="",0,'Upto Month Current'!$C$44)</f>
        <v>821</v>
      </c>
      <c r="AB14" s="9">
        <f>IF('Upto Month Current'!$C$51="",0,'Upto Month Current'!$C$51)</f>
        <v>0</v>
      </c>
      <c r="AC14" s="123">
        <f t="shared" si="8"/>
        <v>1801503</v>
      </c>
      <c r="AD14" s="9">
        <f>IF('Upto Month Current'!$C$19="",0,'Upto Month Current'!$C$19)</f>
        <v>656</v>
      </c>
      <c r="AE14" s="9">
        <f>IF('Upto Month Current'!$C$20="",0,'Upto Month Current'!$C$20)</f>
        <v>224</v>
      </c>
      <c r="AF14" s="9">
        <f>IF('Upto Month Current'!$C$22="",0,'Upto Month Current'!$C$22)</f>
        <v>14929</v>
      </c>
      <c r="AG14" s="9">
        <f>IF('Upto Month Current'!$C$23="",0,'Upto Month Current'!$C$23)</f>
        <v>0</v>
      </c>
      <c r="AH14" s="9">
        <f>IF('Upto Month Current'!$C$24="",0,'Upto Month Current'!$C$24)</f>
        <v>0</v>
      </c>
      <c r="AI14" s="9">
        <f>IF('Upto Month Current'!$C$25="",0,'Upto Month Current'!$C$25)</f>
        <v>34</v>
      </c>
      <c r="AJ14" s="9">
        <f>IF('Upto Month Current'!$C$28="",0,'Upto Month Current'!$C$28)</f>
        <v>613459</v>
      </c>
      <c r="AK14" s="9">
        <f>IF('Upto Month Current'!$C$29="",0,'Upto Month Current'!$C$29)</f>
        <v>33035</v>
      </c>
      <c r="AL14" s="9">
        <f>IF('Upto Month Current'!$C$31="",0,'Upto Month Current'!$C$31)</f>
        <v>0</v>
      </c>
      <c r="AM14" s="9">
        <f>IF('Upto Month Current'!$C$32="",0,'Upto Month Current'!$C$32)</f>
        <v>44224</v>
      </c>
      <c r="AN14" s="9">
        <f>IF('Upto Month Current'!$C$33="",0,'Upto Month Current'!$C$33)</f>
        <v>211799</v>
      </c>
      <c r="AO14" s="9">
        <f>IF('Upto Month Current'!$C$34="",0,'Upto Month Current'!$C$34)</f>
        <v>100915</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62</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9599</v>
      </c>
      <c r="BC14" s="9">
        <f>IF('Upto Month Current'!$C$54="",0,'Upto Month Current'!$C$54)</f>
        <v>9599</v>
      </c>
      <c r="BD14" s="9">
        <f>IF('Upto Month Current'!$C$55="",0,'Upto Month Current'!$C$55)</f>
        <v>0</v>
      </c>
      <c r="BE14" s="9">
        <f>IF('Upto Month Current'!$C$56="",0,'Upto Month Current'!$C$56)</f>
        <v>2395</v>
      </c>
      <c r="BF14" s="9">
        <f>IF('Upto Month Current'!$C$58="",0,'Upto Month Current'!$C$58)</f>
        <v>1755</v>
      </c>
      <c r="BG14" s="124">
        <f t="shared" si="10"/>
        <v>1042685</v>
      </c>
      <c r="BH14" s="125">
        <f t="shared" si="11"/>
        <v>2844188</v>
      </c>
      <c r="BI14" s="9">
        <f>IF('Upto Month Current'!$C$60="",0,'Upto Month Current'!$C$60)</f>
        <v>3299</v>
      </c>
      <c r="BJ14" s="126">
        <f t="shared" si="9"/>
        <v>2840889</v>
      </c>
      <c r="BK14">
        <f>'Upto Month Current'!$C$61</f>
        <v>2840889</v>
      </c>
    </row>
    <row r="15" spans="1:63" ht="15.75" x14ac:dyDescent="0.25">
      <c r="A15" s="130"/>
      <c r="B15" s="5" t="s">
        <v>210</v>
      </c>
      <c r="C15" s="128">
        <f t="shared" ref="C15:AH15" si="14">C14/C11</f>
        <v>0.25807845663358908</v>
      </c>
      <c r="D15" s="128">
        <f t="shared" si="14"/>
        <v>0.25964403149171045</v>
      </c>
      <c r="E15" s="128">
        <f t="shared" si="14"/>
        <v>3.1652079761797349E-3</v>
      </c>
      <c r="F15" s="128">
        <f t="shared" si="14"/>
        <v>0.25681742868789242</v>
      </c>
      <c r="G15" s="128">
        <f t="shared" si="14"/>
        <v>0.2564914378308647</v>
      </c>
      <c r="H15" s="128" t="e">
        <f t="shared" si="14"/>
        <v>#DIV/0!</v>
      </c>
      <c r="I15" s="128" t="e">
        <f t="shared" si="14"/>
        <v>#DIV/0!</v>
      </c>
      <c r="J15" s="128" t="e">
        <f t="shared" si="14"/>
        <v>#DIV/0!</v>
      </c>
      <c r="K15" s="128" t="e">
        <f t="shared" si="14"/>
        <v>#DIV/0!</v>
      </c>
      <c r="L15" s="128">
        <f t="shared" si="14"/>
        <v>0.35810396381200643</v>
      </c>
      <c r="M15" s="128">
        <f t="shared" si="14"/>
        <v>0.39023591831178556</v>
      </c>
      <c r="N15" s="128">
        <f t="shared" si="14"/>
        <v>0.125</v>
      </c>
      <c r="O15" s="128">
        <f t="shared" si="14"/>
        <v>0.14002229654403567</v>
      </c>
      <c r="P15" s="128">
        <f t="shared" si="14"/>
        <v>0.40310858488493095</v>
      </c>
      <c r="Q15" s="128" t="e">
        <f t="shared" si="14"/>
        <v>#DIV/0!</v>
      </c>
      <c r="R15" s="128">
        <f t="shared" si="14"/>
        <v>0.32827832292595899</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0.26160214090827705</v>
      </c>
      <c r="AD15" s="128">
        <f t="shared" si="14"/>
        <v>6.7441143209622703E-2</v>
      </c>
      <c r="AE15" s="128">
        <f t="shared" si="14"/>
        <v>4.4800000000000004</v>
      </c>
      <c r="AF15" s="128">
        <f t="shared" si="14"/>
        <v>0.49789887940234789</v>
      </c>
      <c r="AG15" s="128" t="e">
        <f t="shared" si="14"/>
        <v>#DIV/0!</v>
      </c>
      <c r="AH15" s="128" t="e">
        <f t="shared" si="14"/>
        <v>#DIV/0!</v>
      </c>
      <c r="AI15" s="128" t="e">
        <f t="shared" ref="AI15:BJ15" si="15">AI14/AI11</f>
        <v>#DIV/0!</v>
      </c>
      <c r="AJ15" s="128">
        <f t="shared" si="15"/>
        <v>2.9059012448604506</v>
      </c>
      <c r="AK15" s="128">
        <f t="shared" si="15"/>
        <v>9.5516907374477739E-2</v>
      </c>
      <c r="AL15" s="128" t="e">
        <f t="shared" si="15"/>
        <v>#DIV/0!</v>
      </c>
      <c r="AM15" s="128">
        <f t="shared" si="15"/>
        <v>1.2868158407774901</v>
      </c>
      <c r="AN15" s="128">
        <f t="shared" si="15"/>
        <v>0.23654041811340815</v>
      </c>
      <c r="AO15" s="128">
        <f t="shared" si="15"/>
        <v>-1.4303634198888764</v>
      </c>
      <c r="AP15" s="128" t="e">
        <f t="shared" si="15"/>
        <v>#DIV/0!</v>
      </c>
      <c r="AQ15" s="128" t="e">
        <f t="shared" si="15"/>
        <v>#DIV/0!</v>
      </c>
      <c r="AR15" s="128" t="e">
        <f t="shared" si="15"/>
        <v>#DIV/0!</v>
      </c>
      <c r="AS15" s="128" t="e">
        <f t="shared" si="15"/>
        <v>#DIV/0!</v>
      </c>
      <c r="AT15" s="128" t="e">
        <f t="shared" si="15"/>
        <v>#DIV/0!</v>
      </c>
      <c r="AU15" s="128">
        <f t="shared" si="15"/>
        <v>0</v>
      </c>
      <c r="AV15" s="128">
        <f t="shared" si="15"/>
        <v>0</v>
      </c>
      <c r="AW15" s="128">
        <f t="shared" si="15"/>
        <v>0.15577889447236182</v>
      </c>
      <c r="AX15" s="128">
        <f t="shared" si="15"/>
        <v>0</v>
      </c>
      <c r="AY15" s="128" t="e">
        <f t="shared" si="15"/>
        <v>#DIV/0!</v>
      </c>
      <c r="AZ15" s="128" t="e">
        <f t="shared" si="15"/>
        <v>#DIV/0!</v>
      </c>
      <c r="BA15" s="128" t="e">
        <f t="shared" si="15"/>
        <v>#DIV/0!</v>
      </c>
      <c r="BB15" s="128">
        <f t="shared" si="15"/>
        <v>0.39502057613168723</v>
      </c>
      <c r="BC15" s="128">
        <f t="shared" si="15"/>
        <v>0.3950530907893654</v>
      </c>
      <c r="BD15" s="128" t="e">
        <f t="shared" si="15"/>
        <v>#DIV/0!</v>
      </c>
      <c r="BE15" s="128">
        <f t="shared" si="15"/>
        <v>0.23705829951499555</v>
      </c>
      <c r="BF15" s="128">
        <f t="shared" si="15"/>
        <v>5.8041472368290506E-2</v>
      </c>
      <c r="BG15" s="128">
        <f t="shared" si="15"/>
        <v>0.6745504441862451</v>
      </c>
      <c r="BH15" s="128">
        <f t="shared" si="15"/>
        <v>0.33730198308359732</v>
      </c>
      <c r="BI15" s="128">
        <f t="shared" si="15"/>
        <v>5.1579918385215529E-2</v>
      </c>
      <c r="BJ15" s="128">
        <f t="shared" si="15"/>
        <v>0.33948578262596596</v>
      </c>
    </row>
    <row r="16" spans="1:63" ht="15.75" x14ac:dyDescent="0.2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x14ac:dyDescent="0.25">
      <c r="A17" s="15" t="s">
        <v>137</v>
      </c>
      <c r="B17" s="11" t="s">
        <v>214</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x14ac:dyDescent="0.25">
      <c r="A18" s="130" t="s">
        <v>137</v>
      </c>
      <c r="B18" s="5" t="s">
        <v>211</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x14ac:dyDescent="0.25">
      <c r="A19" s="130"/>
      <c r="B19" s="134" t="s">
        <v>215</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x14ac:dyDescent="0.25">
      <c r="A20" s="130"/>
      <c r="B20" s="12" t="s">
        <v>212</v>
      </c>
      <c r="C20" s="9">
        <f>IF('Upto Month Current'!$D$4="",0,'Upto Month Current'!$D$4)</f>
        <v>251788</v>
      </c>
      <c r="D20" s="9">
        <f>IF('Upto Month Current'!$D$5="",0,'Upto Month Current'!$D$5)</f>
        <v>42239</v>
      </c>
      <c r="E20" s="9">
        <f>IF('Upto Month Current'!$D$6="",0,'Upto Month Current'!$D$6)</f>
        <v>52</v>
      </c>
      <c r="F20" s="9">
        <f>IF('Upto Month Current'!$D$7="",0,'Upto Month Current'!$D$7)</f>
        <v>29130</v>
      </c>
      <c r="G20" s="9">
        <f>IF('Upto Month Current'!$D$8="",0,'Upto Month Current'!$D$8)</f>
        <v>18533</v>
      </c>
      <c r="H20" s="9">
        <f>IF('Upto Month Current'!$D$9="",0,'Upto Month Current'!$D$9)</f>
        <v>0</v>
      </c>
      <c r="I20" s="9">
        <f>IF('Upto Month Current'!$D$10="",0,'Upto Month Current'!$D$10)</f>
        <v>0</v>
      </c>
      <c r="J20" s="9">
        <f>IF('Upto Month Current'!$D$11="",0,'Upto Month Current'!$D$11)</f>
        <v>0</v>
      </c>
      <c r="K20" s="9">
        <f>IF('Upto Month Current'!$D$12="",0,'Upto Month Current'!$D$12)</f>
        <v>367</v>
      </c>
      <c r="L20" s="9">
        <f>IF('Upto Month Current'!$D$13="",0,'Upto Month Current'!$D$13)</f>
        <v>1683</v>
      </c>
      <c r="M20" s="9">
        <f>IF('Upto Month Current'!$D$14="",0,'Upto Month Current'!$D$14)</f>
        <v>1188</v>
      </c>
      <c r="N20" s="9">
        <f>IF('Upto Month Current'!$D$15="",0,'Upto Month Current'!$D$15)</f>
        <v>17</v>
      </c>
      <c r="O20" s="9">
        <f>IF('Upto Month Current'!$D$16="",0,'Upto Month Current'!$D$16)</f>
        <v>289</v>
      </c>
      <c r="P20" s="9">
        <f>IF('Upto Month Current'!$D$17="",0,'Upto Month Current'!$D$17)</f>
        <v>2635</v>
      </c>
      <c r="Q20" s="9">
        <f>IF('Upto Month Current'!$D$18="",0,'Upto Month Current'!$D$18)</f>
        <v>0</v>
      </c>
      <c r="R20" s="9">
        <f>IF('Upto Month Current'!$D$21="",0,'Upto Month Current'!$D$21)</f>
        <v>297</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251</v>
      </c>
      <c r="Z20" s="9">
        <f>IF('Upto Month Current'!$D$43="",0,'Upto Month Current'!$D$43)</f>
        <v>23</v>
      </c>
      <c r="AA20" s="9">
        <f>IF('Upto Month Current'!$D$44="",0,'Upto Month Current'!$D$44)</f>
        <v>2</v>
      </c>
      <c r="AB20" s="9">
        <f>IF('Upto Month Current'!$D$51="",0,'Upto Month Current'!$D$51)</f>
        <v>30394</v>
      </c>
      <c r="AC20" s="123">
        <f t="shared" si="16"/>
        <v>378888</v>
      </c>
      <c r="AD20" s="9">
        <f>IF('Upto Month Current'!$D$19="",0,'Upto Month Current'!$D$19)</f>
        <v>220</v>
      </c>
      <c r="AE20" s="9">
        <f>IF('Upto Month Current'!$D$20="",0,'Upto Month Current'!$D$20)</f>
        <v>135</v>
      </c>
      <c r="AF20" s="9">
        <f>IF('Upto Month Current'!$D$22="",0,'Upto Month Current'!$D$22)</f>
        <v>0</v>
      </c>
      <c r="AG20" s="9">
        <f>IF('Upto Month Current'!$D$23="",0,'Upto Month Current'!$D$23)</f>
        <v>0</v>
      </c>
      <c r="AH20" s="9">
        <f>IF('Upto Month Current'!$D$24="",0,'Upto Month Current'!$D$24)</f>
        <v>0</v>
      </c>
      <c r="AI20" s="9">
        <f>IF('Upto Month Current'!$D$25="",0,'Upto Month Current'!$D$25)</f>
        <v>9</v>
      </c>
      <c r="AJ20" s="9">
        <f>IF('Upto Month Current'!$D$28="",0,'Upto Month Current'!$D$28)</f>
        <v>134791</v>
      </c>
      <c r="AK20" s="9">
        <f>IF('Upto Month Current'!$D$29="",0,'Upto Month Current'!$D$29)</f>
        <v>8891</v>
      </c>
      <c r="AL20" s="9">
        <f>IF('Upto Month Current'!$D$31="",0,'Upto Month Current'!$D$31)</f>
        <v>0</v>
      </c>
      <c r="AM20" s="9">
        <f>IF('Upto Month Current'!$D$32="",0,'Upto Month Current'!$D$32)</f>
        <v>40</v>
      </c>
      <c r="AN20" s="9">
        <f>IF('Upto Month Current'!$D$33="",0,'Upto Month Current'!$D$33)</f>
        <v>6988</v>
      </c>
      <c r="AO20" s="9">
        <f>IF('Upto Month Current'!$D$34="",0,'Upto Month Current'!$D$34)</f>
        <v>17614</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100</v>
      </c>
      <c r="AY20" s="9">
        <f>IF('Upto Month Current'!$D$49="",0,'Upto Month Current'!$D$49)</f>
        <v>0</v>
      </c>
      <c r="AZ20" s="9">
        <f>IF('Upto Month Current'!$D$50="",0,'Upto Month Current'!$D$50)</f>
        <v>0</v>
      </c>
      <c r="BA20" s="9">
        <f>IF('Upto Month Current'!$D$52="",0,'Upto Month Current'!$D$52)</f>
        <v>73103</v>
      </c>
      <c r="BB20" s="9">
        <f>IF('Upto Month Current'!$D$53="",0,'Upto Month Current'!$D$53)</f>
        <v>526</v>
      </c>
      <c r="BC20" s="9">
        <f>IF('Upto Month Current'!$D$54="",0,'Upto Month Current'!$D$54)</f>
        <v>526</v>
      </c>
      <c r="BD20" s="9">
        <f>IF('Upto Month Current'!$D$55="",0,'Upto Month Current'!$D$55)</f>
        <v>0</v>
      </c>
      <c r="BE20" s="9">
        <f>IF('Upto Month Current'!$D$56="",0,'Upto Month Current'!$D$56)</f>
        <v>763</v>
      </c>
      <c r="BF20" s="9">
        <f>IF('Upto Month Current'!$D$58="",0,'Upto Month Current'!$D$58)</f>
        <v>45</v>
      </c>
      <c r="BG20" s="124">
        <f t="shared" si="18"/>
        <v>243751</v>
      </c>
      <c r="BH20" s="125">
        <f t="shared" si="19"/>
        <v>622639</v>
      </c>
      <c r="BI20" s="9">
        <f>IF('Upto Month Current'!$D$60="",0,'Upto Month Current'!$D$60)</f>
        <v>15545</v>
      </c>
      <c r="BJ20" s="126">
        <f t="shared" si="17"/>
        <v>607094</v>
      </c>
      <c r="BK20">
        <f>'Upto Month Current'!$D$61</f>
        <v>607094</v>
      </c>
    </row>
    <row r="21" spans="1:63" ht="15.75" x14ac:dyDescent="0.25">
      <c r="A21" s="130"/>
      <c r="B21" s="5" t="s">
        <v>210</v>
      </c>
      <c r="C21" s="128">
        <f t="shared" ref="C21:AH21" si="22">C20/C17</f>
        <v>0.31840783436945164</v>
      </c>
      <c r="D21" s="128">
        <f t="shared" si="22"/>
        <v>0.26398715032124198</v>
      </c>
      <c r="E21" s="128">
        <f t="shared" si="22"/>
        <v>1.163623344074472E-3</v>
      </c>
      <c r="F21" s="128">
        <f t="shared" si="22"/>
        <v>0.30844654334452198</v>
      </c>
      <c r="G21" s="128">
        <f t="shared" si="22"/>
        <v>0.26852804381529188</v>
      </c>
      <c r="H21" s="128" t="e">
        <f t="shared" si="22"/>
        <v>#DIV/0!</v>
      </c>
      <c r="I21" s="128" t="e">
        <f t="shared" si="22"/>
        <v>#DIV/0!</v>
      </c>
      <c r="J21" s="128" t="e">
        <f t="shared" si="22"/>
        <v>#DIV/0!</v>
      </c>
      <c r="K21" s="128">
        <f t="shared" si="22"/>
        <v>0.45197044334975367</v>
      </c>
      <c r="L21" s="128">
        <f t="shared" si="22"/>
        <v>0.22329839458670558</v>
      </c>
      <c r="M21" s="128">
        <f t="shared" si="22"/>
        <v>0.17699642431466031</v>
      </c>
      <c r="N21" s="128">
        <f t="shared" si="22"/>
        <v>1.1333333333333333</v>
      </c>
      <c r="O21" s="128">
        <f t="shared" si="22"/>
        <v>0.10547445255474452</v>
      </c>
      <c r="P21" s="128">
        <f t="shared" si="22"/>
        <v>0.21270584436551501</v>
      </c>
      <c r="Q21" s="128" t="e">
        <f t="shared" si="22"/>
        <v>#DIV/0!</v>
      </c>
      <c r="R21" s="128">
        <f t="shared" si="22"/>
        <v>0.20162932790224034</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9.8565971163762076E-2</v>
      </c>
      <c r="AC21" s="128">
        <f t="shared" si="22"/>
        <v>0.25161372583395758</v>
      </c>
      <c r="AD21" s="128">
        <f t="shared" si="22"/>
        <v>0.33132530120481929</v>
      </c>
      <c r="AE21" s="128" t="e">
        <f t="shared" si="22"/>
        <v>#DIV/0!</v>
      </c>
      <c r="AF21" s="128">
        <f t="shared" si="22"/>
        <v>0</v>
      </c>
      <c r="AG21" s="128" t="e">
        <f t="shared" si="22"/>
        <v>#DIV/0!</v>
      </c>
      <c r="AH21" s="128" t="e">
        <f t="shared" si="22"/>
        <v>#DIV/0!</v>
      </c>
      <c r="AI21" s="128" t="e">
        <f t="shared" ref="AI21:BJ21" si="23">AI20/AI17</f>
        <v>#DIV/0!</v>
      </c>
      <c r="AJ21" s="128">
        <f t="shared" si="23"/>
        <v>0.40113981310636271</v>
      </c>
      <c r="AK21" s="128">
        <f t="shared" si="23"/>
        <v>9.0685624528263398E-2</v>
      </c>
      <c r="AL21" s="128" t="e">
        <f t="shared" si="23"/>
        <v>#DIV/0!</v>
      </c>
      <c r="AM21" s="128" t="e">
        <f t="shared" si="23"/>
        <v>#DIV/0!</v>
      </c>
      <c r="AN21" s="128">
        <f t="shared" si="23"/>
        <v>6.7347076454544574E-2</v>
      </c>
      <c r="AO21" s="128">
        <f t="shared" si="23"/>
        <v>0.17059233719443692</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v>
      </c>
      <c r="AX21" s="128">
        <f t="shared" si="23"/>
        <v>1.5873015873015872</v>
      </c>
      <c r="AY21" s="128" t="e">
        <f t="shared" si="23"/>
        <v>#DIV/0!</v>
      </c>
      <c r="AZ21" s="128" t="e">
        <f t="shared" si="23"/>
        <v>#DIV/0!</v>
      </c>
      <c r="BA21" s="128">
        <f t="shared" si="23"/>
        <v>0.31666197396634249</v>
      </c>
      <c r="BB21" s="128">
        <f t="shared" si="23"/>
        <v>0.20435120435120435</v>
      </c>
      <c r="BC21" s="128">
        <f t="shared" si="23"/>
        <v>0.20435120435120435</v>
      </c>
      <c r="BD21" s="128" t="e">
        <f t="shared" si="23"/>
        <v>#DIV/0!</v>
      </c>
      <c r="BE21" s="128">
        <f t="shared" si="23"/>
        <v>0.20588235294117646</v>
      </c>
      <c r="BF21" s="128">
        <f t="shared" si="23"/>
        <v>4.9944506104328525E-2</v>
      </c>
      <c r="BG21" s="128">
        <f t="shared" si="23"/>
        <v>0.27607808758803315</v>
      </c>
      <c r="BH21" s="128">
        <f t="shared" si="23"/>
        <v>0.26065604515857327</v>
      </c>
      <c r="BI21" s="128">
        <f t="shared" si="23"/>
        <v>0.21787576386163593</v>
      </c>
      <c r="BJ21" s="128">
        <f t="shared" si="23"/>
        <v>0.26197316808996329</v>
      </c>
    </row>
    <row r="22" spans="1:63" ht="15.75" x14ac:dyDescent="0.2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x14ac:dyDescent="0.25">
      <c r="A23" s="15" t="s">
        <v>138</v>
      </c>
      <c r="B23" s="11" t="s">
        <v>214</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x14ac:dyDescent="0.25">
      <c r="A24" s="130" t="s">
        <v>138</v>
      </c>
      <c r="B24" s="5" t="s">
        <v>211</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x14ac:dyDescent="0.2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x14ac:dyDescent="0.25">
      <c r="A26" s="130"/>
      <c r="B26" s="12" t="s">
        <v>212</v>
      </c>
      <c r="C26" s="9">
        <f>IF('Upto Month Current'!$E$4="",0,'Upto Month Current'!$E$4)</f>
        <v>405262</v>
      </c>
      <c r="D26" s="9">
        <f>IF('Upto Month Current'!$E$5="",0,'Upto Month Current'!$E$5)</f>
        <v>68313</v>
      </c>
      <c r="E26" s="9">
        <f>IF('Upto Month Current'!$E$6="",0,'Upto Month Current'!$E$6)</f>
        <v>169</v>
      </c>
      <c r="F26" s="9">
        <f>IF('Upto Month Current'!$E$7="",0,'Upto Month Current'!$E$7)</f>
        <v>45016</v>
      </c>
      <c r="G26" s="9">
        <f>IF('Upto Month Current'!$E$8="",0,'Upto Month Current'!$E$8)</f>
        <v>23257</v>
      </c>
      <c r="H26" s="9">
        <f>IF('Upto Month Current'!$E$9="",0,'Upto Month Current'!$E$9)</f>
        <v>0</v>
      </c>
      <c r="I26" s="9">
        <f>IF('Upto Month Current'!$E$10="",0,'Upto Month Current'!$E$10)</f>
        <v>0</v>
      </c>
      <c r="J26" s="9">
        <f>IF('Upto Month Current'!$E$11="",0,'Upto Month Current'!$E$11)</f>
        <v>0</v>
      </c>
      <c r="K26" s="9">
        <f>IF('Upto Month Current'!$E$12="",0,'Upto Month Current'!$E$12)</f>
        <v>85</v>
      </c>
      <c r="L26" s="9">
        <f>IF('Upto Month Current'!$E$13="",0,'Upto Month Current'!$E$13)</f>
        <v>6979</v>
      </c>
      <c r="M26" s="9">
        <f>IF('Upto Month Current'!$E$14="",0,'Upto Month Current'!$E$14)</f>
        <v>4436</v>
      </c>
      <c r="N26" s="9">
        <f>IF('Upto Month Current'!$E$15="",0,'Upto Month Current'!$E$15)</f>
        <v>48</v>
      </c>
      <c r="O26" s="9">
        <f>IF('Upto Month Current'!$E$16="",0,'Upto Month Current'!$E$16)</f>
        <v>776</v>
      </c>
      <c r="P26" s="9">
        <f>IF('Upto Month Current'!$E$17="",0,'Upto Month Current'!$E$17)</f>
        <v>8862</v>
      </c>
      <c r="Q26" s="9">
        <f>IF('Upto Month Current'!$E$18="",0,'Upto Month Current'!$E$18)</f>
        <v>0</v>
      </c>
      <c r="R26" s="9">
        <f>IF('Upto Month Current'!$E$21="",0,'Upto Month Current'!$E$21)</f>
        <v>624</v>
      </c>
      <c r="S26" s="9">
        <f>IF('Upto Month Current'!$E$26="",0,'Upto Month Current'!$E$26)</f>
        <v>0</v>
      </c>
      <c r="T26" s="9">
        <f>IF('Upto Month Current'!$E$27="",0,'Upto Month Current'!$E$27)</f>
        <v>0</v>
      </c>
      <c r="U26" s="9">
        <f>IF('Upto Month Current'!$E$30="",0,'Upto Month Current'!$E$30)</f>
        <v>0</v>
      </c>
      <c r="V26" s="9">
        <f>IF('Upto Month Current'!$E$35="",0,'Upto Month Current'!$E$35)</f>
        <v>78458</v>
      </c>
      <c r="W26" s="9">
        <f>IF('Upto Month Current'!$E$39="",0,'Upto Month Current'!$E$39)</f>
        <v>0</v>
      </c>
      <c r="X26" s="9">
        <f>IF('Upto Month Current'!$E$40="",0,'Upto Month Current'!$E$40)</f>
        <v>0</v>
      </c>
      <c r="Y26" s="9">
        <f>IF('Upto Month Current'!$E$42="",0,'Upto Month Current'!$E$42)</f>
        <v>3406</v>
      </c>
      <c r="Z26" s="9">
        <f>IF('Upto Month Current'!$E$43="",0,'Upto Month Current'!$E$43)</f>
        <v>318</v>
      </c>
      <c r="AA26" s="9">
        <f>IF('Upto Month Current'!$E$44="",0,'Upto Month Current'!$E$44)</f>
        <v>341</v>
      </c>
      <c r="AB26" s="9">
        <f>IF('Upto Month Current'!$E$51="",0,'Upto Month Current'!$E$51)</f>
        <v>330665</v>
      </c>
      <c r="AC26" s="123">
        <f t="shared" si="24"/>
        <v>977015</v>
      </c>
      <c r="AD26" s="9">
        <f>IF('Upto Month Current'!$E$19="",0,'Upto Month Current'!$E$19)</f>
        <v>64</v>
      </c>
      <c r="AE26" s="9">
        <f>IF('Upto Month Current'!$E$20="",0,'Upto Month Current'!$E$20)</f>
        <v>16</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78956</v>
      </c>
      <c r="AK26" s="9">
        <f>IF('Upto Month Current'!$E$29="",0,'Upto Month Current'!$E$29)</f>
        <v>2474</v>
      </c>
      <c r="AL26" s="9">
        <f>IF('Upto Month Current'!$E$31="",0,'Upto Month Current'!$E$31)</f>
        <v>18</v>
      </c>
      <c r="AM26" s="9">
        <f>IF('Upto Month Current'!$E$32="",0,'Upto Month Current'!$E$32)</f>
        <v>0</v>
      </c>
      <c r="AN26" s="9">
        <f>IF('Upto Month Current'!$E$33="",0,'Upto Month Current'!$E$33)</f>
        <v>27893</v>
      </c>
      <c r="AO26" s="9">
        <f>IF('Upto Month Current'!$E$34="",0,'Upto Month Current'!$E$34)</f>
        <v>-8909</v>
      </c>
      <c r="AP26" s="9">
        <f>IF('Upto Month Current'!$E$36="",0,'Upto Month Current'!$E$36)</f>
        <v>60886</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129</v>
      </c>
      <c r="AY26" s="9">
        <f>IF('Upto Month Current'!$E$49="",0,'Upto Month Current'!$E$49)</f>
        <v>0</v>
      </c>
      <c r="AZ26" s="9">
        <f>IF('Upto Month Current'!$E$50="",0,'Upto Month Current'!$E$50)</f>
        <v>0</v>
      </c>
      <c r="BA26" s="9">
        <f>IF('Upto Month Current'!$E$52="",0,'Upto Month Current'!$E$52)</f>
        <v>288766</v>
      </c>
      <c r="BB26" s="9">
        <f>IF('Upto Month Current'!$E$53="",0,'Upto Month Current'!$E$53)</f>
        <v>738</v>
      </c>
      <c r="BC26" s="9">
        <f>IF('Upto Month Current'!$E$54="",0,'Upto Month Current'!$E$54)</f>
        <v>738</v>
      </c>
      <c r="BD26" s="9">
        <f>IF('Upto Month Current'!$E$55="",0,'Upto Month Current'!$E$55)</f>
        <v>0</v>
      </c>
      <c r="BE26" s="9">
        <f>IF('Upto Month Current'!$E$56="",0,'Upto Month Current'!$E$56)</f>
        <v>3233</v>
      </c>
      <c r="BF26" s="9">
        <f>IF('Upto Month Current'!$E$58="",0,'Upto Month Current'!$E$58)</f>
        <v>3</v>
      </c>
      <c r="BG26" s="124">
        <f t="shared" si="26"/>
        <v>455005</v>
      </c>
      <c r="BH26" s="125">
        <f t="shared" si="27"/>
        <v>1432020</v>
      </c>
      <c r="BI26" s="9">
        <f>IF('Upto Month Current'!$E$60="",0,'Upto Month Current'!$E$60)</f>
        <v>6224</v>
      </c>
      <c r="BJ26" s="126">
        <f t="shared" si="25"/>
        <v>1425796</v>
      </c>
      <c r="BK26">
        <f>'Upto Month Current'!$E$61</f>
        <v>1425851</v>
      </c>
    </row>
    <row r="27" spans="1:63" ht="15.75" x14ac:dyDescent="0.25">
      <c r="A27" s="130"/>
      <c r="B27" s="5" t="s">
        <v>210</v>
      </c>
      <c r="C27" s="128">
        <f t="shared" ref="C27:AH27" si="30">C26/C23</f>
        <v>0.28394485642379502</v>
      </c>
      <c r="D27" s="128">
        <f t="shared" si="30"/>
        <v>0.27309033052432957</v>
      </c>
      <c r="E27" s="128">
        <f t="shared" si="30"/>
        <v>2.5521761454589385E-3</v>
      </c>
      <c r="F27" s="128">
        <f t="shared" si="30"/>
        <v>0.26447329769108746</v>
      </c>
      <c r="G27" s="128">
        <f t="shared" si="30"/>
        <v>0.26359813666708226</v>
      </c>
      <c r="H27" s="128" t="e">
        <f t="shared" si="30"/>
        <v>#DIV/0!</v>
      </c>
      <c r="I27" s="128" t="e">
        <f t="shared" si="30"/>
        <v>#DIV/0!</v>
      </c>
      <c r="J27" s="128" t="e">
        <f t="shared" si="30"/>
        <v>#DIV/0!</v>
      </c>
      <c r="K27" s="128">
        <f t="shared" si="30"/>
        <v>3.4510759236703208E-2</v>
      </c>
      <c r="L27" s="128">
        <f t="shared" si="30"/>
        <v>0.22591609478182054</v>
      </c>
      <c r="M27" s="128">
        <f t="shared" si="30"/>
        <v>0.25973417647403246</v>
      </c>
      <c r="N27" s="128">
        <f t="shared" si="30"/>
        <v>0.37795275590551181</v>
      </c>
      <c r="O27" s="128">
        <f t="shared" si="30"/>
        <v>0.28004330566582464</v>
      </c>
      <c r="P27" s="128">
        <f t="shared" si="30"/>
        <v>0.44412147940262603</v>
      </c>
      <c r="Q27" s="128" t="e">
        <f t="shared" si="30"/>
        <v>#DIV/0!</v>
      </c>
      <c r="R27" s="128">
        <f t="shared" si="30"/>
        <v>0.29447852760736198</v>
      </c>
      <c r="S27" s="128" t="e">
        <f t="shared" si="30"/>
        <v>#DIV/0!</v>
      </c>
      <c r="T27" s="128" t="e">
        <f t="shared" si="30"/>
        <v>#DIV/0!</v>
      </c>
      <c r="U27" s="128" t="e">
        <f t="shared" si="30"/>
        <v>#DIV/0!</v>
      </c>
      <c r="V27" s="128">
        <f t="shared" si="30"/>
        <v>0.26732312305150002</v>
      </c>
      <c r="W27" s="128" t="e">
        <f t="shared" si="30"/>
        <v>#DIV/0!</v>
      </c>
      <c r="X27" s="128" t="e">
        <f t="shared" si="30"/>
        <v>#DIV/0!</v>
      </c>
      <c r="Y27" s="128">
        <f t="shared" si="30"/>
        <v>10.106824925816024</v>
      </c>
      <c r="Z27" s="128">
        <f t="shared" si="30"/>
        <v>14.454545454545455</v>
      </c>
      <c r="AA27" s="128">
        <f t="shared" si="30"/>
        <v>6.6862745098039218</v>
      </c>
      <c r="AB27" s="128">
        <f t="shared" si="30"/>
        <v>0.23889425119279153</v>
      </c>
      <c r="AC27" s="128">
        <f t="shared" si="30"/>
        <v>0.2601544553495802</v>
      </c>
      <c r="AD27" s="128">
        <f t="shared" si="30"/>
        <v>4.3925875085792723E-2</v>
      </c>
      <c r="AE27" s="128">
        <f t="shared" si="30"/>
        <v>0.2711864406779661</v>
      </c>
      <c r="AF27" s="128" t="e">
        <f t="shared" si="30"/>
        <v>#DIV/0!</v>
      </c>
      <c r="AG27" s="128" t="e">
        <f t="shared" si="30"/>
        <v>#DIV/0!</v>
      </c>
      <c r="AH27" s="128" t="e">
        <f t="shared" si="30"/>
        <v>#DIV/0!</v>
      </c>
      <c r="AI27" s="128" t="e">
        <f t="shared" ref="AI27:BJ27" si="31">AI26/AI23</f>
        <v>#DIV/0!</v>
      </c>
      <c r="AJ27" s="128">
        <f t="shared" si="31"/>
        <v>0.47163251896541425</v>
      </c>
      <c r="AK27" s="128">
        <f t="shared" si="31"/>
        <v>7.7244910703134759E-2</v>
      </c>
      <c r="AL27" s="128">
        <f t="shared" si="31"/>
        <v>4.6391752577319589E-2</v>
      </c>
      <c r="AM27" s="128" t="e">
        <f t="shared" si="31"/>
        <v>#DIV/0!</v>
      </c>
      <c r="AN27" s="128">
        <f t="shared" si="31"/>
        <v>0.23023714599377626</v>
      </c>
      <c r="AO27" s="128">
        <f t="shared" si="31"/>
        <v>-0.21501665299029782</v>
      </c>
      <c r="AP27" s="128">
        <f t="shared" si="31"/>
        <v>0.90146725692542307</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0.54987860495672625</v>
      </c>
      <c r="BB27" s="128">
        <f t="shared" si="31"/>
        <v>0.64173913043478259</v>
      </c>
      <c r="BC27" s="128">
        <f t="shared" si="31"/>
        <v>0.64173913043478259</v>
      </c>
      <c r="BD27" s="128" t="e">
        <f t="shared" si="31"/>
        <v>#DIV/0!</v>
      </c>
      <c r="BE27" s="128">
        <f t="shared" si="31"/>
        <v>1.5505995203836931</v>
      </c>
      <c r="BF27" s="128">
        <f t="shared" si="31"/>
        <v>5.9642147117296221E-3</v>
      </c>
      <c r="BG27" s="128">
        <f t="shared" si="31"/>
        <v>0.47322462113845154</v>
      </c>
      <c r="BH27" s="128">
        <f t="shared" si="31"/>
        <v>0.30358586717286218</v>
      </c>
      <c r="BI27" s="128">
        <f t="shared" si="31"/>
        <v>5.9275625946419559E-2</v>
      </c>
      <c r="BJ27" s="128">
        <f t="shared" si="31"/>
        <v>0.3091480365315219</v>
      </c>
    </row>
    <row r="28" spans="1:63" ht="15.75" x14ac:dyDescent="0.2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x14ac:dyDescent="0.25">
      <c r="A29" s="15" t="s">
        <v>139</v>
      </c>
      <c r="B29" s="11" t="s">
        <v>214</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x14ac:dyDescent="0.25">
      <c r="A30" s="130" t="s">
        <v>139</v>
      </c>
      <c r="B30" s="5" t="s">
        <v>211</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x14ac:dyDescent="0.2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x14ac:dyDescent="0.25">
      <c r="A32" s="130"/>
      <c r="B32" s="12" t="s">
        <v>212</v>
      </c>
      <c r="C32" s="9">
        <f>IF('Upto Month Current'!$F$4="",0,'Upto Month Current'!$F$4)</f>
        <v>588497</v>
      </c>
      <c r="D32" s="9">
        <f>IF('Upto Month Current'!$F$5="",0,'Upto Month Current'!$F$5)</f>
        <v>99288</v>
      </c>
      <c r="E32" s="9">
        <f>IF('Upto Month Current'!$F$6="",0,'Upto Month Current'!$F$6)</f>
        <v>177</v>
      </c>
      <c r="F32" s="9">
        <f>IF('Upto Month Current'!$F$7="",0,'Upto Month Current'!$F$7)</f>
        <v>47421</v>
      </c>
      <c r="G32" s="9">
        <f>IF('Upto Month Current'!$F$8="",0,'Upto Month Current'!$F$8)</f>
        <v>32746</v>
      </c>
      <c r="H32" s="9">
        <f>IF('Upto Month Current'!$F$9="",0,'Upto Month Current'!$F$9)</f>
        <v>0</v>
      </c>
      <c r="I32" s="9">
        <f>IF('Upto Month Current'!$F$10="",0,'Upto Month Current'!$F$10)</f>
        <v>0</v>
      </c>
      <c r="J32" s="9">
        <f>IF('Upto Month Current'!$F$11="",0,'Upto Month Current'!$F$11)</f>
        <v>603</v>
      </c>
      <c r="K32" s="9">
        <f>IF('Upto Month Current'!$F$12="",0,'Upto Month Current'!$F$12)</f>
        <v>159</v>
      </c>
      <c r="L32" s="9">
        <f>IF('Upto Month Current'!$F$13="",0,'Upto Month Current'!$F$13)</f>
        <v>6575</v>
      </c>
      <c r="M32" s="9">
        <f>IF('Upto Month Current'!$F$14="",0,'Upto Month Current'!$F$14)</f>
        <v>6269</v>
      </c>
      <c r="N32" s="9">
        <f>IF('Upto Month Current'!$F$15="",0,'Upto Month Current'!$F$15)</f>
        <v>28</v>
      </c>
      <c r="O32" s="9">
        <f>IF('Upto Month Current'!$F$16="",0,'Upto Month Current'!$F$16)</f>
        <v>1024</v>
      </c>
      <c r="P32" s="9">
        <f>IF('Upto Month Current'!$F$17="",0,'Upto Month Current'!$F$17)</f>
        <v>62765</v>
      </c>
      <c r="Q32" s="9">
        <f>IF('Upto Month Current'!$F$18="",0,'Upto Month Current'!$F$18)</f>
        <v>0</v>
      </c>
      <c r="R32" s="9">
        <f>IF('Upto Month Current'!$F$21="",0,'Upto Month Current'!$F$21)</f>
        <v>1385</v>
      </c>
      <c r="S32" s="9">
        <f>IF('Upto Month Current'!$F$26="",0,'Upto Month Current'!$F$26)</f>
        <v>0</v>
      </c>
      <c r="T32" s="9">
        <f>IF('Upto Month Current'!$F$27="",0,'Upto Month Current'!$F$27)</f>
        <v>0</v>
      </c>
      <c r="U32" s="9">
        <f>IF('Upto Month Current'!$F$30="",0,'Upto Month Current'!$F$30)</f>
        <v>0</v>
      </c>
      <c r="V32" s="9">
        <f>IF('Upto Month Current'!$F$35="",0,'Upto Month Current'!$F$35)</f>
        <v>4605</v>
      </c>
      <c r="W32" s="9">
        <f>IF('Upto Month Current'!$F$39="",0,'Upto Month Current'!$F$39)</f>
        <v>0</v>
      </c>
      <c r="X32" s="9">
        <f>IF('Upto Month Current'!$F$40="",0,'Upto Month Current'!$F$40)</f>
        <v>0</v>
      </c>
      <c r="Y32" s="9">
        <f>IF('Upto Month Current'!$F$42="",0,'Upto Month Current'!$F$42)</f>
        <v>7027</v>
      </c>
      <c r="Z32" s="9">
        <f>IF('Upto Month Current'!$F$43="",0,'Upto Month Current'!$F$43)</f>
        <v>699</v>
      </c>
      <c r="AA32" s="9">
        <f>IF('Upto Month Current'!$F$44="",0,'Upto Month Current'!$F$44)</f>
        <v>467</v>
      </c>
      <c r="AB32" s="9">
        <f>IF('Upto Month Current'!$F$51="",0,'Upto Month Current'!$F$51)</f>
        <v>0</v>
      </c>
      <c r="AC32" s="123">
        <f t="shared" si="32"/>
        <v>859735</v>
      </c>
      <c r="AD32" s="9">
        <f>IF('Upto Month Current'!$F$19="",0,'Upto Month Current'!$F$19)</f>
        <v>655</v>
      </c>
      <c r="AE32" s="9">
        <f>IF('Upto Month Current'!$F$20="",0,'Upto Month Current'!$F$20)</f>
        <v>3903</v>
      </c>
      <c r="AF32" s="9">
        <f>IF('Upto Month Current'!$F$22="",0,'Upto Month Current'!$F$22)</f>
        <v>1444</v>
      </c>
      <c r="AG32" s="9">
        <f>IF('Upto Month Current'!$F$23="",0,'Upto Month Current'!$F$23)</f>
        <v>0</v>
      </c>
      <c r="AH32" s="9">
        <f>IF('Upto Month Current'!$F$24="",0,'Upto Month Current'!$F$24)</f>
        <v>0</v>
      </c>
      <c r="AI32" s="9">
        <f>IF('Upto Month Current'!$F$25="",0,'Upto Month Current'!$F$25)</f>
        <v>222</v>
      </c>
      <c r="AJ32" s="9">
        <f>IF('Upto Month Current'!$F$28="",0,'Upto Month Current'!$F$28)</f>
        <v>91583</v>
      </c>
      <c r="AK32" s="9">
        <f>IF('Upto Month Current'!$F$29="",0,'Upto Month Current'!$F$29)</f>
        <v>46111</v>
      </c>
      <c r="AL32" s="9">
        <f>IF('Upto Month Current'!$F$31="",0,'Upto Month Current'!$F$31)</f>
        <v>0</v>
      </c>
      <c r="AM32" s="9">
        <f>IF('Upto Month Current'!$F$32="",0,'Upto Month Current'!$F$32)</f>
        <v>505</v>
      </c>
      <c r="AN32" s="9">
        <f>IF('Upto Month Current'!$F$33="",0,'Upto Month Current'!$F$33)</f>
        <v>204516</v>
      </c>
      <c r="AO32" s="9">
        <f>IF('Upto Month Current'!$F$34="",0,'Upto Month Current'!$F$34)</f>
        <v>11667</v>
      </c>
      <c r="AP32" s="9">
        <f>IF('Upto Month Current'!$F$36="",0,'Upto Month Current'!$F$36)</f>
        <v>14667</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6373</v>
      </c>
      <c r="BC32" s="9">
        <f>IF('Upto Month Current'!$F$54="",0,'Upto Month Current'!$F$54)</f>
        <v>6373</v>
      </c>
      <c r="BD32" s="9">
        <f>IF('Upto Month Current'!$F$55="",0,'Upto Month Current'!$F$55)</f>
        <v>0</v>
      </c>
      <c r="BE32" s="9">
        <f>IF('Upto Month Current'!$F$56="",0,'Upto Month Current'!$F$56)</f>
        <v>20843</v>
      </c>
      <c r="BF32" s="9">
        <f>IF('Upto Month Current'!$F$58="",0,'Upto Month Current'!$F$58)</f>
        <v>41908</v>
      </c>
      <c r="BG32" s="124">
        <f t="shared" si="34"/>
        <v>450770</v>
      </c>
      <c r="BH32" s="125">
        <f t="shared" si="35"/>
        <v>1310505</v>
      </c>
      <c r="BI32" s="9">
        <f>IF('Upto Month Current'!$F$60="",0,'Upto Month Current'!$F$60)</f>
        <v>16398</v>
      </c>
      <c r="BJ32" s="126">
        <f t="shared" si="33"/>
        <v>1294107</v>
      </c>
      <c r="BK32">
        <f>'Upto Month Current'!$F$61</f>
        <v>1294106</v>
      </c>
    </row>
    <row r="33" spans="1:63" ht="15.75" x14ac:dyDescent="0.25">
      <c r="A33" s="130"/>
      <c r="B33" s="5" t="s">
        <v>210</v>
      </c>
      <c r="C33" s="128">
        <f t="shared" ref="C33:AH33" si="38">C32/C29</f>
        <v>0.23437971699052521</v>
      </c>
      <c r="D33" s="128">
        <f t="shared" si="38"/>
        <v>0.25336715372798402</v>
      </c>
      <c r="E33" s="128">
        <f t="shared" si="38"/>
        <v>1.390634820867379E-3</v>
      </c>
      <c r="F33" s="128">
        <f t="shared" si="38"/>
        <v>0.24192166025569081</v>
      </c>
      <c r="G33" s="128">
        <f t="shared" si="38"/>
        <v>0.24234036884639296</v>
      </c>
      <c r="H33" s="128" t="e">
        <f t="shared" si="38"/>
        <v>#DIV/0!</v>
      </c>
      <c r="I33" s="128" t="e">
        <f t="shared" si="38"/>
        <v>#DIV/0!</v>
      </c>
      <c r="J33" s="128">
        <f t="shared" si="38"/>
        <v>0.54768392370572205</v>
      </c>
      <c r="K33" s="128">
        <f t="shared" si="38"/>
        <v>0.10988251554941257</v>
      </c>
      <c r="L33" s="128">
        <f t="shared" si="38"/>
        <v>0.22107528327897516</v>
      </c>
      <c r="M33" s="128">
        <f t="shared" si="38"/>
        <v>0.1283290004298786</v>
      </c>
      <c r="N33" s="128">
        <f t="shared" si="38"/>
        <v>0.11382113821138211</v>
      </c>
      <c r="O33" s="128">
        <f t="shared" si="38"/>
        <v>0.16803413193304889</v>
      </c>
      <c r="P33" s="128">
        <f t="shared" si="38"/>
        <v>0.393560321043391</v>
      </c>
      <c r="Q33" s="128" t="e">
        <f t="shared" si="38"/>
        <v>#DIV/0!</v>
      </c>
      <c r="R33" s="128">
        <f t="shared" si="38"/>
        <v>0.3587153587153587</v>
      </c>
      <c r="S33" s="128" t="e">
        <f t="shared" si="38"/>
        <v>#DIV/0!</v>
      </c>
      <c r="T33" s="128" t="e">
        <f t="shared" si="38"/>
        <v>#DIV/0!</v>
      </c>
      <c r="U33" s="128" t="e">
        <f t="shared" si="38"/>
        <v>#DIV/0!</v>
      </c>
      <c r="V33" s="128">
        <f t="shared" si="38"/>
        <v>0.25245326462365003</v>
      </c>
      <c r="W33" s="128" t="e">
        <f t="shared" si="38"/>
        <v>#DIV/0!</v>
      </c>
      <c r="X33" s="128" t="e">
        <f t="shared" si="38"/>
        <v>#DIV/0!</v>
      </c>
      <c r="Y33" s="128">
        <f t="shared" si="38"/>
        <v>11.57660626029654</v>
      </c>
      <c r="Z33" s="128" t="e">
        <f t="shared" si="38"/>
        <v>#DIV/0!</v>
      </c>
      <c r="AA33" s="128">
        <f t="shared" si="38"/>
        <v>116.75</v>
      </c>
      <c r="AB33" s="128" t="e">
        <f t="shared" si="38"/>
        <v>#DIV/0!</v>
      </c>
      <c r="AC33" s="128">
        <f t="shared" si="38"/>
        <v>0.23678686937096358</v>
      </c>
      <c r="AD33" s="128">
        <f t="shared" si="38"/>
        <v>0.12931885488647582</v>
      </c>
      <c r="AE33" s="128">
        <f t="shared" si="38"/>
        <v>0.15826608815538704</v>
      </c>
      <c r="AF33" s="128">
        <f t="shared" si="38"/>
        <v>0.26393712301224637</v>
      </c>
      <c r="AG33" s="128" t="e">
        <f t="shared" si="38"/>
        <v>#DIV/0!</v>
      </c>
      <c r="AH33" s="128" t="e">
        <f t="shared" si="38"/>
        <v>#DIV/0!</v>
      </c>
      <c r="AI33" s="128">
        <f t="shared" ref="AI33:BJ33" si="39">AI32/AI29</f>
        <v>1.7619047619047619</v>
      </c>
      <c r="AJ33" s="128">
        <f t="shared" si="39"/>
        <v>0.40749013343774609</v>
      </c>
      <c r="AK33" s="128">
        <f t="shared" si="39"/>
        <v>0.11868280642330055</v>
      </c>
      <c r="AL33" s="128" t="e">
        <f t="shared" si="39"/>
        <v>#DIV/0!</v>
      </c>
      <c r="AM33" s="128">
        <f t="shared" si="39"/>
        <v>0.39026275115919629</v>
      </c>
      <c r="AN33" s="128">
        <f t="shared" si="39"/>
        <v>0.40057584393454182</v>
      </c>
      <c r="AO33" s="128">
        <f t="shared" si="39"/>
        <v>6.1653173814707564E-2</v>
      </c>
      <c r="AP33" s="128">
        <f t="shared" si="39"/>
        <v>0.9105413459150733</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0.58174349612049292</v>
      </c>
      <c r="BC33" s="128">
        <f t="shared" si="39"/>
        <v>0.58158423069903264</v>
      </c>
      <c r="BD33" s="128" t="e">
        <f t="shared" si="39"/>
        <v>#DIV/0!</v>
      </c>
      <c r="BE33" s="128">
        <f t="shared" si="39"/>
        <v>4.2209396516808422</v>
      </c>
      <c r="BF33" s="128">
        <f t="shared" si="39"/>
        <v>0.15501157741331736</v>
      </c>
      <c r="BG33" s="128">
        <f t="shared" si="39"/>
        <v>0.2710503418720675</v>
      </c>
      <c r="BH33" s="128">
        <f t="shared" si="39"/>
        <v>0.24755057152701379</v>
      </c>
      <c r="BI33" s="128">
        <f t="shared" si="39"/>
        <v>0.19043305577814165</v>
      </c>
      <c r="BJ33" s="128">
        <f t="shared" si="39"/>
        <v>0.24849499181896928</v>
      </c>
    </row>
    <row r="34" spans="1:63" ht="15.75" x14ac:dyDescent="0.2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x14ac:dyDescent="0.25">
      <c r="A35" s="15" t="s">
        <v>140</v>
      </c>
      <c r="B35" s="11" t="s">
        <v>214</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x14ac:dyDescent="0.25">
      <c r="A36" s="130" t="s">
        <v>140</v>
      </c>
      <c r="B36" s="5" t="s">
        <v>211</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x14ac:dyDescent="0.2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x14ac:dyDescent="0.25">
      <c r="A38" s="130"/>
      <c r="B38" s="12" t="s">
        <v>212</v>
      </c>
      <c r="C38" s="9">
        <f>IF('Upto Month Current'!$G$4="",0,'Upto Month Current'!$G$4)</f>
        <v>1233761</v>
      </c>
      <c r="D38" s="9">
        <f>IF('Upto Month Current'!$G$5="",0,'Upto Month Current'!$G$5)</f>
        <v>255917</v>
      </c>
      <c r="E38" s="9">
        <f>IF('Upto Month Current'!$G$6="",0,'Upto Month Current'!$G$6)</f>
        <v>326</v>
      </c>
      <c r="F38" s="9">
        <f>IF('Upto Month Current'!$G$7="",0,'Upto Month Current'!$G$7)</f>
        <v>188186</v>
      </c>
      <c r="G38" s="9">
        <f>IF('Upto Month Current'!$G$8="",0,'Upto Month Current'!$G$8)</f>
        <v>64357</v>
      </c>
      <c r="H38" s="9">
        <f>IF('Upto Month Current'!$G$9="",0,'Upto Month Current'!$G$9)</f>
        <v>0</v>
      </c>
      <c r="I38" s="9">
        <f>IF('Upto Month Current'!$G$10="",0,'Upto Month Current'!$G$10)</f>
        <v>0</v>
      </c>
      <c r="J38" s="9">
        <f>IF('Upto Month Current'!$G$11="",0,'Upto Month Current'!$G$11)</f>
        <v>374122</v>
      </c>
      <c r="K38" s="9">
        <f>IF('Upto Month Current'!$G$12="",0,'Upto Month Current'!$G$12)</f>
        <v>930</v>
      </c>
      <c r="L38" s="9">
        <f>IF('Upto Month Current'!$G$13="",0,'Upto Month Current'!$G$13)</f>
        <v>21047</v>
      </c>
      <c r="M38" s="9">
        <f>IF('Upto Month Current'!$G$14="",0,'Upto Month Current'!$G$14)</f>
        <v>69332</v>
      </c>
      <c r="N38" s="9">
        <f>IF('Upto Month Current'!$G$15="",0,'Upto Month Current'!$G$15)</f>
        <v>48</v>
      </c>
      <c r="O38" s="9">
        <f>IF('Upto Month Current'!$G$16="",0,'Upto Month Current'!$G$16)</f>
        <v>1510</v>
      </c>
      <c r="P38" s="9">
        <f>IF('Upto Month Current'!$G$17="",0,'Upto Month Current'!$G$17)</f>
        <v>4796</v>
      </c>
      <c r="Q38" s="9">
        <f>IF('Upto Month Current'!$G$18="",0,'Upto Month Current'!$G$18)</f>
        <v>0</v>
      </c>
      <c r="R38" s="9">
        <f>IF('Upto Month Current'!$G$21="",0,'Upto Month Current'!$G$21)</f>
        <v>2245</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3249</v>
      </c>
      <c r="Z38" s="9">
        <f>IF('Upto Month Current'!$G$43="",0,'Upto Month Current'!$G$43)</f>
        <v>407</v>
      </c>
      <c r="AA38" s="9">
        <f>IF('Upto Month Current'!$G$44="",0,'Upto Month Current'!$G$44)</f>
        <v>725</v>
      </c>
      <c r="AB38" s="9">
        <f>IF('Upto Month Current'!$G$51="",0,'Upto Month Current'!$G$51)</f>
        <v>0</v>
      </c>
      <c r="AC38" s="123">
        <f t="shared" si="40"/>
        <v>2220958</v>
      </c>
      <c r="AD38" s="9">
        <f>IF('Upto Month Current'!$G$19="",0,'Upto Month Current'!$G$19)</f>
        <v>806</v>
      </c>
      <c r="AE38" s="9">
        <f>IF('Upto Month Current'!$G$20="",0,'Upto Month Current'!$G$20)</f>
        <v>548</v>
      </c>
      <c r="AF38" s="9">
        <f>IF('Upto Month Current'!$G$22="",0,'Upto Month Current'!$G$22)</f>
        <v>3118</v>
      </c>
      <c r="AG38" s="9">
        <f>IF('Upto Month Current'!$G$23="",0,'Upto Month Current'!$G$23)</f>
        <v>0</v>
      </c>
      <c r="AH38" s="9">
        <f>IF('Upto Month Current'!$G$24="",0,'Upto Month Current'!$G$24)</f>
        <v>0</v>
      </c>
      <c r="AI38" s="9">
        <f>IF('Upto Month Current'!$G$25="",0,'Upto Month Current'!$G$25)</f>
        <v>0</v>
      </c>
      <c r="AJ38" s="9">
        <f>IF('Upto Month Current'!$G$28="",0,'Upto Month Current'!$G$28)</f>
        <v>11250</v>
      </c>
      <c r="AK38" s="9">
        <f>IF('Upto Month Current'!$G$29="",0,'Upto Month Current'!$G$29)</f>
        <v>4056</v>
      </c>
      <c r="AL38" s="9">
        <f>IF('Upto Month Current'!$G$31="",0,'Upto Month Current'!$G$31)</f>
        <v>215850</v>
      </c>
      <c r="AM38" s="9">
        <f>IF('Upto Month Current'!$G$32="",0,'Upto Month Current'!$G$32)</f>
        <v>11892</v>
      </c>
      <c r="AN38" s="9">
        <f>IF('Upto Month Current'!$G$33="",0,'Upto Month Current'!$G$33)</f>
        <v>136579</v>
      </c>
      <c r="AO38" s="9">
        <f>IF('Upto Month Current'!$G$34="",0,'Upto Month Current'!$G$34)</f>
        <v>600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6760</v>
      </c>
      <c r="BC38" s="9">
        <f>IF('Upto Month Current'!$G$54="",0,'Upto Month Current'!$G$54)</f>
        <v>6760</v>
      </c>
      <c r="BD38" s="9">
        <f>IF('Upto Month Current'!$G$55="",0,'Upto Month Current'!$G$55)</f>
        <v>0</v>
      </c>
      <c r="BE38" s="9">
        <f>IF('Upto Month Current'!$G$56="",0,'Upto Month Current'!$G$56)</f>
        <v>8641</v>
      </c>
      <c r="BF38" s="9">
        <f>IF('Upto Month Current'!$G$58="",0,'Upto Month Current'!$G$58)</f>
        <v>0</v>
      </c>
      <c r="BG38" s="124">
        <f t="shared" si="42"/>
        <v>406860</v>
      </c>
      <c r="BH38" s="125">
        <f t="shared" si="43"/>
        <v>2627818</v>
      </c>
      <c r="BI38" s="9">
        <f>IF('Upto Month Current'!$G$60="",0,'Upto Month Current'!$G$60)</f>
        <v>2455</v>
      </c>
      <c r="BJ38" s="126">
        <f t="shared" si="41"/>
        <v>2625363</v>
      </c>
      <c r="BK38">
        <f>'Upto Month Current'!$G$61</f>
        <v>2625360</v>
      </c>
    </row>
    <row r="39" spans="1:63" ht="15.75" x14ac:dyDescent="0.25">
      <c r="A39" s="130"/>
      <c r="B39" s="5" t="s">
        <v>210</v>
      </c>
      <c r="C39" s="128">
        <f t="shared" ref="C39:AH39" si="46">C38/C35</f>
        <v>0.2872412698057929</v>
      </c>
      <c r="D39" s="128">
        <f t="shared" si="46"/>
        <v>0.28012176113626214</v>
      </c>
      <c r="E39" s="128">
        <f t="shared" si="46"/>
        <v>2.0496956893516424E-3</v>
      </c>
      <c r="F39" s="128">
        <f t="shared" si="46"/>
        <v>0.29087958204202763</v>
      </c>
      <c r="G39" s="128">
        <f t="shared" si="46"/>
        <v>0.29596637341513105</v>
      </c>
      <c r="H39" s="128" t="e">
        <f t="shared" si="46"/>
        <v>#DIV/0!</v>
      </c>
      <c r="I39" s="128" t="e">
        <f t="shared" si="46"/>
        <v>#DIV/0!</v>
      </c>
      <c r="J39" s="128">
        <f t="shared" si="46"/>
        <v>0.4194771252089694</v>
      </c>
      <c r="K39" s="128">
        <f t="shared" si="46"/>
        <v>9.2537313432835815E-3</v>
      </c>
      <c r="L39" s="128">
        <f t="shared" si="46"/>
        <v>0.16035687347144023</v>
      </c>
      <c r="M39" s="128">
        <f t="shared" si="46"/>
        <v>0.33298113497521803</v>
      </c>
      <c r="N39" s="128">
        <f t="shared" si="46"/>
        <v>0.13559322033898305</v>
      </c>
      <c r="O39" s="128">
        <f t="shared" si="46"/>
        <v>0.27849502028771672</v>
      </c>
      <c r="P39" s="128">
        <f t="shared" si="46"/>
        <v>0.54605487874302627</v>
      </c>
      <c r="Q39" s="128" t="e">
        <f t="shared" si="46"/>
        <v>#DIV/0!</v>
      </c>
      <c r="R39" s="128">
        <f t="shared" si="46"/>
        <v>0.20012479942948833</v>
      </c>
      <c r="S39" s="128" t="e">
        <f t="shared" si="46"/>
        <v>#DIV/0!</v>
      </c>
      <c r="T39" s="128" t="e">
        <f t="shared" si="46"/>
        <v>#DIV/0!</v>
      </c>
      <c r="U39" s="128" t="e">
        <f t="shared" si="46"/>
        <v>#DIV/0!</v>
      </c>
      <c r="V39" s="128" t="e">
        <f t="shared" si="46"/>
        <v>#DIV/0!</v>
      </c>
      <c r="W39" s="128" t="e">
        <f t="shared" si="46"/>
        <v>#DIV/0!</v>
      </c>
      <c r="X39" s="128" t="e">
        <f t="shared" si="46"/>
        <v>#DIV/0!</v>
      </c>
      <c r="Y39" s="128">
        <f t="shared" si="46"/>
        <v>9.0754189944134076</v>
      </c>
      <c r="Z39" s="128">
        <f t="shared" si="46"/>
        <v>8.6595744680851059</v>
      </c>
      <c r="AA39" s="128">
        <f t="shared" si="46"/>
        <v>1.663798049340218E-2</v>
      </c>
      <c r="AB39" s="128" t="e">
        <f t="shared" si="46"/>
        <v>#DIV/0!</v>
      </c>
      <c r="AC39" s="128">
        <f t="shared" si="46"/>
        <v>0.29093546625418809</v>
      </c>
      <c r="AD39" s="128">
        <f t="shared" si="46"/>
        <v>0.3389402859545837</v>
      </c>
      <c r="AE39" s="128">
        <f t="shared" si="46"/>
        <v>21.076923076923077</v>
      </c>
      <c r="AF39" s="128">
        <f t="shared" si="46"/>
        <v>0.54981484746958209</v>
      </c>
      <c r="AG39" s="128" t="e">
        <f t="shared" si="46"/>
        <v>#DIV/0!</v>
      </c>
      <c r="AH39" s="128" t="e">
        <f t="shared" si="46"/>
        <v>#DIV/0!</v>
      </c>
      <c r="AI39" s="128">
        <f t="shared" ref="AI39:BJ39" si="47">AI38/AI35</f>
        <v>0</v>
      </c>
      <c r="AJ39" s="128">
        <f t="shared" si="47"/>
        <v>0.11996928786230725</v>
      </c>
      <c r="AK39" s="128">
        <f t="shared" si="47"/>
        <v>3.4825614342383182E-2</v>
      </c>
      <c r="AL39" s="128">
        <f t="shared" si="47"/>
        <v>0.38841992179416351</v>
      </c>
      <c r="AM39" s="128">
        <f t="shared" si="47"/>
        <v>0.15832146233008934</v>
      </c>
      <c r="AN39" s="128">
        <f t="shared" si="47"/>
        <v>0.34814493824957621</v>
      </c>
      <c r="AO39" s="128">
        <f t="shared" si="47"/>
        <v>-1.6413623307345096E-2</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2.5</v>
      </c>
      <c r="BC39" s="128">
        <f t="shared" si="47"/>
        <v>2.4953857511997048</v>
      </c>
      <c r="BD39" s="128" t="e">
        <f t="shared" si="47"/>
        <v>#DIV/0!</v>
      </c>
      <c r="BE39" s="128">
        <f t="shared" si="47"/>
        <v>19.505643340857787</v>
      </c>
      <c r="BF39" s="128">
        <f t="shared" si="47"/>
        <v>0</v>
      </c>
      <c r="BG39" s="128">
        <f t="shared" si="47"/>
        <v>0.33577895336265878</v>
      </c>
      <c r="BH39" s="128">
        <f t="shared" si="47"/>
        <v>0.29707826802227244</v>
      </c>
      <c r="BI39" s="128">
        <f t="shared" si="47"/>
        <v>7.0225120855859718E-2</v>
      </c>
      <c r="BJ39" s="128">
        <f t="shared" si="47"/>
        <v>0.29797838553684647</v>
      </c>
    </row>
    <row r="40" spans="1:63" ht="15.75" x14ac:dyDescent="0.2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x14ac:dyDescent="0.25">
      <c r="A41" s="15" t="s">
        <v>141</v>
      </c>
      <c r="B41" s="11" t="s">
        <v>214</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x14ac:dyDescent="0.25">
      <c r="A42" s="130" t="s">
        <v>141</v>
      </c>
      <c r="B42" s="5" t="s">
        <v>211</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x14ac:dyDescent="0.2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x14ac:dyDescent="0.25">
      <c r="A44" s="130"/>
      <c r="B44" s="12" t="s">
        <v>212</v>
      </c>
      <c r="C44" s="9">
        <f>IF('Upto Month Current'!$H$4="",0,'Upto Month Current'!$H$4)</f>
        <v>1401642</v>
      </c>
      <c r="D44" s="9">
        <f>IF('Upto Month Current'!$H$5="",0,'Upto Month Current'!$H$5)</f>
        <v>252225</v>
      </c>
      <c r="E44" s="9">
        <f>IF('Upto Month Current'!$H$6="",0,'Upto Month Current'!$H$6)</f>
        <v>124</v>
      </c>
      <c r="F44" s="9">
        <f>IF('Upto Month Current'!$H$7="",0,'Upto Month Current'!$H$7)</f>
        <v>158749</v>
      </c>
      <c r="G44" s="9">
        <f>IF('Upto Month Current'!$H$8="",0,'Upto Month Current'!$H$8)</f>
        <v>77321</v>
      </c>
      <c r="H44" s="9">
        <f>IF('Upto Month Current'!$H$9="",0,'Upto Month Current'!$H$9)</f>
        <v>0</v>
      </c>
      <c r="I44" s="9">
        <f>IF('Upto Month Current'!$H$10="",0,'Upto Month Current'!$H$10)</f>
        <v>0</v>
      </c>
      <c r="J44" s="9">
        <f>IF('Upto Month Current'!$H$11="",0,'Upto Month Current'!$H$11)</f>
        <v>158534</v>
      </c>
      <c r="K44" s="9">
        <f>IF('Upto Month Current'!$H$12="",0,'Upto Month Current'!$H$12)</f>
        <v>1793</v>
      </c>
      <c r="L44" s="9">
        <f>IF('Upto Month Current'!$H$13="",0,'Upto Month Current'!$H$13)</f>
        <v>38972</v>
      </c>
      <c r="M44" s="9">
        <f>IF('Upto Month Current'!$H$14="",0,'Upto Month Current'!$H$14)</f>
        <v>42177</v>
      </c>
      <c r="N44" s="9">
        <f>IF('Upto Month Current'!$H$15="",0,'Upto Month Current'!$H$15)</f>
        <v>113</v>
      </c>
      <c r="O44" s="9">
        <f>IF('Upto Month Current'!$H$16="",0,'Upto Month Current'!$H$16)</f>
        <v>3333</v>
      </c>
      <c r="P44" s="9">
        <f>IF('Upto Month Current'!$H$17="",0,'Upto Month Current'!$H$17)</f>
        <v>67872</v>
      </c>
      <c r="Q44" s="9">
        <f>IF('Upto Month Current'!$H$18="",0,'Upto Month Current'!$H$18)</f>
        <v>0</v>
      </c>
      <c r="R44" s="9">
        <f>IF('Upto Month Current'!$H$21="",0,'Upto Month Current'!$H$21)</f>
        <v>1652</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3281</v>
      </c>
      <c r="Z44" s="9">
        <f>IF('Upto Month Current'!$H$43="",0,'Upto Month Current'!$H$43)</f>
        <v>440</v>
      </c>
      <c r="AA44" s="9">
        <f>IF('Upto Month Current'!$H$44="",0,'Upto Month Current'!$H$44)</f>
        <v>1242</v>
      </c>
      <c r="AB44" s="9">
        <f>IF('Upto Month Current'!$H$51="",0,'Upto Month Current'!$H$51)</f>
        <v>0</v>
      </c>
      <c r="AC44" s="123">
        <f t="shared" si="48"/>
        <v>2209470</v>
      </c>
      <c r="AD44" s="9">
        <f>IF('Upto Month Current'!$H$19="",0,'Upto Month Current'!$H$19)</f>
        <v>2696</v>
      </c>
      <c r="AE44" s="9">
        <f>IF('Upto Month Current'!$H$20="",0,'Upto Month Current'!$H$20)</f>
        <v>658</v>
      </c>
      <c r="AF44" s="9">
        <f>IF('Upto Month Current'!$H$22="",0,'Upto Month Current'!$H$22)</f>
        <v>4828</v>
      </c>
      <c r="AG44" s="9">
        <f>IF('Upto Month Current'!$H$23="",0,'Upto Month Current'!$H$23)</f>
        <v>0</v>
      </c>
      <c r="AH44" s="9">
        <f>IF('Upto Month Current'!$H$24="",0,'Upto Month Current'!$H$24)</f>
        <v>0</v>
      </c>
      <c r="AI44" s="9">
        <f>IF('Upto Month Current'!$H$25="",0,'Upto Month Current'!$H$25)</f>
        <v>3500</v>
      </c>
      <c r="AJ44" s="9">
        <f>IF('Upto Month Current'!$H$28="",0,'Upto Month Current'!$H$28)</f>
        <v>7298</v>
      </c>
      <c r="AK44" s="9">
        <f>IF('Upto Month Current'!$H$29="",0,'Upto Month Current'!$H$29)</f>
        <v>4544</v>
      </c>
      <c r="AL44" s="9">
        <f>IF('Upto Month Current'!$H$31="",0,'Upto Month Current'!$H$31)</f>
        <v>0</v>
      </c>
      <c r="AM44" s="9">
        <f>IF('Upto Month Current'!$H$32="",0,'Upto Month Current'!$H$32)</f>
        <v>0</v>
      </c>
      <c r="AN44" s="9">
        <f>IF('Upto Month Current'!$H$33="",0,'Upto Month Current'!$H$33)</f>
        <v>78038</v>
      </c>
      <c r="AO44" s="9">
        <f>IF('Upto Month Current'!$H$34="",0,'Upto Month Current'!$H$34)</f>
        <v>5130525</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978</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4456</v>
      </c>
      <c r="BC44" s="9">
        <f>IF('Upto Month Current'!$H$54="",0,'Upto Month Current'!$H$54)</f>
        <v>4456</v>
      </c>
      <c r="BD44" s="9">
        <f>IF('Upto Month Current'!$H$55="",0,'Upto Month Current'!$H$55)</f>
        <v>0</v>
      </c>
      <c r="BE44" s="9">
        <f>IF('Upto Month Current'!$H$56="",0,'Upto Month Current'!$H$56)</f>
        <v>2554</v>
      </c>
      <c r="BF44" s="9">
        <f>IF('Upto Month Current'!$H$58="",0,'Upto Month Current'!$H$58)</f>
        <v>2090</v>
      </c>
      <c r="BG44" s="124">
        <f t="shared" si="50"/>
        <v>5246621</v>
      </c>
      <c r="BH44" s="125">
        <f t="shared" si="51"/>
        <v>7456091</v>
      </c>
      <c r="BI44" s="9">
        <f>IF('Upto Month Current'!$H$60="",0,'Upto Month Current'!$H$60)</f>
        <v>0</v>
      </c>
      <c r="BJ44" s="126">
        <f t="shared" si="49"/>
        <v>7456091</v>
      </c>
      <c r="BK44">
        <f>'Upto Month Current'!$H$61</f>
        <v>7456092</v>
      </c>
    </row>
    <row r="45" spans="1:63" ht="15.75" x14ac:dyDescent="0.25">
      <c r="A45" s="130"/>
      <c r="B45" s="5" t="s">
        <v>210</v>
      </c>
      <c r="C45" s="128">
        <f t="shared" ref="C45:AH45" si="54">C44/C41</f>
        <v>0.24134608397751775</v>
      </c>
      <c r="D45" s="128">
        <f t="shared" si="54"/>
        <v>0.25154432106719216</v>
      </c>
      <c r="E45" s="128">
        <f t="shared" si="54"/>
        <v>5.7200584922110337E-4</v>
      </c>
      <c r="F45" s="128">
        <f t="shared" si="54"/>
        <v>0.2544915027357007</v>
      </c>
      <c r="G45" s="128">
        <f t="shared" si="54"/>
        <v>0.24679855472141363</v>
      </c>
      <c r="H45" s="128" t="e">
        <f t="shared" si="54"/>
        <v>#DIV/0!</v>
      </c>
      <c r="I45" s="128" t="e">
        <f t="shared" si="54"/>
        <v>#DIV/0!</v>
      </c>
      <c r="J45" s="128">
        <f t="shared" si="54"/>
        <v>0.45346346039982038</v>
      </c>
      <c r="K45" s="128">
        <f t="shared" si="54"/>
        <v>2.1109266650184248E-2</v>
      </c>
      <c r="L45" s="128">
        <f t="shared" si="54"/>
        <v>0.21268049901223518</v>
      </c>
      <c r="M45" s="128">
        <f t="shared" si="54"/>
        <v>0.26424539354563853</v>
      </c>
      <c r="N45" s="128">
        <f t="shared" si="54"/>
        <v>0.11483739837398374</v>
      </c>
      <c r="O45" s="128">
        <f t="shared" si="54"/>
        <v>0.18006482982171798</v>
      </c>
      <c r="P45" s="128">
        <f t="shared" si="54"/>
        <v>0.49534736058502837</v>
      </c>
      <c r="Q45" s="128" t="e">
        <f t="shared" si="54"/>
        <v>#DIV/0!</v>
      </c>
      <c r="R45" s="128">
        <f t="shared" si="54"/>
        <v>0.2518676627534685</v>
      </c>
      <c r="S45" s="128" t="e">
        <f t="shared" si="54"/>
        <v>#DIV/0!</v>
      </c>
      <c r="T45" s="128" t="e">
        <f t="shared" si="54"/>
        <v>#DIV/0!</v>
      </c>
      <c r="U45" s="128" t="e">
        <f t="shared" si="54"/>
        <v>#DIV/0!</v>
      </c>
      <c r="V45" s="128" t="e">
        <f t="shared" si="54"/>
        <v>#DIV/0!</v>
      </c>
      <c r="W45" s="128" t="e">
        <f t="shared" si="54"/>
        <v>#DIV/0!</v>
      </c>
      <c r="X45" s="128" t="e">
        <f t="shared" si="54"/>
        <v>#DIV/0!</v>
      </c>
      <c r="Y45" s="128">
        <f t="shared" si="54"/>
        <v>0.7674853801169591</v>
      </c>
      <c r="Z45" s="128">
        <f t="shared" si="54"/>
        <v>0.68857589984350542</v>
      </c>
      <c r="AA45" s="128">
        <f t="shared" si="54"/>
        <v>1.9840255591054312</v>
      </c>
      <c r="AB45" s="128" t="e">
        <f t="shared" si="54"/>
        <v>#DIV/0!</v>
      </c>
      <c r="AC45" s="128">
        <f t="shared" si="54"/>
        <v>0.24797122664204466</v>
      </c>
      <c r="AD45" s="128">
        <f t="shared" si="54"/>
        <v>0.27301265822784809</v>
      </c>
      <c r="AE45" s="128">
        <f t="shared" si="54"/>
        <v>1.709090909090909</v>
      </c>
      <c r="AF45" s="128">
        <f t="shared" si="54"/>
        <v>0.67780429594272074</v>
      </c>
      <c r="AG45" s="128" t="e">
        <f t="shared" si="54"/>
        <v>#DIV/0!</v>
      </c>
      <c r="AH45" s="128" t="e">
        <f t="shared" si="54"/>
        <v>#DIV/0!</v>
      </c>
      <c r="AI45" s="128">
        <f t="shared" ref="AI45:BJ45" si="55">AI44/AI41</f>
        <v>0.34073208722741433</v>
      </c>
      <c r="AJ45" s="128">
        <f t="shared" si="55"/>
        <v>0.67467874641767589</v>
      </c>
      <c r="AK45" s="128">
        <f t="shared" si="55"/>
        <v>0.15820074504752288</v>
      </c>
      <c r="AL45" s="128" t="e">
        <f t="shared" si="55"/>
        <v>#DIV/0!</v>
      </c>
      <c r="AM45" s="128">
        <f t="shared" si="55"/>
        <v>0</v>
      </c>
      <c r="AN45" s="128">
        <f t="shared" si="55"/>
        <v>0.27416867215908092</v>
      </c>
      <c r="AO45" s="128">
        <f t="shared" si="55"/>
        <v>0.30527547727287063</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0.98192771084337349</v>
      </c>
      <c r="AX45" s="128">
        <f t="shared" si="55"/>
        <v>0</v>
      </c>
      <c r="AY45" s="128" t="e">
        <f t="shared" si="55"/>
        <v>#DIV/0!</v>
      </c>
      <c r="AZ45" s="128" t="e">
        <f t="shared" si="55"/>
        <v>#DIV/0!</v>
      </c>
      <c r="BA45" s="128" t="e">
        <f t="shared" si="55"/>
        <v>#DIV/0!</v>
      </c>
      <c r="BB45" s="128">
        <f t="shared" si="55"/>
        <v>1.1604166666666667</v>
      </c>
      <c r="BC45" s="128">
        <f t="shared" si="55"/>
        <v>1.1604166666666667</v>
      </c>
      <c r="BD45" s="128" t="e">
        <f t="shared" si="55"/>
        <v>#DIV/0!</v>
      </c>
      <c r="BE45" s="128">
        <f t="shared" si="55"/>
        <v>0.25858054064999492</v>
      </c>
      <c r="BF45" s="128">
        <f t="shared" si="55"/>
        <v>0.75125808770668578</v>
      </c>
      <c r="BG45" s="128">
        <f t="shared" si="55"/>
        <v>0.30539634805265353</v>
      </c>
      <c r="BH45" s="128">
        <f t="shared" si="55"/>
        <v>0.28578459754806246</v>
      </c>
      <c r="BI45" s="128" t="e">
        <f t="shared" si="55"/>
        <v>#DIV/0!</v>
      </c>
      <c r="BJ45" s="128">
        <f t="shared" si="55"/>
        <v>0.28578459754806246</v>
      </c>
    </row>
    <row r="46" spans="1:63" ht="15.75" x14ac:dyDescent="0.2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x14ac:dyDescent="0.25">
      <c r="A47" s="15" t="s">
        <v>34</v>
      </c>
      <c r="B47" s="11" t="s">
        <v>214</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x14ac:dyDescent="0.25">
      <c r="A48" s="130" t="s">
        <v>34</v>
      </c>
      <c r="B48" s="5" t="s">
        <v>211</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x14ac:dyDescent="0.2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x14ac:dyDescent="0.25">
      <c r="A50" s="130"/>
      <c r="B50" s="12" t="s">
        <v>212</v>
      </c>
      <c r="C50" s="9">
        <f>IF('Upto Month Current'!$I$4="",0,'Upto Month Current'!$I$4)</f>
        <v>3570</v>
      </c>
      <c r="D50" s="9">
        <f>IF('Upto Month Current'!$I$5="",0,'Upto Month Current'!$I$5)</f>
        <v>607</v>
      </c>
      <c r="E50" s="9">
        <f>IF('Upto Month Current'!$I$6="",0,'Upto Month Current'!$I$6)</f>
        <v>0</v>
      </c>
      <c r="F50" s="9">
        <f>IF('Upto Month Current'!$I$7="",0,'Upto Month Current'!$I$7)</f>
        <v>387</v>
      </c>
      <c r="G50" s="9">
        <f>IF('Upto Month Current'!$I$8="",0,'Upto Month Current'!$I$8)</f>
        <v>161</v>
      </c>
      <c r="H50" s="9">
        <f>IF('Upto Month Current'!$I$9="",0,'Upto Month Current'!$I$9)</f>
        <v>0</v>
      </c>
      <c r="I50" s="9">
        <f>IF('Upto Month Current'!$I$10="",0,'Upto Month Current'!$I$10)</f>
        <v>0</v>
      </c>
      <c r="J50" s="9">
        <f>IF('Upto Month Current'!$I$11="",0,'Upto Month Current'!$I$11)</f>
        <v>102</v>
      </c>
      <c r="K50" s="9">
        <f>IF('Upto Month Current'!$I$12="",0,'Upto Month Current'!$I$12)</f>
        <v>0</v>
      </c>
      <c r="L50" s="9">
        <f>IF('Upto Month Current'!$I$13="",0,'Upto Month Current'!$I$13)</f>
        <v>81</v>
      </c>
      <c r="M50" s="9">
        <f>IF('Upto Month Current'!$I$14="",0,'Upto Month Current'!$I$14)</f>
        <v>42</v>
      </c>
      <c r="N50" s="9">
        <f>IF('Upto Month Current'!$I$15="",0,'Upto Month Current'!$I$15)</f>
        <v>0</v>
      </c>
      <c r="O50" s="9">
        <f>IF('Upto Month Current'!$I$16="",0,'Upto Month Current'!$I$16)</f>
        <v>0</v>
      </c>
      <c r="P50" s="9">
        <f>IF('Upto Month Current'!$I$17="",0,'Upto Month Current'!$I$17)</f>
        <v>17</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3">
        <f t="shared" si="56"/>
        <v>4967</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102555</v>
      </c>
      <c r="AK50" s="9">
        <f>IF('Upto Month Current'!$I$29="",0,'Upto Month Current'!$I$29)</f>
        <v>0</v>
      </c>
      <c r="AL50" s="9">
        <f>IF('Upto Month Current'!$I$31="",0,'Upto Month Current'!$I$31)</f>
        <v>2139167</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623631</v>
      </c>
      <c r="AR50" s="9">
        <v>0</v>
      </c>
      <c r="AS50" s="9">
        <f>IF('Upto Month Current'!$I$38="",0,'Upto Month Current'!$I$38)</f>
        <v>0</v>
      </c>
      <c r="AT50" s="9">
        <f>IF('Upto Month Current'!$I$41="",0,'Upto Month Current'!$I$41)</f>
        <v>262127</v>
      </c>
      <c r="AU50" s="9">
        <v>0</v>
      </c>
      <c r="AV50" s="9">
        <f>IF('Upto Month Current'!$I$45="",0,'Upto Month Current'!$I$45)</f>
        <v>0</v>
      </c>
      <c r="AW50" s="9">
        <f>IF('Upto Month Current'!$I$46="",0,'Upto Month Current'!$I$46)</f>
        <v>0</v>
      </c>
      <c r="AX50" s="9">
        <f>IF('Upto Month Current'!$I$47="",0,'Upto Month Current'!$I$47)</f>
        <v>0</v>
      </c>
      <c r="AY50" s="9">
        <f>IF('Upto Month Current'!$I$49="",0,'Upto Month Current'!$I$49)</f>
        <v>308272</v>
      </c>
      <c r="AZ50" s="9">
        <f>IF('Upto Month Current'!$I$50="",0,'Upto Month Current'!$I$50)</f>
        <v>344769</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60064</v>
      </c>
      <c r="BG50" s="124">
        <f t="shared" si="58"/>
        <v>3840586</v>
      </c>
      <c r="BH50" s="125">
        <f t="shared" si="59"/>
        <v>3845553</v>
      </c>
      <c r="BI50" s="9">
        <f>IF('Upto Month Current'!$I$60="",0,'Upto Month Current'!$I$60)-'Upto Month Current'!I57</f>
        <v>8733</v>
      </c>
      <c r="BJ50" s="126">
        <f t="shared" si="57"/>
        <v>3836820</v>
      </c>
      <c r="BK50" s="101">
        <f>'Upto Month Current'!$I$61</f>
        <v>3836822</v>
      </c>
    </row>
    <row r="51" spans="1:64" ht="15.75" x14ac:dyDescent="0.25">
      <c r="A51" s="130"/>
      <c r="B51" s="5" t="s">
        <v>210</v>
      </c>
      <c r="C51" s="128">
        <f t="shared" ref="C51:AH51" si="62">C50/C47</f>
        <v>0.24152628374264259</v>
      </c>
      <c r="D51" s="128">
        <f t="shared" si="62"/>
        <v>0.23748043818466355</v>
      </c>
      <c r="E51" s="128">
        <f t="shared" si="62"/>
        <v>0</v>
      </c>
      <c r="F51" s="128">
        <f t="shared" si="62"/>
        <v>0.21839729119638826</v>
      </c>
      <c r="G51" s="128">
        <f t="shared" si="62"/>
        <v>0.25434439178515006</v>
      </c>
      <c r="H51" s="128" t="e">
        <f t="shared" si="62"/>
        <v>#DIV/0!</v>
      </c>
      <c r="I51" s="128" t="e">
        <f t="shared" si="62"/>
        <v>#DIV/0!</v>
      </c>
      <c r="J51" s="128">
        <f t="shared" si="62"/>
        <v>0.22869955156950672</v>
      </c>
      <c r="K51" s="128" t="e">
        <f t="shared" si="62"/>
        <v>#DIV/0!</v>
      </c>
      <c r="L51" s="128">
        <f t="shared" si="62"/>
        <v>0.20403022670025189</v>
      </c>
      <c r="M51" s="128">
        <f t="shared" si="62"/>
        <v>0.35294117647058826</v>
      </c>
      <c r="N51" s="128" t="e">
        <f t="shared" si="62"/>
        <v>#DIV/0!</v>
      </c>
      <c r="O51" s="128" t="e">
        <f t="shared" si="62"/>
        <v>#DIV/0!</v>
      </c>
      <c r="P51" s="128">
        <f t="shared" si="62"/>
        <v>0.15596330275229359</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0.23176706639914144</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0.52951837088746156</v>
      </c>
      <c r="AK51" s="128">
        <f t="shared" si="63"/>
        <v>0</v>
      </c>
      <c r="AL51" s="128">
        <f t="shared" si="63"/>
        <v>0.33878670298691838</v>
      </c>
      <c r="AM51" s="128" t="e">
        <f t="shared" si="63"/>
        <v>#DIV/0!</v>
      </c>
      <c r="AN51" s="128" t="e">
        <f t="shared" si="63"/>
        <v>#DIV/0!</v>
      </c>
      <c r="AO51" s="128" t="e">
        <f t="shared" si="63"/>
        <v>#DIV/0!</v>
      </c>
      <c r="AP51" s="128" t="e">
        <f t="shared" si="63"/>
        <v>#DIV/0!</v>
      </c>
      <c r="AQ51" s="128">
        <f t="shared" si="63"/>
        <v>0.68637531284875619</v>
      </c>
      <c r="AR51" s="128" t="e">
        <f t="shared" si="63"/>
        <v>#DIV/0!</v>
      </c>
      <c r="AS51" s="128" t="e">
        <f t="shared" si="63"/>
        <v>#DIV/0!</v>
      </c>
      <c r="AT51" s="128">
        <f t="shared" si="63"/>
        <v>0.45850766841118357</v>
      </c>
      <c r="AU51" s="128" t="e">
        <f t="shared" si="63"/>
        <v>#DIV/0!</v>
      </c>
      <c r="AV51" s="128" t="e">
        <f t="shared" si="63"/>
        <v>#DIV/0!</v>
      </c>
      <c r="AW51" s="128" t="e">
        <f t="shared" si="63"/>
        <v>#DIV/0!</v>
      </c>
      <c r="AX51" s="128" t="e">
        <f t="shared" si="63"/>
        <v>#DIV/0!</v>
      </c>
      <c r="AY51" s="128">
        <f t="shared" si="63"/>
        <v>2.1145514658472009</v>
      </c>
      <c r="AZ51" s="128">
        <f t="shared" si="63"/>
        <v>0.34902925103817195</v>
      </c>
      <c r="BA51" s="128" t="e">
        <f t="shared" si="63"/>
        <v>#DIV/0!</v>
      </c>
      <c r="BB51" s="128" t="e">
        <f t="shared" si="63"/>
        <v>#DIV/0!</v>
      </c>
      <c r="BC51" s="128" t="e">
        <f t="shared" si="63"/>
        <v>#DIV/0!</v>
      </c>
      <c r="BD51" s="128" t="e">
        <f t="shared" si="63"/>
        <v>#DIV/0!</v>
      </c>
      <c r="BE51" s="128" t="e">
        <f t="shared" si="63"/>
        <v>#DIV/0!</v>
      </c>
      <c r="BF51" s="128">
        <f t="shared" si="63"/>
        <v>0.6971378165695582</v>
      </c>
      <c r="BG51" s="128">
        <f t="shared" si="63"/>
        <v>0.4166398351052289</v>
      </c>
      <c r="BH51" s="128">
        <f t="shared" si="63"/>
        <v>0.41621101992103193</v>
      </c>
      <c r="BI51" s="128">
        <f t="shared" si="63"/>
        <v>1.4428724611772636E-2</v>
      </c>
      <c r="BJ51" s="128">
        <f t="shared" si="63"/>
        <v>0.44437572531496911</v>
      </c>
    </row>
    <row r="52" spans="1:64" ht="15.75" x14ac:dyDescent="0.2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x14ac:dyDescent="0.25">
      <c r="A53" s="15" t="s">
        <v>142</v>
      </c>
      <c r="B53" s="11" t="s">
        <v>214</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x14ac:dyDescent="0.25">
      <c r="A54" s="130" t="s">
        <v>142</v>
      </c>
      <c r="B54" s="5" t="s">
        <v>211</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x14ac:dyDescent="0.2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x14ac:dyDescent="0.25">
      <c r="A56" s="130"/>
      <c r="B56" s="12" t="s">
        <v>212</v>
      </c>
      <c r="C56" s="9">
        <f>IF('Upto Month Current'!$J$4="",0,'Upto Month Current'!$J$4)</f>
        <v>209321</v>
      </c>
      <c r="D56" s="9">
        <f>IF('Upto Month Current'!$J$5="",0,'Upto Month Current'!$J$5)</f>
        <v>35427</v>
      </c>
      <c r="E56" s="9">
        <f>IF('Upto Month Current'!$J$6="",0,'Upto Month Current'!$J$6)</f>
        <v>11</v>
      </c>
      <c r="F56" s="9">
        <f>IF('Upto Month Current'!$J$7="",0,'Upto Month Current'!$J$7)</f>
        <v>17606</v>
      </c>
      <c r="G56" s="9">
        <f>IF('Upto Month Current'!$J$8="",0,'Upto Month Current'!$J$8)</f>
        <v>12269</v>
      </c>
      <c r="H56" s="9">
        <f>IF('Upto Month Current'!$J$9="",0,'Upto Month Current'!$J$9)</f>
        <v>0</v>
      </c>
      <c r="I56" s="9">
        <f>IF('Upto Month Current'!$J$10="",0,'Upto Month Current'!$J$10)</f>
        <v>0</v>
      </c>
      <c r="J56" s="9">
        <f>IF('Upto Month Current'!$J$11="",0,'Upto Month Current'!$J$11)</f>
        <v>0</v>
      </c>
      <c r="K56" s="9">
        <f>IF('Upto Month Current'!$J$12="",0,'Upto Month Current'!$J$12)</f>
        <v>952</v>
      </c>
      <c r="L56" s="9">
        <f>IF('Upto Month Current'!$J$13="",0,'Upto Month Current'!$J$13)</f>
        <v>491</v>
      </c>
      <c r="M56" s="9">
        <f>IF('Upto Month Current'!$J$14="",0,'Upto Month Current'!$J$14)</f>
        <v>16899</v>
      </c>
      <c r="N56" s="9">
        <f>IF('Upto Month Current'!$J$15="",0,'Upto Month Current'!$J$15)</f>
        <v>2386</v>
      </c>
      <c r="O56" s="9">
        <f>IF('Upto Month Current'!$J$16="",0,'Upto Month Current'!$J$16)</f>
        <v>142</v>
      </c>
      <c r="P56" s="9">
        <f>IF('Upto Month Current'!$J$17="",0,'Upto Month Current'!$J$17)</f>
        <v>3142</v>
      </c>
      <c r="Q56" s="9">
        <f>IF('Upto Month Current'!$J$18="",0,'Upto Month Current'!$J$18)</f>
        <v>0</v>
      </c>
      <c r="R56" s="9">
        <f>IF('Upto Month Current'!$J$21="",0,'Upto Month Current'!$J$21)</f>
        <v>428</v>
      </c>
      <c r="S56" s="9">
        <f>IF('Upto Month Current'!$J$26="",0,'Upto Month Current'!$J$26)</f>
        <v>387757</v>
      </c>
      <c r="T56" s="9">
        <f>IF('Upto Month Current'!$J$27="",0,'Upto Month Current'!$J$27)</f>
        <v>266402</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1352</v>
      </c>
      <c r="Z56" s="9">
        <f>IF('Upto Month Current'!$J$43="",0,'Upto Month Current'!$J$43)</f>
        <v>137</v>
      </c>
      <c r="AA56" s="9">
        <f>IF('Upto Month Current'!$J$44="",0,'Upto Month Current'!$J$44)</f>
        <v>135</v>
      </c>
      <c r="AB56" s="9">
        <f>IF('Upto Month Current'!$J$51="",0,'Upto Month Current'!$J$51)</f>
        <v>0</v>
      </c>
      <c r="AC56" s="123">
        <f t="shared" si="64"/>
        <v>954857</v>
      </c>
      <c r="AD56" s="9">
        <f>IF('Upto Month Current'!$J$19="",0,'Upto Month Current'!$J$19)</f>
        <v>438</v>
      </c>
      <c r="AE56" s="9">
        <f>IF('Upto Month Current'!$J$20="",0,'Upto Month Current'!$J$20)</f>
        <v>65</v>
      </c>
      <c r="AF56" s="9">
        <f>IF('Upto Month Current'!$J$22="",0,'Upto Month Current'!$J$22)</f>
        <v>1458</v>
      </c>
      <c r="AG56" s="9">
        <f>IF('Upto Month Current'!$J$23="",0,'Upto Month Current'!$J$23)</f>
        <v>0</v>
      </c>
      <c r="AH56" s="9">
        <f>IF('Upto Month Current'!$J$24="",0,'Upto Month Current'!$J$24)</f>
        <v>0</v>
      </c>
      <c r="AI56" s="9">
        <f>IF('Upto Month Current'!$J$25="",0,'Upto Month Current'!$J$25)</f>
        <v>117</v>
      </c>
      <c r="AJ56" s="9">
        <f>IF('Upto Month Current'!$J$28="",0,'Upto Month Current'!$J$28)</f>
        <v>654</v>
      </c>
      <c r="AK56" s="9">
        <f>IF('Upto Month Current'!$J$29="",0,'Upto Month Current'!$J$29)</f>
        <v>71546</v>
      </c>
      <c r="AL56" s="9">
        <f>IF('Upto Month Current'!$J$31="",0,'Upto Month Current'!$J$31)</f>
        <v>21663</v>
      </c>
      <c r="AM56" s="9">
        <f>IF('Upto Month Current'!$J$32="",0,'Upto Month Current'!$J$32)</f>
        <v>2</v>
      </c>
      <c r="AN56" s="9">
        <f>IF('Upto Month Current'!$J$33="",0,'Upto Month Current'!$J$33)</f>
        <v>88946</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26</v>
      </c>
      <c r="AW56" s="9">
        <f>IF('Upto Month Current'!$J$46="",0,'Upto Month Current'!$J$46)</f>
        <v>88</v>
      </c>
      <c r="AX56" s="9">
        <f>IF('Upto Month Current'!$J$47="",0,'Upto Month Current'!$J$47)</f>
        <v>209</v>
      </c>
      <c r="AY56" s="9">
        <f>IF('Upto Month Current'!$J$49="",0,'Upto Month Current'!$J$49)</f>
        <v>0</v>
      </c>
      <c r="AZ56" s="9">
        <f>IF('Upto Month Current'!$J$50="",0,'Upto Month Current'!$J$50)</f>
        <v>0</v>
      </c>
      <c r="BA56" s="9">
        <f>IF('Upto Month Current'!$J$52="",0,'Upto Month Current'!$J$52)</f>
        <v>0</v>
      </c>
      <c r="BB56" s="9">
        <f>IF('Upto Month Current'!$J$53="",0,'Upto Month Current'!$J$53)</f>
        <v>8533</v>
      </c>
      <c r="BC56" s="9">
        <f>IF('Upto Month Current'!$J$54="",0,'Upto Month Current'!$J$54)</f>
        <v>8533</v>
      </c>
      <c r="BD56" s="9">
        <f>IF('Upto Month Current'!$J$55="",0,'Upto Month Current'!$J$55)</f>
        <v>0</v>
      </c>
      <c r="BE56" s="9">
        <f>IF('Upto Month Current'!$J$56="",0,'Upto Month Current'!$J$56)</f>
        <v>678</v>
      </c>
      <c r="BF56" s="9">
        <f>IF('Upto Month Current'!$J$58="",0,'Upto Month Current'!$J$58)</f>
        <v>-61591</v>
      </c>
      <c r="BG56" s="124">
        <f t="shared" si="66"/>
        <v>141365</v>
      </c>
      <c r="BH56" s="125">
        <f t="shared" si="67"/>
        <v>1096222</v>
      </c>
      <c r="BI56" s="9">
        <f>IF('Upto Month Current'!$J$60="",0,'Upto Month Current'!$J$60)</f>
        <v>0</v>
      </c>
      <c r="BJ56" s="126">
        <f t="shared" si="65"/>
        <v>1096222</v>
      </c>
      <c r="BK56">
        <f>'Upto Month Current'!$J$61</f>
        <v>1096298</v>
      </c>
      <c r="BL56" s="30"/>
    </row>
    <row r="57" spans="1:64" ht="15.75" x14ac:dyDescent="0.25">
      <c r="A57" s="130"/>
      <c r="B57" s="5" t="s">
        <v>210</v>
      </c>
      <c r="C57" s="128">
        <f t="shared" ref="C57:AH57" si="69">C56/C53</f>
        <v>0.23694955507081172</v>
      </c>
      <c r="D57" s="128">
        <f t="shared" si="69"/>
        <v>0.24785565365833181</v>
      </c>
      <c r="E57" s="128">
        <f t="shared" si="69"/>
        <v>2.8912369237239132E-4</v>
      </c>
      <c r="F57" s="128">
        <f t="shared" si="69"/>
        <v>0.25469801084990956</v>
      </c>
      <c r="G57" s="128">
        <f t="shared" si="69"/>
        <v>0.19329783211494833</v>
      </c>
      <c r="H57" s="128" t="e">
        <f t="shared" si="69"/>
        <v>#DIV/0!</v>
      </c>
      <c r="I57" s="128" t="e">
        <f t="shared" si="69"/>
        <v>#DIV/0!</v>
      </c>
      <c r="J57" s="128" t="e">
        <f t="shared" si="69"/>
        <v>#DIV/0!</v>
      </c>
      <c r="K57" s="128">
        <f t="shared" si="69"/>
        <v>6.8</v>
      </c>
      <c r="L57" s="128">
        <f t="shared" si="69"/>
        <v>0.33288135593220342</v>
      </c>
      <c r="M57" s="128">
        <f t="shared" si="69"/>
        <v>0.26901953292898417</v>
      </c>
      <c r="N57" s="128">
        <f t="shared" si="69"/>
        <v>0.41394864677307425</v>
      </c>
      <c r="O57" s="128">
        <f t="shared" si="69"/>
        <v>6.9167072576717004E-2</v>
      </c>
      <c r="P57" s="128">
        <f t="shared" si="69"/>
        <v>0.38377916208623425</v>
      </c>
      <c r="Q57" s="128" t="e">
        <f t="shared" si="69"/>
        <v>#DIV/0!</v>
      </c>
      <c r="R57" s="128">
        <f t="shared" si="69"/>
        <v>0.43807574206755373</v>
      </c>
      <c r="S57" s="128">
        <f t="shared" si="69"/>
        <v>0.50841041845585011</v>
      </c>
      <c r="T57" s="128">
        <f t="shared" si="69"/>
        <v>0.26546041191892356</v>
      </c>
      <c r="U57" s="128" t="e">
        <f t="shared" si="69"/>
        <v>#DIV/0!</v>
      </c>
      <c r="V57" s="128" t="e">
        <f t="shared" si="69"/>
        <v>#DIV/0!</v>
      </c>
      <c r="W57" s="128" t="e">
        <f t="shared" si="69"/>
        <v>#DIV/0!</v>
      </c>
      <c r="X57" s="128" t="e">
        <f t="shared" si="69"/>
        <v>#DIV/0!</v>
      </c>
      <c r="Y57" s="128">
        <f t="shared" si="69"/>
        <v>6.5</v>
      </c>
      <c r="Z57" s="128">
        <f t="shared" si="69"/>
        <v>9.7857142857142865</v>
      </c>
      <c r="AA57" s="128">
        <f t="shared" si="69"/>
        <v>0.59210526315789469</v>
      </c>
      <c r="AB57" s="128" t="e">
        <f t="shared" si="69"/>
        <v>#DIV/0!</v>
      </c>
      <c r="AC57" s="128">
        <f t="shared" si="69"/>
        <v>0.31357462601036235</v>
      </c>
      <c r="AD57" s="128">
        <f t="shared" si="69"/>
        <v>0.26449275362318841</v>
      </c>
      <c r="AE57" s="128">
        <f t="shared" si="69"/>
        <v>0.66326530612244894</v>
      </c>
      <c r="AF57" s="128">
        <f t="shared" si="69"/>
        <v>1.1872964169381108</v>
      </c>
      <c r="AG57" s="128" t="e">
        <f t="shared" si="69"/>
        <v>#DIV/0!</v>
      </c>
      <c r="AH57" s="128" t="e">
        <f t="shared" si="69"/>
        <v>#DIV/0!</v>
      </c>
      <c r="AI57" s="128">
        <f t="shared" ref="AI57:BJ57" si="70">AI56/AI53</f>
        <v>6.5</v>
      </c>
      <c r="AJ57" s="128">
        <f t="shared" si="70"/>
        <v>0.1172673480365788</v>
      </c>
      <c r="AK57" s="128">
        <f t="shared" si="70"/>
        <v>0.32180092655062292</v>
      </c>
      <c r="AL57" s="128">
        <f t="shared" si="70"/>
        <v>0.11606152659241044</v>
      </c>
      <c r="AM57" s="128" t="e">
        <f t="shared" si="70"/>
        <v>#DIV/0!</v>
      </c>
      <c r="AN57" s="128">
        <f t="shared" si="70"/>
        <v>0.27443829411728404</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9.5940959409594101E-2</v>
      </c>
      <c r="AW57" s="128">
        <f t="shared" si="70"/>
        <v>0.35918367346938773</v>
      </c>
      <c r="AX57" s="128">
        <f t="shared" si="70"/>
        <v>0.35423728813559324</v>
      </c>
      <c r="AY57" s="128" t="e">
        <f t="shared" si="70"/>
        <v>#DIV/0!</v>
      </c>
      <c r="AZ57" s="128" t="e">
        <f t="shared" si="70"/>
        <v>#DIV/0!</v>
      </c>
      <c r="BA57" s="128" t="e">
        <f t="shared" si="70"/>
        <v>#DIV/0!</v>
      </c>
      <c r="BB57" s="128">
        <f t="shared" si="70"/>
        <v>0.40153404545668442</v>
      </c>
      <c r="BC57" s="128">
        <f t="shared" si="70"/>
        <v>0.40153404545668442</v>
      </c>
      <c r="BD57" s="128">
        <f t="shared" si="70"/>
        <v>0</v>
      </c>
      <c r="BE57" s="128">
        <f t="shared" si="70"/>
        <v>0.36044657097288674</v>
      </c>
      <c r="BF57" s="128">
        <f t="shared" si="70"/>
        <v>0.5971823611542042</v>
      </c>
      <c r="BG57" s="128">
        <f t="shared" si="70"/>
        <v>0.20661597914035826</v>
      </c>
      <c r="BH57" s="128">
        <f t="shared" si="70"/>
        <v>0.29395137859678977</v>
      </c>
      <c r="BI57" s="128">
        <f t="shared" si="70"/>
        <v>0</v>
      </c>
      <c r="BJ57" s="128">
        <f t="shared" si="70"/>
        <v>0.29395926109960868</v>
      </c>
    </row>
    <row r="58" spans="1:64" ht="15.75" x14ac:dyDescent="0.2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x14ac:dyDescent="0.25">
      <c r="A59" s="15" t="s">
        <v>42</v>
      </c>
      <c r="B59" s="11" t="s">
        <v>214</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x14ac:dyDescent="0.25">
      <c r="A60" s="130">
        <v>12</v>
      </c>
      <c r="B60" s="5" t="s">
        <v>211</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x14ac:dyDescent="0.2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x14ac:dyDescent="0.25">
      <c r="A62" s="130"/>
      <c r="B62" s="12" t="s">
        <v>212</v>
      </c>
      <c r="C62" s="9">
        <f>IF('Upto Month Current'!$K$4="",0,'Upto Month Current'!$K$4)</f>
        <v>425368</v>
      </c>
      <c r="D62" s="9">
        <f>IF('Upto Month Current'!$K$5="",0,'Upto Month Current'!$K$5)</f>
        <v>71533</v>
      </c>
      <c r="E62" s="9">
        <f>IF('Upto Month Current'!$K$6="",0,'Upto Month Current'!$K$6)</f>
        <v>129</v>
      </c>
      <c r="F62" s="9">
        <f>IF('Upto Month Current'!$K$7="",0,'Upto Month Current'!$K$7)</f>
        <v>38267</v>
      </c>
      <c r="G62" s="9">
        <f>IF('Upto Month Current'!$K$8="",0,'Upto Month Current'!$K$8)</f>
        <v>23046</v>
      </c>
      <c r="H62" s="9">
        <f>IF('Upto Month Current'!$K$9="",0,'Upto Month Current'!$K$9)</f>
        <v>0</v>
      </c>
      <c r="I62" s="9">
        <f>IF('Upto Month Current'!$K$10="",0,'Upto Month Current'!$K$10)</f>
        <v>0</v>
      </c>
      <c r="J62" s="9">
        <f>IF('Upto Month Current'!$K$11="",0,'Upto Month Current'!$K$11)</f>
        <v>20</v>
      </c>
      <c r="K62" s="9">
        <f>IF('Upto Month Current'!$K$12="",0,'Upto Month Current'!$K$12)</f>
        <v>0</v>
      </c>
      <c r="L62" s="9">
        <f>IF('Upto Month Current'!$K$13="",0,'Upto Month Current'!$K$13)</f>
        <v>123</v>
      </c>
      <c r="M62" s="9">
        <f>IF('Upto Month Current'!$K$14="",0,'Upto Month Current'!$K$14)</f>
        <v>32258</v>
      </c>
      <c r="N62" s="9">
        <f>IF('Upto Month Current'!$K$15="",0,'Upto Month Current'!$K$15)</f>
        <v>101</v>
      </c>
      <c r="O62" s="9">
        <f>IF('Upto Month Current'!$K$16="",0,'Upto Month Current'!$K$16)</f>
        <v>1685</v>
      </c>
      <c r="P62" s="9">
        <f>IF('Upto Month Current'!$K$17="",0,'Upto Month Current'!$K$17)</f>
        <v>69755</v>
      </c>
      <c r="Q62" s="9">
        <f>IF('Upto Month Current'!$K$18="",0,'Upto Month Current'!$K$18)</f>
        <v>0</v>
      </c>
      <c r="R62" s="9">
        <f>IF('Upto Month Current'!$K$21="",0,'Upto Month Current'!$K$21)</f>
        <v>608</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1364</v>
      </c>
      <c r="Z62" s="9">
        <f>IF('Upto Month Current'!$K$43="",0,'Upto Month Current'!$K$43)</f>
        <v>221</v>
      </c>
      <c r="AA62" s="9">
        <f>IF('Upto Month Current'!$K$44="",0,'Upto Month Current'!$K$44)</f>
        <v>821</v>
      </c>
      <c r="AB62" s="9">
        <f>IF('Upto Month Current'!$K$51="",0,'Upto Month Current'!$K$51)</f>
        <v>0</v>
      </c>
      <c r="AC62" s="123">
        <f t="shared" si="71"/>
        <v>665299</v>
      </c>
      <c r="AD62" s="9">
        <f>IF('Upto Month Current'!$K$19="",0,'Upto Month Current'!$K$19)</f>
        <v>1101</v>
      </c>
      <c r="AE62" s="9">
        <f>IF('Upto Month Current'!$K$20="",0,'Upto Month Current'!$K$20)</f>
        <v>132</v>
      </c>
      <c r="AF62" s="9">
        <f>IF('Upto Month Current'!$K$22="",0,'Upto Month Current'!$K$22)</f>
        <v>193</v>
      </c>
      <c r="AG62" s="9">
        <f>IF('Upto Month Current'!$K$23="",0,'Upto Month Current'!$K$23)</f>
        <v>0</v>
      </c>
      <c r="AH62" s="9">
        <f>IF('Upto Month Current'!$K$24="",0,'Upto Month Current'!$K$24)</f>
        <v>0</v>
      </c>
      <c r="AI62" s="9">
        <f>IF('Upto Month Current'!$K$25="",0,'Upto Month Current'!$K$25)</f>
        <v>17</v>
      </c>
      <c r="AJ62" s="9">
        <f>IF('Upto Month Current'!$K$28="",0,'Upto Month Current'!$K$28)</f>
        <v>1590</v>
      </c>
      <c r="AK62" s="9">
        <f>IF('Upto Month Current'!$K$29="",0,'Upto Month Current'!$K$29)</f>
        <v>4935</v>
      </c>
      <c r="AL62" s="9">
        <f>IF('Upto Month Current'!$K$31="",0,'Upto Month Current'!$K$31)</f>
        <v>8</v>
      </c>
      <c r="AM62" s="9">
        <f>IF('Upto Month Current'!$K$32="",0,'Upto Month Current'!$K$32)</f>
        <v>0</v>
      </c>
      <c r="AN62" s="9">
        <f>IF('Upto Month Current'!$K$33="",0,'Upto Month Current'!$K$33)</f>
        <v>26340</v>
      </c>
      <c r="AO62" s="9">
        <f>IF('Upto Month Current'!$K$34="",0,'Upto Month Current'!$K$34)</f>
        <v>52410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918</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682</v>
      </c>
      <c r="BC62" s="9">
        <f>IF('Upto Month Current'!$K$54="",0,'Upto Month Current'!$K$54)</f>
        <v>682</v>
      </c>
      <c r="BD62" s="9">
        <f>IF('Upto Month Current'!$K$55="",0,'Upto Month Current'!$K$55)</f>
        <v>0</v>
      </c>
      <c r="BE62" s="9">
        <f>IF('Upto Month Current'!$K$56="",0,'Upto Month Current'!$K$56)</f>
        <v>1649</v>
      </c>
      <c r="BF62" s="9">
        <f>IF('Upto Month Current'!$K$58="",0,'Upto Month Current'!$K$58)</f>
        <v>145833</v>
      </c>
      <c r="BG62" s="124">
        <f t="shared" si="73"/>
        <v>236490</v>
      </c>
      <c r="BH62" s="125">
        <f t="shared" si="74"/>
        <v>901789</v>
      </c>
      <c r="BI62" s="9">
        <f>IF('Upto Month Current'!$K$60="",0,'Upto Month Current'!$K$60)</f>
        <v>0</v>
      </c>
      <c r="BJ62" s="126">
        <f t="shared" si="72"/>
        <v>901789</v>
      </c>
      <c r="BK62">
        <f>'Upto Month Current'!$K$61</f>
        <v>901789</v>
      </c>
    </row>
    <row r="63" spans="1:64" ht="15.75" x14ac:dyDescent="0.25">
      <c r="A63" s="130"/>
      <c r="B63" s="5" t="s">
        <v>210</v>
      </c>
      <c r="C63" s="128">
        <f t="shared" ref="C63:AH63" si="77">C62/C59</f>
        <v>0.32262390175234212</v>
      </c>
      <c r="D63" s="128">
        <f t="shared" si="77"/>
        <v>0.28059529366539443</v>
      </c>
      <c r="E63" s="128">
        <f t="shared" si="77"/>
        <v>5.1261672958474074E-3</v>
      </c>
      <c r="F63" s="128">
        <f t="shared" si="77"/>
        <v>0.29609941425443176</v>
      </c>
      <c r="G63" s="128">
        <f t="shared" si="77"/>
        <v>0.26699878352545908</v>
      </c>
      <c r="H63" s="128" t="e">
        <f t="shared" si="77"/>
        <v>#DIV/0!</v>
      </c>
      <c r="I63" s="128" t="e">
        <f t="shared" si="77"/>
        <v>#DIV/0!</v>
      </c>
      <c r="J63" s="128">
        <f t="shared" si="77"/>
        <v>7.9827572443521991E-4</v>
      </c>
      <c r="K63" s="128">
        <f t="shared" si="77"/>
        <v>0</v>
      </c>
      <c r="L63" s="128">
        <f t="shared" si="77"/>
        <v>9.9514563106796114E-2</v>
      </c>
      <c r="M63" s="128">
        <f t="shared" si="77"/>
        <v>0.28140484332472609</v>
      </c>
      <c r="N63" s="128">
        <f t="shared" si="77"/>
        <v>0.1393103448275862</v>
      </c>
      <c r="O63" s="128">
        <f t="shared" si="77"/>
        <v>8.3382818685669047E-2</v>
      </c>
      <c r="P63" s="128">
        <f t="shared" si="77"/>
        <v>0.65735287188427649</v>
      </c>
      <c r="Q63" s="128" t="e">
        <f t="shared" si="77"/>
        <v>#DIV/0!</v>
      </c>
      <c r="R63" s="128">
        <f t="shared" si="77"/>
        <v>0.20375335120643431</v>
      </c>
      <c r="S63" s="128" t="e">
        <f t="shared" si="77"/>
        <v>#DIV/0!</v>
      </c>
      <c r="T63" s="128" t="e">
        <f t="shared" si="77"/>
        <v>#DIV/0!</v>
      </c>
      <c r="U63" s="128" t="e">
        <f t="shared" si="77"/>
        <v>#DIV/0!</v>
      </c>
      <c r="V63" s="128" t="e">
        <f t="shared" si="77"/>
        <v>#DIV/0!</v>
      </c>
      <c r="W63" s="128" t="e">
        <f t="shared" si="77"/>
        <v>#DIV/0!</v>
      </c>
      <c r="X63" s="128" t="e">
        <f t="shared" si="77"/>
        <v>#DIV/0!</v>
      </c>
      <c r="Y63" s="128">
        <f t="shared" si="77"/>
        <v>0.73969631236442512</v>
      </c>
      <c r="Z63" s="128">
        <f t="shared" si="77"/>
        <v>0.31661891117478508</v>
      </c>
      <c r="AA63" s="128">
        <f t="shared" si="77"/>
        <v>1.844943820224719</v>
      </c>
      <c r="AB63" s="128" t="e">
        <f t="shared" si="77"/>
        <v>#DIV/0!</v>
      </c>
      <c r="AC63" s="128">
        <f t="shared" si="77"/>
        <v>0.31860629053221168</v>
      </c>
      <c r="AD63" s="128">
        <f t="shared" si="77"/>
        <v>9.0714344566202518E-2</v>
      </c>
      <c r="AE63" s="128">
        <f t="shared" si="77"/>
        <v>1.76</v>
      </c>
      <c r="AF63" s="128">
        <f t="shared" si="77"/>
        <v>0.49487179487179489</v>
      </c>
      <c r="AG63" s="128" t="e">
        <f t="shared" si="77"/>
        <v>#DIV/0!</v>
      </c>
      <c r="AH63" s="128" t="e">
        <f t="shared" si="77"/>
        <v>#DIV/0!</v>
      </c>
      <c r="AI63" s="128">
        <f t="shared" ref="AI63:BJ63" si="78">AI62/AI59</f>
        <v>5.666666666666667</v>
      </c>
      <c r="AJ63" s="128">
        <f t="shared" si="78"/>
        <v>0.43194784026079869</v>
      </c>
      <c r="AK63" s="128">
        <f t="shared" si="78"/>
        <v>0.48368127021464274</v>
      </c>
      <c r="AL63" s="128">
        <f t="shared" si="78"/>
        <v>3.4334763948497854E-2</v>
      </c>
      <c r="AM63" s="128">
        <f t="shared" si="78"/>
        <v>0</v>
      </c>
      <c r="AN63" s="128">
        <f t="shared" si="78"/>
        <v>0.27834430577717661</v>
      </c>
      <c r="AO63" s="128">
        <f t="shared" si="78"/>
        <v>0.2687816360755112</v>
      </c>
      <c r="AP63" s="128" t="e">
        <f t="shared" si="78"/>
        <v>#DIV/0!</v>
      </c>
      <c r="AQ63" s="128" t="e">
        <f t="shared" si="78"/>
        <v>#DIV/0!</v>
      </c>
      <c r="AR63" s="128" t="e">
        <f t="shared" si="78"/>
        <v>#DIV/0!</v>
      </c>
      <c r="AS63" s="128" t="e">
        <f t="shared" si="78"/>
        <v>#DIV/0!</v>
      </c>
      <c r="AT63" s="128" t="e">
        <f t="shared" si="78"/>
        <v>#DIV/0!</v>
      </c>
      <c r="AU63" s="128" t="e">
        <f t="shared" si="78"/>
        <v>#DIV/0!</v>
      </c>
      <c r="AV63" s="128">
        <f t="shared" si="78"/>
        <v>0</v>
      </c>
      <c r="AW63" s="128">
        <f t="shared" si="78"/>
        <v>0.92354124748490951</v>
      </c>
      <c r="AX63" s="128">
        <f t="shared" si="78"/>
        <v>0</v>
      </c>
      <c r="AY63" s="128" t="e">
        <f t="shared" si="78"/>
        <v>#DIV/0!</v>
      </c>
      <c r="AZ63" s="128" t="e">
        <f t="shared" si="78"/>
        <v>#DIV/0!</v>
      </c>
      <c r="BA63" s="128" t="e">
        <f t="shared" si="78"/>
        <v>#DIV/0!</v>
      </c>
      <c r="BB63" s="128">
        <f t="shared" si="78"/>
        <v>0.19924043236926672</v>
      </c>
      <c r="BC63" s="128">
        <f t="shared" si="78"/>
        <v>0.19924043236926672</v>
      </c>
      <c r="BD63" s="128">
        <f t="shared" si="78"/>
        <v>0</v>
      </c>
      <c r="BE63" s="128">
        <f t="shared" si="78"/>
        <v>29.981818181818181</v>
      </c>
      <c r="BF63" s="128">
        <f t="shared" si="78"/>
        <v>0.15798299846277677</v>
      </c>
      <c r="BG63" s="128">
        <f t="shared" si="78"/>
        <v>0.18933786589188312</v>
      </c>
      <c r="BH63" s="128">
        <f t="shared" si="78"/>
        <v>0.27022396979975077</v>
      </c>
      <c r="BI63" s="128">
        <f t="shared" si="78"/>
        <v>0</v>
      </c>
      <c r="BJ63" s="128">
        <f t="shared" si="78"/>
        <v>0.286635739634438</v>
      </c>
    </row>
    <row r="64" spans="1:64" ht="15.75" x14ac:dyDescent="0.2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x14ac:dyDescent="0.25">
      <c r="A65" s="15" t="s">
        <v>143</v>
      </c>
      <c r="B65" s="11" t="s">
        <v>214</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x14ac:dyDescent="0.25">
      <c r="A66" s="130" t="s">
        <v>143</v>
      </c>
      <c r="B66" s="5" t="s">
        <v>211</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x14ac:dyDescent="0.2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x14ac:dyDescent="0.25">
      <c r="A68" s="130"/>
      <c r="B68" s="12" t="s">
        <v>212</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846915</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846915</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19055042</v>
      </c>
      <c r="BG68" s="124">
        <f t="shared" si="81"/>
        <v>19055042</v>
      </c>
      <c r="BH68" s="125">
        <f t="shared" si="82"/>
        <v>19901957</v>
      </c>
      <c r="BI68" s="9">
        <f>IF('Upto Month Current'!$L$60="",0,'Upto Month Current'!$L$60)</f>
        <v>19047240</v>
      </c>
      <c r="BJ68" s="126">
        <f t="shared" si="80"/>
        <v>854717</v>
      </c>
      <c r="BK68">
        <f>'Upto Month Current'!$L$61</f>
        <v>854717</v>
      </c>
    </row>
    <row r="69" spans="1:63" ht="15.75" x14ac:dyDescent="0.25">
      <c r="A69" s="130"/>
      <c r="B69" s="5" t="s">
        <v>210</v>
      </c>
      <c r="C69" s="128" t="e">
        <f t="shared" ref="C69:AH69" si="85">C68/C65</f>
        <v>#DIV/0!</v>
      </c>
      <c r="D69" s="128" t="e">
        <f t="shared" si="85"/>
        <v>#DIV/0!</v>
      </c>
      <c r="E69" s="128" t="e">
        <f t="shared" si="85"/>
        <v>#DIV/0!</v>
      </c>
      <c r="F69" s="128" t="e">
        <f t="shared" si="85"/>
        <v>#DIV/0!</v>
      </c>
      <c r="G69" s="128" t="e">
        <f t="shared" si="85"/>
        <v>#DIV/0!</v>
      </c>
      <c r="H69" s="128">
        <f t="shared" si="85"/>
        <v>0.31772486167077024</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0.31772486167077024</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0.26502750633129912</v>
      </c>
      <c r="BG69" s="128">
        <f t="shared" si="86"/>
        <v>0.26502750633129912</v>
      </c>
      <c r="BH69" s="128">
        <f t="shared" si="86"/>
        <v>0.26691136679420957</v>
      </c>
      <c r="BI69" s="128">
        <f t="shared" si="86"/>
        <v>0.26507293693272432</v>
      </c>
      <c r="BJ69" s="128">
        <f t="shared" si="86"/>
        <v>0.31570628781188165</v>
      </c>
    </row>
    <row r="70" spans="1:63" ht="15.75" x14ac:dyDescent="0.2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x14ac:dyDescent="0.25">
      <c r="A71" s="130"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x14ac:dyDescent="0.2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x14ac:dyDescent="0.2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x14ac:dyDescent="0.25">
      <c r="A74" s="130"/>
      <c r="B74" s="12" t="str">
        <f>B68</f>
        <v>Actuals upto Sep' 20</v>
      </c>
      <c r="C74" s="5">
        <f>C8+C14+C20+C26+C32+C38+C44+C50+C56+C62+C68</f>
        <v>6439102</v>
      </c>
      <c r="D74" s="5">
        <f t="shared" ref="D74:AB74" si="95">D8+D14+D20+D26+D32+D38+D44+D50+D56+D62+D68</f>
        <v>1138881</v>
      </c>
      <c r="E74" s="5">
        <f t="shared" si="95"/>
        <v>2287</v>
      </c>
      <c r="F74" s="5">
        <f t="shared" si="95"/>
        <v>685426</v>
      </c>
      <c r="G74" s="5">
        <f t="shared" si="95"/>
        <v>345852</v>
      </c>
      <c r="H74" s="5">
        <f t="shared" si="95"/>
        <v>846915</v>
      </c>
      <c r="I74" s="5">
        <f t="shared" si="95"/>
        <v>0</v>
      </c>
      <c r="J74" s="5">
        <f t="shared" si="95"/>
        <v>534155</v>
      </c>
      <c r="K74" s="5">
        <f t="shared" si="95"/>
        <v>4286</v>
      </c>
      <c r="L74" s="5">
        <f t="shared" si="95"/>
        <v>95132</v>
      </c>
      <c r="M74" s="5">
        <f t="shared" si="95"/>
        <v>294187</v>
      </c>
      <c r="N74" s="5">
        <f t="shared" si="95"/>
        <v>3736</v>
      </c>
      <c r="O74" s="5">
        <f t="shared" si="95"/>
        <v>13788</v>
      </c>
      <c r="P74" s="5">
        <f t="shared" si="95"/>
        <v>338097</v>
      </c>
      <c r="Q74" s="5">
        <f t="shared" si="95"/>
        <v>0</v>
      </c>
      <c r="R74" s="5">
        <f t="shared" si="95"/>
        <v>11315</v>
      </c>
      <c r="S74" s="5">
        <f t="shared" si="95"/>
        <v>387757</v>
      </c>
      <c r="T74" s="5">
        <f t="shared" si="95"/>
        <v>266402</v>
      </c>
      <c r="U74" s="5">
        <f t="shared" si="95"/>
        <v>0</v>
      </c>
      <c r="V74" s="5">
        <f t="shared" si="95"/>
        <v>83063</v>
      </c>
      <c r="W74" s="5">
        <f t="shared" si="95"/>
        <v>0</v>
      </c>
      <c r="X74" s="5">
        <f t="shared" si="95"/>
        <v>0</v>
      </c>
      <c r="Y74" s="5">
        <f t="shared" si="95"/>
        <v>34431</v>
      </c>
      <c r="Z74" s="5">
        <f t="shared" si="95"/>
        <v>3647</v>
      </c>
      <c r="AA74" s="5">
        <f t="shared" si="95"/>
        <v>5166</v>
      </c>
      <c r="AB74" s="5">
        <f t="shared" si="95"/>
        <v>361059</v>
      </c>
      <c r="AC74" s="123">
        <f t="shared" si="88"/>
        <v>11894684</v>
      </c>
      <c r="AD74" s="5">
        <f>AD8+AD14+AD20+AD26+AD32+AD38+AD44+AD50+AD56+AD62+AD68</f>
        <v>9154</v>
      </c>
      <c r="AE74" s="5">
        <f t="shared" ref="AE74:BF74" si="96">AE8+AE14+AE20+AE26+AE32+AE38+AE44+AE50+AE56+AE62+AE68</f>
        <v>7247</v>
      </c>
      <c r="AF74" s="5">
        <f t="shared" si="96"/>
        <v>60042</v>
      </c>
      <c r="AG74" s="5">
        <f t="shared" si="96"/>
        <v>0</v>
      </c>
      <c r="AH74" s="5">
        <f t="shared" si="96"/>
        <v>0</v>
      </c>
      <c r="AI74" s="5">
        <f t="shared" si="96"/>
        <v>4211</v>
      </c>
      <c r="AJ74" s="5">
        <f t="shared" si="96"/>
        <v>1045248</v>
      </c>
      <c r="AK74" s="5">
        <f t="shared" si="96"/>
        <v>178566</v>
      </c>
      <c r="AL74" s="5">
        <f t="shared" si="96"/>
        <v>2376750</v>
      </c>
      <c r="AM74" s="5">
        <f t="shared" si="96"/>
        <v>56663</v>
      </c>
      <c r="AN74" s="5">
        <f t="shared" si="96"/>
        <v>796902</v>
      </c>
      <c r="AO74" s="5">
        <f t="shared" si="96"/>
        <v>5304822</v>
      </c>
      <c r="AP74" s="5">
        <f t="shared" si="96"/>
        <v>75553</v>
      </c>
      <c r="AQ74" s="5">
        <f t="shared" si="96"/>
        <v>623631</v>
      </c>
      <c r="AR74" s="5">
        <f t="shared" si="96"/>
        <v>0</v>
      </c>
      <c r="AS74" s="5">
        <f t="shared" si="96"/>
        <v>0</v>
      </c>
      <c r="AT74" s="5">
        <f t="shared" si="96"/>
        <v>262127</v>
      </c>
      <c r="AU74" s="5">
        <f t="shared" si="96"/>
        <v>0</v>
      </c>
      <c r="AV74" s="5">
        <f t="shared" si="96"/>
        <v>2961</v>
      </c>
      <c r="AW74" s="5">
        <f t="shared" si="96"/>
        <v>4104</v>
      </c>
      <c r="AX74" s="5">
        <f t="shared" si="96"/>
        <v>2345</v>
      </c>
      <c r="AY74" s="5">
        <f t="shared" si="96"/>
        <v>308272</v>
      </c>
      <c r="AZ74" s="5">
        <f t="shared" si="96"/>
        <v>344769</v>
      </c>
      <c r="BA74" s="5">
        <f t="shared" si="96"/>
        <v>361869</v>
      </c>
      <c r="BB74" s="5">
        <f t="shared" si="96"/>
        <v>39431</v>
      </c>
      <c r="BC74" s="5">
        <f t="shared" si="96"/>
        <v>39431</v>
      </c>
      <c r="BD74" s="5">
        <f t="shared" si="96"/>
        <v>0</v>
      </c>
      <c r="BE74" s="5">
        <f t="shared" si="96"/>
        <v>41300</v>
      </c>
      <c r="BF74" s="5">
        <f t="shared" si="96"/>
        <v>19248216</v>
      </c>
      <c r="BG74" s="6">
        <f>BG8+BG14+BG20+BG26+BG32+BG38+BG44+BG50+BG56+BG62+BG68</f>
        <v>31193614</v>
      </c>
      <c r="BH74" s="127">
        <f>AC74+BG74</f>
        <v>43088298</v>
      </c>
      <c r="BI74" s="5">
        <f t="shared" si="92"/>
        <v>19100344</v>
      </c>
      <c r="BJ74" s="51">
        <f t="shared" si="92"/>
        <v>23987954</v>
      </c>
      <c r="BK74" s="30">
        <f>'Upto Month Current'!N61-'Upto Month Current'!M61</f>
        <v>23989541</v>
      </c>
    </row>
    <row r="75" spans="1:63" ht="15.75" x14ac:dyDescent="0.25">
      <c r="A75" s="130"/>
      <c r="B75" s="5" t="s">
        <v>210</v>
      </c>
      <c r="C75" s="128">
        <f t="shared" ref="C75:AH75" si="97">C74/C71</f>
        <v>0.2667544317238783</v>
      </c>
      <c r="D75" s="128">
        <f t="shared" si="97"/>
        <v>0.2651335118146898</v>
      </c>
      <c r="E75" s="128">
        <f t="shared" si="97"/>
        <v>2.216843552106486E-3</v>
      </c>
      <c r="F75" s="128">
        <f t="shared" si="97"/>
        <v>0.26751661962991685</v>
      </c>
      <c r="G75" s="128">
        <f t="shared" si="97"/>
        <v>0.25915096983420727</v>
      </c>
      <c r="H75" s="128">
        <f t="shared" si="97"/>
        <v>0.31772486167077024</v>
      </c>
      <c r="I75" s="128" t="e">
        <f t="shared" si="97"/>
        <v>#DIV/0!</v>
      </c>
      <c r="J75" s="128">
        <f t="shared" si="97"/>
        <v>0.42122964943201757</v>
      </c>
      <c r="K75" s="128">
        <f t="shared" si="97"/>
        <v>2.2510504201680673E-2</v>
      </c>
      <c r="L75" s="128">
        <f t="shared" si="97"/>
        <v>0.21540474999037684</v>
      </c>
      <c r="M75" s="128">
        <f t="shared" si="97"/>
        <v>0.31485974636723346</v>
      </c>
      <c r="N75" s="128">
        <f t="shared" si="97"/>
        <v>0.25933638761627098</v>
      </c>
      <c r="O75" s="128">
        <f t="shared" si="97"/>
        <v>0.17396131669589573</v>
      </c>
      <c r="P75" s="128">
        <f t="shared" si="97"/>
        <v>0.44721825396825399</v>
      </c>
      <c r="Q75" s="128" t="e">
        <f t="shared" si="97"/>
        <v>#DIV/0!</v>
      </c>
      <c r="R75" s="128">
        <f t="shared" si="97"/>
        <v>0.25144444444444447</v>
      </c>
      <c r="S75" s="128">
        <f t="shared" si="97"/>
        <v>0.50841041845585011</v>
      </c>
      <c r="T75" s="128">
        <f t="shared" si="97"/>
        <v>0.26546041191892356</v>
      </c>
      <c r="U75" s="128" t="e">
        <f t="shared" si="97"/>
        <v>#DIV/0!</v>
      </c>
      <c r="V75" s="128">
        <f t="shared" si="97"/>
        <v>0.26070676413261479</v>
      </c>
      <c r="W75" s="128">
        <f t="shared" si="97"/>
        <v>0</v>
      </c>
      <c r="X75" s="128">
        <f t="shared" si="97"/>
        <v>0</v>
      </c>
      <c r="Y75" s="128">
        <f t="shared" si="97"/>
        <v>4.2200024512807941</v>
      </c>
      <c r="Z75" s="128">
        <f t="shared" si="97"/>
        <v>2.5683098591549296</v>
      </c>
      <c r="AA75" s="128">
        <f t="shared" si="97"/>
        <v>0.11498141512163636</v>
      </c>
      <c r="AB75" s="128">
        <f t="shared" si="97"/>
        <v>0.21332754311643654</v>
      </c>
      <c r="AC75" s="128">
        <f t="shared" si="97"/>
        <v>0.27287611402711792</v>
      </c>
      <c r="AD75" s="128">
        <f t="shared" si="97"/>
        <v>7.4126859447247173E-2</v>
      </c>
      <c r="AE75" s="128">
        <f t="shared" si="97"/>
        <v>0.14978711090901575</v>
      </c>
      <c r="AF75" s="128">
        <f t="shared" si="97"/>
        <v>0.96862245309500383</v>
      </c>
      <c r="AG75" s="128" t="e">
        <f t="shared" si="97"/>
        <v>#DIV/0!</v>
      </c>
      <c r="AH75" s="128">
        <f t="shared" si="97"/>
        <v>0</v>
      </c>
      <c r="AI75" s="128">
        <f t="shared" ref="AI75:BJ75" si="98">AI74/AI71</f>
        <v>0.38229686790739897</v>
      </c>
      <c r="AJ75" s="128">
        <f t="shared" si="98"/>
        <v>0.83208722344639607</v>
      </c>
      <c r="AK75" s="128">
        <f t="shared" si="98"/>
        <v>0.14059163659038945</v>
      </c>
      <c r="AL75" s="128">
        <f t="shared" si="98"/>
        <v>0.33673408668449928</v>
      </c>
      <c r="AM75" s="128">
        <f t="shared" si="98"/>
        <v>0.51139891696750905</v>
      </c>
      <c r="AN75" s="128">
        <f t="shared" si="98"/>
        <v>0.28397945118587581</v>
      </c>
      <c r="AO75" s="128">
        <f t="shared" si="98"/>
        <v>0.30791822764099092</v>
      </c>
      <c r="AP75" s="128">
        <f t="shared" si="98"/>
        <v>0.90321462300804556</v>
      </c>
      <c r="AQ75" s="128">
        <f t="shared" si="98"/>
        <v>0.68637531284875619</v>
      </c>
      <c r="AR75" s="128" t="e">
        <f t="shared" si="98"/>
        <v>#DIV/0!</v>
      </c>
      <c r="AS75" s="128" t="e">
        <f t="shared" si="98"/>
        <v>#DIV/0!</v>
      </c>
      <c r="AT75" s="128">
        <f t="shared" si="98"/>
        <v>0.45850766841118357</v>
      </c>
      <c r="AU75" s="128">
        <f t="shared" si="98"/>
        <v>0</v>
      </c>
      <c r="AV75" s="128">
        <f t="shared" si="98"/>
        <v>0.20461612880934282</v>
      </c>
      <c r="AW75" s="128">
        <f t="shared" si="98"/>
        <v>0.30388744909292853</v>
      </c>
      <c r="AX75" s="128">
        <f t="shared" si="98"/>
        <v>0.76960945191992125</v>
      </c>
      <c r="AY75" s="128">
        <f t="shared" si="98"/>
        <v>2.1145514658472009</v>
      </c>
      <c r="AZ75" s="128">
        <f t="shared" si="98"/>
        <v>0.34902925103817195</v>
      </c>
      <c r="BA75" s="128">
        <f t="shared" si="98"/>
        <v>0.47866269841269843</v>
      </c>
      <c r="BB75" s="128">
        <f t="shared" si="98"/>
        <v>0.54696147924151417</v>
      </c>
      <c r="BC75" s="128">
        <f t="shared" si="98"/>
        <v>0.54634761403314303</v>
      </c>
      <c r="BD75" s="128">
        <f t="shared" si="98"/>
        <v>0</v>
      </c>
      <c r="BE75" s="128">
        <f t="shared" si="98"/>
        <v>1.2204491725768321</v>
      </c>
      <c r="BF75" s="128">
        <f t="shared" si="98"/>
        <v>0.2629864318258433</v>
      </c>
      <c r="BG75" s="128">
        <f t="shared" si="98"/>
        <v>0.29199707314103285</v>
      </c>
      <c r="BH75" s="128">
        <f t="shared" si="98"/>
        <v>0.28645597796144423</v>
      </c>
      <c r="BI75" s="128">
        <f t="shared" si="98"/>
        <v>0.26153062271264099</v>
      </c>
      <c r="BJ75" s="128">
        <f t="shared" si="98"/>
        <v>0.3099793486265387</v>
      </c>
    </row>
    <row r="76" spans="1:63" x14ac:dyDescent="0.25">
      <c r="BF76" s="30">
        <f>BF74-BF68</f>
        <v>193174</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2021-07-28T06:02:03Z</cp:lastPrinted>
  <dcterms:created xsi:type="dcterms:W3CDTF">2015-06-05T18:17:20Z</dcterms:created>
  <dcterms:modified xsi:type="dcterms:W3CDTF">2021-07-28T10:14:54Z</dcterms:modified>
</cp:coreProperties>
</file>