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C:\Users\User\OneDrive - Ministry of Railway Govt. of India\Desktop\Budget\2021-22\Oct 21\"/>
    </mc:Choice>
  </mc:AlternateContent>
  <xr:revisionPtr revIDLastSave="0" documentId="13_ncr:1_{8F386996-64B8-4135-8246-DA11D1ADDA5F}" xr6:coauthVersionLast="47" xr6:coauthVersionMax="47" xr10:uidLastSave="{00000000-0000-0000-0000-000000000000}"/>
  <bookViews>
    <workbookView xWindow="-120" yWindow="-120" windowWidth="24240" windowHeight="13140" tabRatio="599" firstSheet="1"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OWE'!$A$1:$BK$134</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H116" i="2" l="1"/>
  <c r="D96" i="2"/>
  <c r="C18" i="2"/>
  <c r="D18" i="2"/>
  <c r="BJ106" i="2" l="1"/>
  <c r="BG106" i="2"/>
  <c r="AD50" i="2"/>
  <c r="AD39" i="2"/>
  <c r="F104" i="4"/>
  <c r="F103" i="4"/>
  <c r="F101" i="4"/>
  <c r="F100" i="4"/>
  <c r="F102" i="4" s="1"/>
  <c r="F98" i="4"/>
  <c r="F97" i="4"/>
  <c r="F96" i="4"/>
  <c r="F94" i="4"/>
  <c r="F93" i="4"/>
  <c r="F92" i="4"/>
  <c r="F95" i="4" s="1"/>
  <c r="BN84" i="2"/>
  <c r="BJ84" i="2"/>
  <c r="AS84" i="2" l="1"/>
  <c r="L40" i="2"/>
  <c r="BG40" i="2"/>
  <c r="BH83" i="2"/>
  <c r="BH94" i="2"/>
  <c r="AD94" i="2"/>
  <c r="AD116" i="2"/>
  <c r="BH105" i="2"/>
  <c r="AD105" i="2"/>
  <c r="AD83" i="2"/>
  <c r="BH72" i="2"/>
  <c r="AD72" i="2"/>
  <c r="BH61" i="2"/>
  <c r="AD61" i="2"/>
  <c r="BH50" i="2"/>
  <c r="BH39" i="2"/>
  <c r="BH28" i="2"/>
  <c r="AD28" i="2"/>
  <c r="BH17" i="2"/>
  <c r="AD17" i="2"/>
  <c r="BH6" i="2"/>
  <c r="AD6" i="2"/>
  <c r="BI116" i="2" l="1"/>
  <c r="BK116" i="2" s="1"/>
  <c r="BI105" i="2"/>
  <c r="BK105" i="2" s="1"/>
  <c r="BI94" i="2"/>
  <c r="BK94" i="2" s="1"/>
  <c r="BI72" i="2"/>
  <c r="BK72" i="2" s="1"/>
  <c r="BI61" i="2"/>
  <c r="BK61" i="2" s="1"/>
  <c r="BI50" i="2"/>
  <c r="BK50" i="2" s="1"/>
  <c r="BI39" i="2"/>
  <c r="BK39" i="2" s="1"/>
  <c r="BI28" i="2"/>
  <c r="BK28" i="2" s="1"/>
  <c r="BI17" i="2"/>
  <c r="BK17" i="2" s="1"/>
  <c r="BI83" i="2"/>
  <c r="BK83" i="2" s="1"/>
  <c r="BI6" i="2"/>
  <c r="BK6" i="2" s="1"/>
  <c r="K117" i="4"/>
  <c r="L117" i="4" s="1"/>
  <c r="K116" i="4"/>
  <c r="L116" i="4" s="1"/>
  <c r="K115" i="4"/>
  <c r="L115" i="4" s="1"/>
  <c r="K111" i="4"/>
  <c r="L111" i="4" s="1"/>
  <c r="K110" i="4"/>
  <c r="L110" i="4" s="1"/>
  <c r="K109" i="4"/>
  <c r="L109" i="4" s="1"/>
  <c r="H118" i="4"/>
  <c r="H112" i="4"/>
  <c r="H107" i="4"/>
  <c r="H77" i="4"/>
  <c r="H40" i="4"/>
  <c r="H32" i="4"/>
  <c r="H11" i="4"/>
  <c r="H3" i="4"/>
  <c r="BG104" i="2"/>
  <c r="BH104" i="2" s="1"/>
  <c r="BP115" i="2"/>
  <c r="Q8" i="4"/>
  <c r="BH115" i="2"/>
  <c r="BH93" i="2"/>
  <c r="BH82" i="2"/>
  <c r="BH71" i="2"/>
  <c r="BH60" i="2"/>
  <c r="BH49" i="2"/>
  <c r="BH38" i="2"/>
  <c r="BH27" i="2"/>
  <c r="BH16" i="2"/>
  <c r="BH5" i="2"/>
  <c r="AD104" i="2"/>
  <c r="AD93" i="2"/>
  <c r="AD82" i="2"/>
  <c r="AD71" i="2"/>
  <c r="AD60" i="2"/>
  <c r="AD49" i="2"/>
  <c r="AD38" i="2"/>
  <c r="BI38" i="2" s="1"/>
  <c r="BK38" i="2" s="1"/>
  <c r="AD27" i="2"/>
  <c r="AD16" i="2"/>
  <c r="AD5" i="2"/>
  <c r="AD115" i="2"/>
  <c r="BI115" i="2" s="1"/>
  <c r="BK115" i="2" s="1"/>
  <c r="BI82" i="2" l="1"/>
  <c r="BK82" i="2" s="1"/>
  <c r="BI27" i="2"/>
  <c r="BK27" i="2" s="1"/>
  <c r="BI5" i="2"/>
  <c r="BK5" i="2" s="1"/>
  <c r="BI49" i="2"/>
  <c r="BK49" i="2" s="1"/>
  <c r="BI93" i="2"/>
  <c r="BK93" i="2" s="1"/>
  <c r="BI16" i="2"/>
  <c r="BK16" i="2" s="1"/>
  <c r="BI60" i="2"/>
  <c r="BK60" i="2" s="1"/>
  <c r="BI104" i="2"/>
  <c r="BK104" i="2" s="1"/>
  <c r="BQ115" i="2" s="1"/>
  <c r="BI71" i="2"/>
  <c r="BK71" i="2" s="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F99" i="4"/>
  <c r="E99" i="4"/>
  <c r="C99" i="4"/>
  <c r="E95" i="4"/>
  <c r="C95" i="4"/>
  <c r="C85" i="4"/>
  <c r="C74" i="4"/>
  <c r="D74" i="4" s="1"/>
  <c r="C69" i="4"/>
  <c r="C64" i="4"/>
  <c r="C55" i="4"/>
  <c r="C50" i="4"/>
  <c r="C28" i="4"/>
  <c r="C7" i="4"/>
  <c r="B83" i="11"/>
  <c r="B69" i="11"/>
  <c r="B64" i="11"/>
  <c r="B54" i="11"/>
  <c r="B28" i="11"/>
  <c r="C28" i="5"/>
  <c r="C7" i="5"/>
  <c r="B7" i="11"/>
  <c r="C102" i="5"/>
  <c r="C96" i="5"/>
  <c r="C92" i="5"/>
  <c r="C109" i="5"/>
  <c r="C115" i="5"/>
  <c r="D57" i="4" l="1"/>
  <c r="D44" i="4"/>
  <c r="D50" i="4"/>
  <c r="D55"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12" i="4"/>
  <c r="AB118" i="2"/>
  <c r="AB117" i="2"/>
  <c r="AB107" i="2"/>
  <c r="AB113" i="2" s="1"/>
  <c r="AB106" i="2"/>
  <c r="AB96" i="2"/>
  <c r="AB101" i="2" s="1"/>
  <c r="AB95" i="2"/>
  <c r="AB85" i="2"/>
  <c r="AB90" i="2" s="1"/>
  <c r="AB84" i="2"/>
  <c r="AB74" i="2"/>
  <c r="AB80" i="2" s="1"/>
  <c r="AB73" i="2"/>
  <c r="AB63" i="2"/>
  <c r="AB68" i="2" s="1"/>
  <c r="AB62" i="2"/>
  <c r="AB52" i="2"/>
  <c r="AB57" i="2" s="1"/>
  <c r="AB51" i="2"/>
  <c r="AB41" i="2"/>
  <c r="AB47" i="2" s="1"/>
  <c r="AB40" i="2"/>
  <c r="AB30" i="2"/>
  <c r="AB36" i="2" s="1"/>
  <c r="AB29" i="2"/>
  <c r="AB19" i="2"/>
  <c r="AB25" i="2" s="1"/>
  <c r="AB18" i="2"/>
  <c r="AB127" i="2"/>
  <c r="AB8" i="2"/>
  <c r="AB14" i="2" s="1"/>
  <c r="AB7" i="2"/>
  <c r="AB126" i="2"/>
  <c r="AB124" i="2"/>
  <c r="BG126" i="2"/>
  <c r="AB86" i="2" l="1"/>
  <c r="AB87" i="2" s="1"/>
  <c r="AB91" i="2"/>
  <c r="AB24" i="2"/>
  <c r="AB20" i="2"/>
  <c r="AB75" i="2"/>
  <c r="AB76" i="2" s="1"/>
  <c r="AB97" i="2"/>
  <c r="AB98" i="2" s="1"/>
  <c r="AB58" i="2"/>
  <c r="AB102" i="2"/>
  <c r="AB108" i="2"/>
  <c r="AB109" i="2" s="1"/>
  <c r="AB22" i="2"/>
  <c r="AB23" i="2" s="1"/>
  <c r="AB88" i="2"/>
  <c r="AB89" i="2" s="1"/>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AC19" i="2"/>
  <c r="AC25" i="2" s="1"/>
  <c r="AC18" i="2"/>
  <c r="AC8" i="2"/>
  <c r="AC14" i="2" s="1"/>
  <c r="AC7" i="2"/>
  <c r="H102" i="4" l="1"/>
  <c r="AC47" i="2"/>
  <c r="I101" i="4"/>
  <c r="I102" i="4" s="1"/>
  <c r="K100" i="4"/>
  <c r="L100" i="4" s="1"/>
  <c r="M100"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I27" i="11" s="1"/>
  <c r="Q27" i="11" s="1"/>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F49" i="4"/>
  <c r="I46" i="4"/>
  <c r="F46" i="4"/>
  <c r="I45" i="4"/>
  <c r="F45" i="4"/>
  <c r="I48" i="4"/>
  <c r="F48" i="4"/>
  <c r="I47" i="4"/>
  <c r="F47" i="4"/>
  <c r="I43" i="4"/>
  <c r="F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R27" i="11" l="1"/>
  <c r="K102" i="4"/>
  <c r="L102" i="4" s="1"/>
  <c r="M102" i="4"/>
  <c r="K101" i="4"/>
  <c r="L101" i="4" s="1"/>
  <c r="M101" i="4"/>
  <c r="C27" i="11"/>
  <c r="M27" i="11" s="1"/>
  <c r="N27" i="11" s="1"/>
  <c r="H27" i="4"/>
  <c r="AV21" i="2"/>
  <c r="AS21" i="2"/>
  <c r="AC21" i="2"/>
  <c r="O27" i="11"/>
  <c r="K27" i="11"/>
  <c r="L27" i="11" s="1"/>
  <c r="AC130" i="2"/>
  <c r="AC131" i="2" s="1"/>
  <c r="AC134" i="2"/>
  <c r="D27" i="5"/>
  <c r="I27" i="5"/>
  <c r="M27" i="5" s="1"/>
  <c r="J27" i="4"/>
  <c r="AC132" i="2"/>
  <c r="AC133" i="2" s="1"/>
  <c r="I42" i="4"/>
  <c r="I50" i="4" s="1"/>
  <c r="F42" i="4"/>
  <c r="M27" i="4" l="1"/>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I92" i="4" s="1"/>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M91" i="2" s="1"/>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I105" i="4" l="1"/>
  <c r="M105" i="4" s="1"/>
  <c r="I95" i="4"/>
  <c r="M95" i="4" s="1"/>
  <c r="K44" i="4"/>
  <c r="L44" i="4" s="1"/>
  <c r="O44" i="4"/>
  <c r="M44" i="4"/>
  <c r="N44" i="4" s="1"/>
  <c r="AP80" i="2"/>
  <c r="J67" i="4"/>
  <c r="M93" i="4"/>
  <c r="M103" i="4"/>
  <c r="M94" i="4"/>
  <c r="M104" i="4"/>
  <c r="AQ36" i="2"/>
  <c r="I96" i="4"/>
  <c r="AQ47" i="2"/>
  <c r="I97" i="4"/>
  <c r="I99" i="4" s="1"/>
  <c r="M99" i="4" s="1"/>
  <c r="M92"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O67" i="4"/>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J49" i="4"/>
  <c r="O49" i="4" s="1"/>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J110" i="2"/>
  <c r="BJ111" i="2" s="1"/>
  <c r="BG110" i="2"/>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M46" i="4" s="1"/>
  <c r="N46" i="4" s="1"/>
  <c r="AT84" i="2"/>
  <c r="AT88" i="2" s="1"/>
  <c r="AT89" i="2" s="1"/>
  <c r="AR84" i="2"/>
  <c r="H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M67" i="4" s="1"/>
  <c r="N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22" i="2"/>
  <c r="D23" i="2" s="1"/>
  <c r="M45" i="4" l="1"/>
  <c r="N45" i="4" s="1"/>
  <c r="M62" i="4"/>
  <c r="N62" i="4" s="1"/>
  <c r="M63" i="4"/>
  <c r="N63" i="4" s="1"/>
  <c r="M61" i="4"/>
  <c r="N61" i="4" s="1"/>
  <c r="H72" i="4"/>
  <c r="M72" i="4" s="1"/>
  <c r="N72" i="4" s="1"/>
  <c r="H96" i="4"/>
  <c r="K96" i="4" s="1"/>
  <c r="L96" i="4" s="1"/>
  <c r="M97" i="4"/>
  <c r="V44" i="2"/>
  <c r="V45" i="2" s="1"/>
  <c r="H93" i="4"/>
  <c r="K93" i="4" s="1"/>
  <c r="L93" i="4" s="1"/>
  <c r="V33" i="2"/>
  <c r="V34" i="2" s="1"/>
  <c r="H92" i="4"/>
  <c r="BB44" i="2"/>
  <c r="BB45" i="2" s="1"/>
  <c r="H104" i="4"/>
  <c r="K104" i="4" s="1"/>
  <c r="L104" i="4" s="1"/>
  <c r="AQ55" i="2"/>
  <c r="AQ56" i="2" s="1"/>
  <c r="H98" i="4"/>
  <c r="K98" i="4" s="1"/>
  <c r="L98" i="4" s="1"/>
  <c r="V55" i="2"/>
  <c r="V56" i="2" s="1"/>
  <c r="H94" i="4"/>
  <c r="K94" i="4" s="1"/>
  <c r="L94" i="4" s="1"/>
  <c r="BB33" i="2"/>
  <c r="BB34" i="2" s="1"/>
  <c r="H103" i="4"/>
  <c r="H73" i="4"/>
  <c r="M73" i="4" s="1"/>
  <c r="N73" i="4" s="1"/>
  <c r="H97" i="4"/>
  <c r="M49" i="4"/>
  <c r="N49" i="4" s="1"/>
  <c r="M60" i="4"/>
  <c r="N60" i="4" s="1"/>
  <c r="H64" i="4"/>
  <c r="M43" i="4"/>
  <c r="N43" i="4" s="1"/>
  <c r="M48" i="4"/>
  <c r="N48" i="4" s="1"/>
  <c r="C46" i="1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M46" i="11"/>
  <c r="N46" i="11" s="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BG135" i="2"/>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105" i="4" l="1"/>
  <c r="K97" i="4"/>
  <c r="L97" i="4" s="1"/>
  <c r="H99" i="4"/>
  <c r="K99" i="4" s="1"/>
  <c r="L99" i="4" s="1"/>
  <c r="H74" i="4"/>
  <c r="M74" i="4" s="1"/>
  <c r="N74" i="4" s="1"/>
  <c r="K105" i="4"/>
  <c r="L105" i="4" s="1"/>
  <c r="K103" i="4"/>
  <c r="L103" i="4" s="1"/>
  <c r="H95" i="4"/>
  <c r="K95" i="4" s="1"/>
  <c r="L95" i="4" s="1"/>
  <c r="K92" i="4"/>
  <c r="L92" i="4" s="1"/>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BK76" i="2" l="1"/>
  <c r="L50" i="4"/>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F68" i="11" s="1"/>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I68" i="11" l="1"/>
  <c r="Q68" i="11" s="1"/>
  <c r="R68" i="11" s="1"/>
  <c r="R69" i="11" s="1"/>
  <c r="J68" i="4"/>
  <c r="F77" i="11"/>
  <c r="R77" i="11" s="1"/>
  <c r="F78" i="11"/>
  <c r="R78" i="11" s="1"/>
  <c r="K19" i="11"/>
  <c r="L19" i="11" s="1"/>
  <c r="BM21" i="2"/>
  <c r="K26" i="11"/>
  <c r="L26" i="11" s="1"/>
  <c r="K21" i="11"/>
  <c r="L21" i="11" s="1"/>
  <c r="K23" i="11"/>
  <c r="L23" i="11" s="1"/>
  <c r="K14" i="11"/>
  <c r="L14" i="11" s="1"/>
  <c r="H34" i="11"/>
  <c r="R17" i="11"/>
  <c r="R20" i="11"/>
  <c r="R22" i="11"/>
  <c r="R26" i="11"/>
  <c r="R35" i="11"/>
  <c r="R52" i="11"/>
  <c r="R56" i="11"/>
  <c r="R79" i="11"/>
  <c r="Q69" i="11"/>
  <c r="R14" i="11"/>
  <c r="R16" i="11"/>
  <c r="R18" i="11"/>
  <c r="R19" i="11"/>
  <c r="R21" i="11"/>
  <c r="R23" i="11"/>
  <c r="R25" i="11"/>
  <c r="R36" i="11"/>
  <c r="R53"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O78"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O20" i="4" s="1"/>
  <c r="J24" i="4"/>
  <c r="S130" i="2"/>
  <c r="S131" i="2" s="1"/>
  <c r="I24" i="4"/>
  <c r="J14" i="4"/>
  <c r="J18" i="4"/>
  <c r="J21" i="4"/>
  <c r="J23" i="4"/>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M17" i="4" s="1"/>
  <c r="N17" i="4" s="1"/>
  <c r="AE128" i="2"/>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M36" i="4" l="1"/>
  <c r="N36" i="4" s="1"/>
  <c r="O23" i="4"/>
  <c r="O24" i="4"/>
  <c r="H34" i="4"/>
  <c r="M34" i="4" s="1"/>
  <c r="N34" i="4" s="1"/>
  <c r="M15" i="4"/>
  <c r="N15" i="4" s="1"/>
  <c r="I69" i="1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H25" i="4"/>
  <c r="M25" i="4" s="1"/>
  <c r="N25" i="4" s="1"/>
  <c r="C21" i="11"/>
  <c r="M21" i="11" s="1"/>
  <c r="N21" i="11" s="1"/>
  <c r="H21" i="4"/>
  <c r="M21" i="4" s="1"/>
  <c r="N21" i="4" s="1"/>
  <c r="H69" i="4"/>
  <c r="M68" i="4"/>
  <c r="N68" i="4" s="1"/>
  <c r="C18" i="11"/>
  <c r="H18" i="4"/>
  <c r="M18" i="4" s="1"/>
  <c r="N18" i="4" s="1"/>
  <c r="C52" i="11"/>
  <c r="H53" i="4"/>
  <c r="C19" i="11"/>
  <c r="M19" i="11" s="1"/>
  <c r="N19" i="11" s="1"/>
  <c r="H19" i="4"/>
  <c r="M19" i="4" s="1"/>
  <c r="N19" i="4" s="1"/>
  <c r="H85" i="4"/>
  <c r="M79" i="4"/>
  <c r="N79" i="4" s="1"/>
  <c r="C23" i="11"/>
  <c r="M23" i="11" s="1"/>
  <c r="N23" i="11" s="1"/>
  <c r="H23" i="4"/>
  <c r="M23" i="4" s="1"/>
  <c r="N23" i="4" s="1"/>
  <c r="H37" i="4"/>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L15" i="4" s="1"/>
  <c r="I37" i="11"/>
  <c r="I85" i="11" s="1"/>
  <c r="O34" i="11"/>
  <c r="D15" i="5"/>
  <c r="K15" i="5" s="1"/>
  <c r="L15" i="5" s="1"/>
  <c r="C15" i="11"/>
  <c r="D78" i="5"/>
  <c r="K78" i="5" s="1"/>
  <c r="L78" i="5" s="1"/>
  <c r="C78" i="11"/>
  <c r="D68" i="5"/>
  <c r="D69" i="5" s="1"/>
  <c r="C68" i="11"/>
  <c r="D17" i="5"/>
  <c r="K17" i="5" s="1"/>
  <c r="L17" i="5" s="1"/>
  <c r="C17" i="11"/>
  <c r="M18" i="11"/>
  <c r="N18" i="11" s="1"/>
  <c r="D26" i="5"/>
  <c r="K26" i="5" s="1"/>
  <c r="L26" i="5" s="1"/>
  <c r="C26" i="11"/>
  <c r="D80" i="5"/>
  <c r="K80" i="5" s="1"/>
  <c r="L80" i="5" s="1"/>
  <c r="C80" i="11"/>
  <c r="D36" i="5"/>
  <c r="K36" i="5" s="1"/>
  <c r="L36" i="5" s="1"/>
  <c r="C36" i="11"/>
  <c r="D81" i="5"/>
  <c r="C81" i="11"/>
  <c r="BI126" i="2"/>
  <c r="F5" i="11"/>
  <c r="F37" i="11"/>
  <c r="H28" i="11"/>
  <c r="K28" i="11" s="1"/>
  <c r="L28" i="11" s="1"/>
  <c r="K13" i="11"/>
  <c r="L13" i="11" s="1"/>
  <c r="M25" i="11"/>
  <c r="N25" i="11" s="1"/>
  <c r="M14" i="11"/>
  <c r="N14" i="11" s="1"/>
  <c r="D16" i="5"/>
  <c r="K16" i="5" s="1"/>
  <c r="L16" i="5" s="1"/>
  <c r="C16" i="11"/>
  <c r="D77" i="5"/>
  <c r="C77" i="11"/>
  <c r="D79" i="5"/>
  <c r="K79" i="5" s="1"/>
  <c r="L79" i="5" s="1"/>
  <c r="C79" i="11"/>
  <c r="D22" i="5"/>
  <c r="K22" i="5" s="1"/>
  <c r="L22" i="5" s="1"/>
  <c r="C22" i="11"/>
  <c r="D35" i="5"/>
  <c r="K35" i="5" s="1"/>
  <c r="L35" i="5" s="1"/>
  <c r="C35" i="11"/>
  <c r="O54" i="11"/>
  <c r="H69" i="1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81" i="5"/>
  <c r="L81" i="5" s="1"/>
  <c r="K68" i="4"/>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K69" i="11" l="1"/>
  <c r="L69" i="11" s="1"/>
  <c r="K68" i="5"/>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87" i="4"/>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<sst xmlns="http://schemas.openxmlformats.org/spreadsheetml/2006/main" count="1600" uniqueCount="335">
  <si>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</si>
  <si>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</si>
  <si>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</si>
  <si>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</si>
  <si>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</si>
  <si>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</si>
  <si>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</si>
  <si>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</si>
  <si>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</si>
  <si>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</si>
  <si>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</si>
  <si>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</si>
  <si>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</si>
  <si>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</si>
  <si>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</si>
  <si>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</si>
  <si>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</si>
  <si>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</si>
  <si>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</si>
  <si>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</si>
  <si>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</si>
  <si>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</si>
  <si>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</si>
  <si>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</si>
  <si>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</si>
  <si>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</si>
  <si>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</si>
  <si>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</si>
  <si>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</si>
  <si>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</si>
  <si>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</si>
  <si>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</si>
  <si>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</si>
  <si>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</si>
  <si>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</si>
  <si>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</si>
  <si>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</si>
  <si>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</si>
  <si>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</si>
  <si>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</si>
  <si>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</si>
  <si>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</si>
  <si>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</si>
  <si>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</si>
  <si>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</si>
  <si>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</si>
  <si>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</si>
  <si>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</si>
  <si>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</si>
  <si>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</si>
  <si>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</si>
  <si>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</si>
  <si>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</si>
  <si>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</si>
  <si>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</si>
  <si>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</si>
  <si>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</si>
  <si>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</si>
  <si>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</si>
  <si>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</si>
  <si>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</si>
  <si>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</si>
  <si>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</si>
  <si>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</si>
  <si>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</si>
  <si>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</si>
  <si>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</si>
  <si>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</si>
  <si>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</si>
  <si>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</si>
  <si>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</si>
  <si>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</si>
  <si>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</si>
  <si>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</si>
  <si>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</si>
  <si>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</si>
  <si>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</si>
  <si>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</si>
  <si>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</si>
  <si>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</si>
  <si>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</si>
  <si>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</si>
  <si>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</si>
  <si>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</si>
  <si>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</si>
  <si>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</si>
  <si>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</si>
  <si>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</si>
  <si>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</si>
  <si>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</si>
  <si>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</si>
  <si>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</si>
  <si>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</si>
  <si>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</si>
  <si>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</si>
  <si>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</si>
  <si>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</si>
  <si>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</si>
  <si>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</si>
  <si>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</si>
  <si>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</si>
  <si>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</si>
  <si>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</si>
  <si>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</si>
  <si>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</si>
  <si>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</si>
  <si>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</si>
  <si>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</si>
  <si>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</si>
  <si>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</si>
  <si>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</si>
  <si>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</si>
  <si>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</si>
  <si>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</si>
  <si>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</si>
  <si>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</si>
  <si>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</si>
  <si>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</si>
  <si>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</si>
  <si>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</si>
  <si>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</si>
  <si>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</si>
  <si>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</si>
  <si>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</si>
  <si>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</si>
  <si>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</si>
  <si>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</si>
  <si>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</si>
  <si>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</si>
  <si>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</si>
  <si>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</si>
  <si>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</si>
  <si>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</si>
  <si>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</si>
  <si>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</si>
  <si>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</si>
  <si>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</si>
  <si>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</si>
  <si>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</si>
  <si>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</si>
  <si>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</si>
  <si>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</si>
  <si>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</si>
  <si>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</si>
  <si>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</si>
  <si>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</si>
  <si>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</si>
  <si>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</si>
  <si>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</si>
  <si>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</si>
  <si>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</si>
  <si>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</si>
  <si>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</si>
  <si>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</si>
  <si>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</si>
  <si>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</si>
  <si>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</si>
  <si>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</si>
  <si>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</si>
  <si>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</si>
  <si>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</si>
  <si>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</si>
  <si>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</si>
  <si>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</si>
  <si>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</si>
  <si>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</si>
  <si>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</si>
  <si>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</si>
  <si>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</si>
  <si>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</si>
  <si>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</si>
  <si>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</si>
  <si>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</si>
  <si>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</si>
  <si>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</si>
  <si>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</si>
  <si>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</si>
  <si>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</si>
  <si>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</si>
  <si>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</si>
  <si>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</si>
  <si>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</si>
  <si>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</si>
  <si>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</si>
  <si>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</si>
  <si>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</si>
  <si>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</si>
  <si>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</si>
  <si>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</si>
  <si>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</si>
  <si>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</si>
  <si>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</si>
  <si>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</si>
  <si>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</si>
  <si>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</si>
  <si>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</si>
  <si>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</si>
  <si>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</si>
  <si>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</si>
  <si>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</si>
  <si>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</si>
  <si>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</si>
  <si>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</si>
  <si>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</si>
  <si>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</si>
  <si>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</si>
  <si>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</si>
  <si>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</si>
  <si>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</si>
  <si>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</si>
  <si>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</si>
  <si>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</si>
  <si>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</si>
  <si>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</si>
  <si>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</si>
  <si>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</si>
  <si>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</si>
  <si>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</si>
  <si>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</si>
  <si>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</si>
  <si>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</si>
  <si>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</si>
  <si>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</si>
  <si>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</si>
  <si>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</si>
  <si>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</si>
  <si>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</si>
  <si>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</si>
  <si>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</si>
  <si>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</si>
  <si>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</si>
  <si>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</si>
  <si>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</si>
  <si>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</si>
  <si>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</si>
  <si>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</si>
  <si>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</si>
  <si>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</si>
  <si>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</si>
  <si>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</si>
  <si>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</si>
  <si>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</si>
  <si>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</si>
  <si>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</si>
  <si>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</si>
  <si>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</si>
  <si>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</si>
  <si>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</si>
  <si>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</si>
  <si>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</si>
  <si>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</si>
  <si>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</si>
  <si>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</si>
  <si>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</si>
  <si>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</si>
  <si>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</si>
  <si>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</si>
  <si>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</si>
  <si>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</si>
  <si>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</si>
  <si>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</si>
  <si>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</si>
  <si>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</si>
  <si>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</si>
  <si>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</si>
  <si>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</si>
  <si>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</si>
  <si>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</si>
  <si>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</si>
  <si>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</si>
  <si>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</si>
  <si>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</si>
  <si>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</si>
  <si>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</si>
  <si>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</si>
  <si>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</si>
  <si>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</si>
  <si>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</si>
  <si>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</si>
  <si>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</si>
  <si>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</si>
  <si>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</si>
  <si>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</si>
  <si>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</si>
  <si>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</si>
  <si>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</si>
  <si>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</si>
  <si>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</si>
  <si>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</si>
  <si>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</si>
  <si>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</si>
  <si>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</si>
  <si>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</si>
  <si>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</si>
  <si>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</si>
  <si>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</si>
  <si>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</si>
  <si>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AC - FG</t>
  </si>
  <si>
    <t>Actual-FG</t>
  </si>
  <si>
    <t>% of Total FG 2020-21</t>
  </si>
  <si>
    <t xml:space="preserve">OBG(SL) 2021-22 </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</si>
  <si>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</si>
  <si>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</si>
  <si>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</si>
  <si>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</si>
  <si>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</si>
  <si>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</si>
  <si>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</si>
  <si>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</si>
  <si>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</si>
  <si>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</si>
  <si>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</si>
  <si>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</si>
  <si>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</si>
  <si>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</si>
  <si>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</si>
  <si>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</si>
  <si>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</si>
  <si>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</si>
  <si>
    <t>% of Total OWE 2020-21</t>
  </si>
  <si>
    <t xml:space="preserve"> </t>
  </si>
  <si>
    <t>PU - 74</t>
  </si>
  <si>
    <t>PU - 38</t>
  </si>
  <si>
    <t>Adjustments (PU-33)</t>
  </si>
  <si>
    <t>P U Wise  expenditure   to   end   of Oct-21 on OBG(SL) ZONAL</t>
  </si>
  <si>
    <t>BP to end  Oct-21</t>
  </si>
  <si>
    <t>Actuals upto Oct' 20</t>
  </si>
  <si>
    <t>Actuals upto Oct' 21</t>
  </si>
  <si>
    <t>ORDINARY WORKING EXPENSES PU WISE ZONAL Oct-21</t>
  </si>
  <si>
    <t>Actual upto Oct'20</t>
  </si>
  <si>
    <t>Actual Upto Oct'21</t>
  </si>
  <si>
    <t>FINANCE REGISTER - GRANT WISE AND PU WISE SUMMARY FROM MONTH :APRIL    20 TO OCTOBER  20</t>
  </si>
  <si>
    <t>Report generated on : 26.10.2021 at 11:36:43 AM</t>
  </si>
  <si>
    <t>FINANCE REGISTER - GRANT WISE AND PU WISE SUMMARY FROM MONTH :APRIL    21 TO OCTOBER  21</t>
  </si>
  <si>
    <t>Report generated on : 08.11.2021 at 10:51:48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</si>
</sst>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b/>
      <i/>
      <sz val="10"/>
      <name val="Arial"/>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0">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4"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5" fillId="0" borderId="0" xfId="0" applyFont="1"/>
    <xf numFmtId="0" fontId="25" fillId="0" borderId="3" xfId="0" applyFont="1" applyBorder="1" applyAlignment="1">
      <alignment horizontal="center" vertical="center" wrapText="1"/>
    </xf>
    <xf numFmtId="0" fontId="25" fillId="0" borderId="3" xfId="0" applyFont="1" applyBorder="1" applyAlignment="1">
      <alignment horizontal="center"/>
    </xf>
    <xf numFmtId="1" fontId="25" fillId="0" borderId="3" xfId="0" applyNumberFormat="1" applyFont="1" applyBorder="1" applyAlignment="1">
      <alignment horizontal="right"/>
    </xf>
    <xf numFmtId="1" fontId="25" fillId="0" borderId="3" xfId="0" applyNumberFormat="1" applyFont="1" applyBorder="1"/>
    <xf numFmtId="164" fontId="25" fillId="0" borderId="3" xfId="1" applyNumberFormat="1" applyFont="1" applyBorder="1"/>
    <xf numFmtId="10" fontId="25" fillId="0" borderId="3" xfId="1" applyNumberFormat="1" applyFont="1" applyBorder="1"/>
    <xf numFmtId="0" fontId="25" fillId="0" borderId="3" xfId="0" applyFont="1" applyBorder="1"/>
    <xf numFmtId="1" fontId="25" fillId="0" borderId="3" xfId="0" applyNumberFormat="1" applyFont="1" applyFill="1" applyBorder="1" applyAlignment="1">
      <alignment horizontal="right"/>
    </xf>
    <xf numFmtId="0" fontId="26" fillId="0" borderId="0" xfId="0" applyFont="1"/>
    <xf numFmtId="1" fontId="25" fillId="0" borderId="3" xfId="0" applyNumberFormat="1" applyFont="1" applyFill="1" applyBorder="1"/>
    <xf numFmtId="0" fontId="25" fillId="0" borderId="3" xfId="0" applyFont="1" applyBorder="1" applyAlignment="1">
      <alignment horizontal="left" wrapText="1"/>
    </xf>
    <xf numFmtId="0" fontId="8" fillId="3" borderId="0" xfId="0" applyFont="1" applyFill="1"/>
    <xf numFmtId="0" fontId="27" fillId="3" borderId="3" xfId="0" applyFont="1" applyFill="1" applyBorder="1"/>
    <xf numFmtId="0" fontId="27"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7" fillId="0" borderId="3" xfId="0" applyFont="1" applyBorder="1"/>
    <xf numFmtId="2" fontId="27" fillId="0" borderId="3" xfId="0" applyNumberFormat="1" applyFont="1" applyBorder="1" applyAlignment="1">
      <alignment wrapText="1"/>
    </xf>
    <xf numFmtId="164" fontId="27" fillId="0" borderId="3" xfId="1" applyNumberFormat="1" applyFont="1" applyBorder="1"/>
    <xf numFmtId="2" fontId="27" fillId="0" borderId="3" xfId="0" applyNumberFormat="1" applyFont="1" applyBorder="1"/>
    <xf numFmtId="10" fontId="27"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7" fillId="0" borderId="3" xfId="0" applyFont="1" applyFill="1" applyBorder="1"/>
    <xf numFmtId="10" fontId="27" fillId="0" borderId="3" xfId="1" applyNumberFormat="1" applyFont="1" applyBorder="1" applyAlignment="1">
      <alignment horizontal="right"/>
    </xf>
    <xf numFmtId="0" fontId="8" fillId="0" borderId="0" xfId="0" applyFont="1" applyAlignment="1">
      <alignment wrapText="1"/>
    </xf>
    <xf numFmtId="0" fontId="27" fillId="0" borderId="3" xfId="0" applyFont="1" applyBorder="1" applyAlignment="1">
      <alignment wrapText="1"/>
    </xf>
    <xf numFmtId="0" fontId="7" fillId="3" borderId="0" xfId="0" applyFont="1" applyFill="1"/>
    <xf numFmtId="165" fontId="7" fillId="0" borderId="1" xfId="0" applyNumberFormat="1" applyFont="1" applyBorder="1" applyAlignment="1">
      <alignment horizontal="right" vertical="top"/>
    </xf>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0" fontId="6" fillId="3"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0" fontId="27" fillId="3" borderId="3" xfId="0" applyFont="1" applyFill="1" applyBorder="1" applyAlignment="1">
      <alignment horizontal="center" wrapText="1"/>
    </xf>
    <xf numFmtId="0" fontId="27" fillId="3" borderId="4" xfId="0" applyFont="1" applyFill="1" applyBorder="1" applyAlignment="1">
      <alignment horizontal="center" wrapText="1"/>
    </xf>
    <xf numFmtId="0" fontId="27" fillId="3" borderId="5" xfId="0" applyFont="1" applyFill="1" applyBorder="1" applyAlignment="1">
      <alignment horizontal="center" wrapText="1"/>
    </xf>
    <xf numFmtId="1" fontId="27" fillId="3" borderId="4" xfId="0" applyNumberFormat="1" applyFont="1" applyFill="1" applyBorder="1" applyAlignment="1">
      <alignment horizontal="center" wrapText="1"/>
    </xf>
    <xf numFmtId="1" fontId="27" fillId="3" borderId="4" xfId="0" applyNumberFormat="1" applyFont="1" applyFill="1" applyBorder="1" applyAlignment="1">
      <alignment horizontal="center"/>
    </xf>
    <xf numFmtId="0" fontId="27" fillId="3" borderId="5" xfId="0" applyFont="1" applyFill="1" applyBorder="1" applyAlignment="1">
      <alignment horizontal="center"/>
    </xf>
    <xf numFmtId="0" fontId="27" fillId="3" borderId="3"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7"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20" fillId="0" borderId="3" xfId="0" applyFont="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2" t="s">
        <v>223</v>
      </c>
      <c r="B1" s="264"/>
      <c r="C1" s="264"/>
      <c r="D1" s="264"/>
      <c r="E1" s="264"/>
      <c r="F1" s="264"/>
      <c r="G1" s="264"/>
      <c r="H1" s="264"/>
      <c r="I1" s="264"/>
      <c r="J1" s="264"/>
      <c r="K1" s="264"/>
      <c r="L1" s="264"/>
      <c r="M1" s="264"/>
      <c r="N1" s="264"/>
      <c r="O1" s="264"/>
      <c r="P1" s="264"/>
    </row>
    <row r="3" spans="1:27" x14ac:dyDescent="0.25">
      <c r="A3" s="322" t="s">
        <v>224</v>
      </c>
      <c r="B3" s="264"/>
      <c r="C3" s="264"/>
      <c r="D3" s="264"/>
      <c r="E3" s="264"/>
      <c r="F3" s="264"/>
      <c r="G3" s="264"/>
      <c r="H3" s="264"/>
      <c r="I3" s="264"/>
      <c r="J3" s="264"/>
      <c r="K3" s="264"/>
      <c r="L3" s="264"/>
      <c r="M3" s="264"/>
      <c r="N3" s="264"/>
      <c r="O3" s="264"/>
      <c r="P3" s="264"/>
    </row>
    <row r="5" spans="1:27" ht="76.5" x14ac:dyDescent="0.25">
      <c r="A5" s="140" t="s">
        <v>225</v>
      </c>
      <c r="B5" s="140" t="s">
        <v>226</v>
      </c>
      <c r="C5" s="140" t="s">
        <v>227</v>
      </c>
      <c r="D5" s="140" t="s">
        <v>228</v>
      </c>
      <c r="E5" s="140" t="s">
        <v>229</v>
      </c>
      <c r="F5" s="140" t="s">
        <v>230</v>
      </c>
      <c r="G5" s="140" t="s">
        <v>231</v>
      </c>
      <c r="H5" s="144" t="s">
        <v>232</v>
      </c>
      <c r="I5" s="140" t="s">
        <v>233</v>
      </c>
      <c r="J5" s="140" t="s">
        <v>234</v>
      </c>
      <c r="K5" s="140" t="s">
        <v>235</v>
      </c>
      <c r="L5" s="140" t="s">
        <v>236</v>
      </c>
      <c r="M5" s="140" t="s">
        <v>237</v>
      </c>
      <c r="N5" s="140" t="s">
        <v>238</v>
      </c>
      <c r="O5" s="140" t="s">
        <v>239</v>
      </c>
      <c r="P5" s="169" t="s">
        <v>240</v>
      </c>
      <c r="Q5" s="170" t="s">
        <v>72</v>
      </c>
      <c r="R5" s="170" t="s">
        <v>290</v>
      </c>
      <c r="S5" s="141"/>
      <c r="T5" s="141"/>
      <c r="U5" s="141"/>
      <c r="V5" s="141"/>
      <c r="X5" s="141"/>
      <c r="Y5" s="141"/>
      <c r="Z5" s="141"/>
      <c r="AA5" s="141"/>
    </row>
    <row r="6" spans="1:27" x14ac:dyDescent="0.25">
      <c r="A6" s="142" t="s">
        <v>241</v>
      </c>
      <c r="B6" s="142" t="s">
        <v>242</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x14ac:dyDescent="0.25">
      <c r="A7" s="142" t="s">
        <v>241</v>
      </c>
      <c r="B7" s="142" t="s">
        <v>243</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x14ac:dyDescent="0.25">
      <c r="A8" s="142" t="s">
        <v>241</v>
      </c>
      <c r="B8" s="142" t="s">
        <v>244</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x14ac:dyDescent="0.25">
      <c r="A9" s="142" t="s">
        <v>241</v>
      </c>
      <c r="B9" s="142" t="s">
        <v>245</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x14ac:dyDescent="0.25">
      <c r="A10" s="142" t="s">
        <v>241</v>
      </c>
      <c r="B10" s="142" t="s">
        <v>246</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x14ac:dyDescent="0.25">
      <c r="A11" s="142" t="s">
        <v>241</v>
      </c>
      <c r="B11" s="142" t="s">
        <v>247</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x14ac:dyDescent="0.25">
      <c r="A12" s="142" t="s">
        <v>241</v>
      </c>
      <c r="B12" s="142" t="s">
        <v>248</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x14ac:dyDescent="0.25">
      <c r="A13" s="142" t="s">
        <v>241</v>
      </c>
      <c r="B13" s="142" t="s">
        <v>249</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x14ac:dyDescent="0.25">
      <c r="A14" s="142" t="s">
        <v>241</v>
      </c>
      <c r="B14" s="142" t="s">
        <v>250</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x14ac:dyDescent="0.25">
      <c r="A15" s="142" t="s">
        <v>241</v>
      </c>
      <c r="B15" s="142" t="s">
        <v>251</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x14ac:dyDescent="0.25">
      <c r="A16" s="142" t="s">
        <v>241</v>
      </c>
      <c r="B16" s="142" t="s">
        <v>252</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x14ac:dyDescent="0.25">
      <c r="A17" s="142" t="s">
        <v>241</v>
      </c>
      <c r="B17" s="142" t="s">
        <v>253</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x14ac:dyDescent="0.25">
      <c r="A18" s="142" t="s">
        <v>241</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4" customWidth="1"/>
    <col min="2" max="2" width="10" style="154" customWidth="1"/>
    <col min="3" max="3" width="11.7109375" style="69" customWidth="1"/>
    <col min="4" max="4" width="11.7109375" style="154" customWidth="1"/>
    <col min="5" max="5" width="2" style="154" hidden="1" customWidth="1"/>
    <col min="6" max="6" width="17.28515625" style="154" customWidth="1"/>
    <col min="7" max="7" width="13.42578125" style="154" customWidth="1"/>
    <col min="8" max="8" width="10.7109375" style="154" customWidth="1"/>
    <col min="9" max="9" width="11.7109375" style="154" customWidth="1"/>
    <col min="10" max="12" width="10.7109375" style="154" customWidth="1"/>
    <col min="13" max="13" width="11.28515625" style="154" customWidth="1"/>
    <col min="14" max="14" width="11.5703125" style="154" customWidth="1"/>
    <col min="15" max="15" width="11.140625" style="154" customWidth="1"/>
    <col min="16" max="16" width="98.28515625" style="147" customWidth="1"/>
    <col min="17" max="17" width="12.140625" style="147" customWidth="1"/>
    <col min="18" max="18" width="10.28515625" style="154" customWidth="1"/>
    <col min="19" max="16384" width="9.140625" style="154"/>
  </cols>
  <sheetData>
    <row r="1" spans="1:19" x14ac:dyDescent="0.25">
      <c r="A1" s="36" t="s">
        <v>280</v>
      </c>
      <c r="B1" s="36"/>
    </row>
    <row r="2" spans="1:19" x14ac:dyDescent="0.25">
      <c r="M2" s="36" t="s">
        <v>150</v>
      </c>
      <c r="P2" s="174" t="s">
        <v>292</v>
      </c>
    </row>
    <row r="3" spans="1:19" s="36" customFormat="1" ht="15" customHeight="1" x14ac:dyDescent="0.25">
      <c r="A3" s="299" t="s">
        <v>151</v>
      </c>
      <c r="B3" s="303" t="s">
        <v>302</v>
      </c>
      <c r="C3" s="305" t="str">
        <f>'PU Wise OWE'!$B$7</f>
        <v>Actuals upto Oct' 20</v>
      </c>
      <c r="D3" s="303" t="s">
        <v>173</v>
      </c>
      <c r="E3" s="303"/>
      <c r="F3" s="305" t="str">
        <f>'PU Wise OWE'!$B$5</f>
        <v xml:space="preserve">OBG(SL) 2021-22 </v>
      </c>
      <c r="G3" s="303" t="s">
        <v>308</v>
      </c>
      <c r="H3" s="303" t="s">
        <v>316</v>
      </c>
      <c r="I3" s="305" t="str">
        <f>'PU Wise OWE'!B8</f>
        <v>Actuals upto Oct' 21</v>
      </c>
      <c r="J3" s="303" t="s">
        <v>205</v>
      </c>
      <c r="K3" s="306" t="s">
        <v>207</v>
      </c>
      <c r="L3" s="306"/>
      <c r="M3" s="306" t="s">
        <v>147</v>
      </c>
      <c r="N3" s="306"/>
      <c r="O3" s="279" t="s">
        <v>314</v>
      </c>
      <c r="P3" s="175" t="s">
        <v>293</v>
      </c>
      <c r="Q3" s="155"/>
    </row>
    <row r="4" spans="1:19" ht="15.6" customHeight="1" x14ac:dyDescent="0.25">
      <c r="A4" s="300"/>
      <c r="B4" s="304"/>
      <c r="C4" s="304"/>
      <c r="D4" s="304"/>
      <c r="E4" s="304"/>
      <c r="F4" s="304"/>
      <c r="G4" s="304"/>
      <c r="H4" s="304"/>
      <c r="I4" s="304"/>
      <c r="J4" s="304"/>
      <c r="K4" s="19" t="s">
        <v>145</v>
      </c>
      <c r="L4" s="18" t="s">
        <v>146</v>
      </c>
      <c r="M4" s="19" t="s">
        <v>145</v>
      </c>
      <c r="N4" s="18" t="s">
        <v>146</v>
      </c>
      <c r="O4" s="279"/>
      <c r="P4" s="174" t="s">
        <v>294</v>
      </c>
      <c r="R4" s="69" t="s">
        <v>281</v>
      </c>
    </row>
    <row r="5" spans="1:19" ht="15.75" x14ac:dyDescent="0.25">
      <c r="A5" s="61" t="s">
        <v>148</v>
      </c>
      <c r="B5" s="103">
        <v>4575.6000000000004</v>
      </c>
      <c r="C5" s="70">
        <f>ROUND('PU Wise OWE'!$AD$128/10000,2)</f>
        <v>2754.28</v>
      </c>
      <c r="D5" s="66">
        <f>C5/C7</f>
        <v>0.5369333190373613</v>
      </c>
      <c r="E5" s="66"/>
      <c r="F5" s="22">
        <f>ROUND('PU Wise OWE'!$AD$126/10000,2)</f>
        <v>4962.2700000000004</v>
      </c>
      <c r="G5" s="66">
        <f>F5/F7</f>
        <v>0.59996010155966639</v>
      </c>
      <c r="H5" s="23">
        <f>ROUND('PU Wise OWE'!$AD$127/10000,2)</f>
        <v>2989.24</v>
      </c>
      <c r="I5" s="23">
        <f>ROUND('PU Wise OWE'!$AD$129/10000,2)</f>
        <v>3030.71</v>
      </c>
      <c r="J5" s="24">
        <f>I5/$I$7</f>
        <v>0.52654521320954017</v>
      </c>
      <c r="K5" s="22">
        <f>H5-I5</f>
        <v>-41.470000000000255</v>
      </c>
      <c r="L5" s="24">
        <f>K5/I5</f>
        <v>-1.3683262337868108E-2</v>
      </c>
      <c r="M5" s="22">
        <f>I5-C5</f>
        <v>276.42999999999984</v>
      </c>
      <c r="N5" s="52">
        <f>M5/C5</f>
        <v>0.10036379743526432</v>
      </c>
      <c r="O5" s="52">
        <f>I5/F5</f>
        <v>0.61075072497062832</v>
      </c>
      <c r="P5" s="147">
        <f>10.57+1.36+2.68+11.45+3.4+9.35</f>
        <v>38.809999999999995</v>
      </c>
      <c r="Q5" s="164">
        <f>Q28+I5-I28</f>
        <v>3603.5760000000014</v>
      </c>
      <c r="R5" s="68">
        <f>Q5-F5</f>
        <v>-1358.6939999999991</v>
      </c>
      <c r="S5" s="68"/>
    </row>
    <row r="6" spans="1:19" ht="15.75" x14ac:dyDescent="0.25">
      <c r="A6" s="78" t="s">
        <v>144</v>
      </c>
      <c r="B6" s="103">
        <v>3242.41</v>
      </c>
      <c r="C6" s="70">
        <f>C7-C5</f>
        <v>2375.3699999999994</v>
      </c>
      <c r="D6" s="66">
        <f>C6/C7</f>
        <v>0.4630666809626387</v>
      </c>
      <c r="E6" s="66"/>
      <c r="F6" s="21">
        <f t="shared" ref="F6:I6" si="0">F7-F5</f>
        <v>3308.7299999999996</v>
      </c>
      <c r="G6" s="66">
        <f>F6/F7</f>
        <v>0.40003989844033366</v>
      </c>
      <c r="H6" s="21">
        <f t="shared" si="0"/>
        <v>2260.4400000000005</v>
      </c>
      <c r="I6" s="21">
        <f t="shared" si="0"/>
        <v>2725.13</v>
      </c>
      <c r="J6" s="24">
        <f t="shared" ref="J6:J7" si="1">I6/$I$7</f>
        <v>0.47345478679045977</v>
      </c>
      <c r="K6" s="22">
        <f t="shared" ref="K6:K7" si="2">H6-I6</f>
        <v>-464.6899999999996</v>
      </c>
      <c r="L6" s="24">
        <f t="shared" ref="L6:L7" si="3">K6/I6</f>
        <v>-0.17052030545331767</v>
      </c>
      <c r="M6" s="22">
        <f>I6-C6</f>
        <v>349.76000000000067</v>
      </c>
      <c r="N6" s="52">
        <f>M6/C6</f>
        <v>0.1472444292889111</v>
      </c>
      <c r="O6" s="52">
        <f>I6/F6</f>
        <v>0.82361812538345547</v>
      </c>
      <c r="P6" s="147">
        <f>26.18+9.93</f>
        <v>36.11</v>
      </c>
      <c r="Q6" s="164">
        <f>Q85+I6-I85</f>
        <v>3074.9260000000008</v>
      </c>
      <c r="R6" s="68">
        <f>Q6-F6</f>
        <v>-233.80399999999872</v>
      </c>
      <c r="S6" s="68"/>
    </row>
    <row r="7" spans="1:19" x14ac:dyDescent="0.25">
      <c r="A7" s="27" t="s">
        <v>171</v>
      </c>
      <c r="B7" s="104">
        <f>SUM(B5:B6)</f>
        <v>7818.01</v>
      </c>
      <c r="C7" s="71">
        <f>ROUND('PU Wise OWE'!BK128/10000,2)</f>
        <v>5129.6499999999996</v>
      </c>
      <c r="D7" s="67">
        <f>SUM(D5:D6)</f>
        <v>1</v>
      </c>
      <c r="E7" s="67"/>
      <c r="F7" s="26">
        <f>ROUND('PU Wise OWE'!BK126/10000,2)</f>
        <v>8271</v>
      </c>
      <c r="G7" s="67">
        <f>SUM(G5:G6)</f>
        <v>1</v>
      </c>
      <c r="H7" s="25">
        <f>ROUND('PU Wise OWE'!BK127/10000,2)</f>
        <v>5249.68</v>
      </c>
      <c r="I7" s="25">
        <f>ROUND('PU Wise OWE'!BK129/10000,2)</f>
        <v>5755.84</v>
      </c>
      <c r="J7" s="54">
        <f t="shared" si="1"/>
        <v>1</v>
      </c>
      <c r="K7" s="26">
        <f t="shared" si="2"/>
        <v>-506.15999999999985</v>
      </c>
      <c r="L7" s="54">
        <f t="shared" si="3"/>
        <v>-8.793851114693943E-2</v>
      </c>
      <c r="M7" s="26">
        <f>I7-C7</f>
        <v>626.19000000000051</v>
      </c>
      <c r="N7" s="55">
        <f>M7/C7</f>
        <v>0.1220726560291639</v>
      </c>
      <c r="O7" s="52">
        <f>I7/F7</f>
        <v>0.69590617821303347</v>
      </c>
      <c r="Q7" s="68">
        <f>SUM(Q5:Q6)</f>
        <v>6678.5020000000022</v>
      </c>
      <c r="R7" s="68">
        <f>Q7-F7</f>
        <v>-1592.4979999999978</v>
      </c>
      <c r="S7" s="68"/>
    </row>
    <row r="8" spans="1:19" x14ac:dyDescent="0.25">
      <c r="A8" s="32"/>
      <c r="B8" s="32"/>
      <c r="C8" s="72"/>
      <c r="D8" s="33"/>
      <c r="E8" s="33"/>
      <c r="F8" s="34"/>
      <c r="G8" s="34"/>
      <c r="H8" s="34"/>
      <c r="I8" s="31"/>
      <c r="J8" s="31"/>
      <c r="K8" s="31"/>
      <c r="L8" s="31"/>
      <c r="M8" s="34"/>
      <c r="N8" s="31"/>
    </row>
    <row r="9" spans="1:19" ht="14.45" customHeight="1" x14ac:dyDescent="0.25">
      <c r="C9" s="72"/>
      <c r="D9" s="33"/>
      <c r="E9" s="33"/>
      <c r="F9" s="34"/>
      <c r="G9" s="34"/>
      <c r="H9" s="34"/>
      <c r="I9" s="31"/>
      <c r="J9" s="31"/>
      <c r="K9" s="31"/>
      <c r="L9" s="31"/>
      <c r="M9" s="34"/>
      <c r="N9" s="31"/>
    </row>
    <row r="10" spans="1:19" x14ac:dyDescent="0.25">
      <c r="A10" s="62" t="s">
        <v>172</v>
      </c>
      <c r="B10" s="62"/>
      <c r="C10" s="73"/>
      <c r="D10" s="63"/>
      <c r="E10" s="63"/>
      <c r="F10" s="63"/>
      <c r="G10" s="63"/>
      <c r="H10" s="63"/>
      <c r="I10" s="63"/>
      <c r="J10" s="63"/>
      <c r="K10" s="63"/>
      <c r="L10" s="63"/>
      <c r="M10" s="36" t="s">
        <v>150</v>
      </c>
    </row>
    <row r="11" spans="1:19" ht="15" customHeight="1" x14ac:dyDescent="0.25">
      <c r="A11" s="298"/>
      <c r="B11" s="298" t="s">
        <v>302</v>
      </c>
      <c r="C11" s="287" t="str">
        <f>'PU Wise OWE'!$B$7</f>
        <v>Actuals upto Oct' 20</v>
      </c>
      <c r="D11" s="298" t="s">
        <v>173</v>
      </c>
      <c r="E11" s="298"/>
      <c r="F11" s="319" t="str">
        <f>'PU Wise OWE'!$B$5</f>
        <v xml:space="preserve">OBG(SL) 2021-22 </v>
      </c>
      <c r="G11" s="298" t="s">
        <v>309</v>
      </c>
      <c r="H11" s="298" t="s">
        <v>316</v>
      </c>
      <c r="I11" s="287" t="str">
        <f>'PU Wise OWE'!B8</f>
        <v>Actuals upto Oct' 21</v>
      </c>
      <c r="J11" s="298" t="s">
        <v>205</v>
      </c>
      <c r="K11" s="295" t="s">
        <v>207</v>
      </c>
      <c r="L11" s="295"/>
      <c r="M11" s="295" t="s">
        <v>147</v>
      </c>
      <c r="N11" s="295"/>
      <c r="O11" s="280" t="s">
        <v>314</v>
      </c>
      <c r="P11" s="324" t="s">
        <v>268</v>
      </c>
      <c r="Q11" s="163"/>
    </row>
    <row r="12" spans="1:19" ht="17.25" customHeight="1" x14ac:dyDescent="0.25">
      <c r="A12" s="288"/>
      <c r="B12" s="288"/>
      <c r="C12" s="288"/>
      <c r="D12" s="288"/>
      <c r="E12" s="288"/>
      <c r="F12" s="320"/>
      <c r="G12" s="288"/>
      <c r="H12" s="288"/>
      <c r="I12" s="288"/>
      <c r="J12" s="288"/>
      <c r="K12" s="64" t="s">
        <v>145</v>
      </c>
      <c r="L12" s="65" t="s">
        <v>146</v>
      </c>
      <c r="M12" s="64" t="s">
        <v>145</v>
      </c>
      <c r="N12" s="65" t="s">
        <v>146</v>
      </c>
      <c r="O12" s="280"/>
      <c r="P12" s="324"/>
      <c r="Q12" s="163"/>
    </row>
    <row r="13" spans="1:19" ht="15.75" x14ac:dyDescent="0.25">
      <c r="A13" s="20" t="s">
        <v>152</v>
      </c>
      <c r="B13" s="105">
        <v>2522.8000000000002</v>
      </c>
      <c r="C13" s="70">
        <f>ROUND('PU Wise OWE'!$C$128/10000,2)</f>
        <v>1470.58</v>
      </c>
      <c r="D13" s="66">
        <f>C13/$C$7</f>
        <v>0.2866823272542961</v>
      </c>
      <c r="E13" s="21"/>
      <c r="F13" s="22">
        <f>ROUND('PU Wise OWE'!$C$126/10000,2)</f>
        <v>2509.4499999999998</v>
      </c>
      <c r="G13" s="24">
        <f>F13/$F$7</f>
        <v>0.30340345786482892</v>
      </c>
      <c r="H13" s="23">
        <f>ROUND('PU Wise OWE'!$C$127/10000,2)</f>
        <v>1505.67</v>
      </c>
      <c r="I13" s="23">
        <f>ROUND('PU Wise OWE'!$C$129/10000,2)</f>
        <v>1507.04</v>
      </c>
      <c r="J13" s="24">
        <f>I13/$I$7</f>
        <v>0.26182798687941289</v>
      </c>
      <c r="K13" s="22">
        <f>H13-I13</f>
        <v>-1.3699999999998909</v>
      </c>
      <c r="L13" s="24">
        <f>K13/I13</f>
        <v>-9.0906677991286957E-4</v>
      </c>
      <c r="M13" s="22">
        <f t="shared" ref="M13:M28" si="4">I13-C13</f>
        <v>36.460000000000036</v>
      </c>
      <c r="N13" s="52">
        <f t="shared" ref="N13:N28" si="5">M13/C13</f>
        <v>2.4792938840457534E-2</v>
      </c>
      <c r="O13" s="52">
        <f>I13/F13</f>
        <v>0.60054593636055709</v>
      </c>
      <c r="P13" s="156"/>
      <c r="Q13" s="164">
        <f>(I13/10)*12</f>
        <v>1808.4480000000001</v>
      </c>
      <c r="R13" s="168">
        <f t="shared" ref="R13:R27" si="6">Q13-F13</f>
        <v>-701.00199999999973</v>
      </c>
    </row>
    <row r="14" spans="1:19" ht="15.75" x14ac:dyDescent="0.25">
      <c r="A14" s="20" t="s">
        <v>153</v>
      </c>
      <c r="B14" s="105">
        <v>441.91</v>
      </c>
      <c r="C14" s="70">
        <f>ROUND('PU Wise OWE'!$D$128/10000,2)</f>
        <v>257.20999999999998</v>
      </c>
      <c r="D14" s="66">
        <f t="shared" ref="D14:D27" si="7">C14/$C$7</f>
        <v>5.0141822541498932E-2</v>
      </c>
      <c r="E14" s="21"/>
      <c r="F14" s="22">
        <f>ROUND('PU Wise OWE'!$D$126/10000,2)</f>
        <v>755.98</v>
      </c>
      <c r="G14" s="24">
        <f t="shared" ref="G14:G27" si="8">F14/$F$7</f>
        <v>9.1401281586265259E-2</v>
      </c>
      <c r="H14" s="23">
        <f>ROUND('PU Wise OWE'!$D$127/10000,2)</f>
        <v>407.99</v>
      </c>
      <c r="I14" s="23">
        <f>ROUND('PU Wise OWE'!$D$129/10000,2)</f>
        <v>391.09</v>
      </c>
      <c r="J14" s="24">
        <f t="shared" ref="J14:J28" si="9">I14/$I$7</f>
        <v>6.7946642019236114E-2</v>
      </c>
      <c r="K14" s="22">
        <f t="shared" ref="K14:K28" si="10">H14-I14</f>
        <v>16.900000000000034</v>
      </c>
      <c r="L14" s="24">
        <f t="shared" ref="L14:L28" si="11">K14/I14</f>
        <v>4.3212559768851251E-2</v>
      </c>
      <c r="M14" s="22">
        <f t="shared" si="4"/>
        <v>133.88</v>
      </c>
      <c r="N14" s="52">
        <f t="shared" si="5"/>
        <v>0.52050853388281948</v>
      </c>
      <c r="O14" s="52">
        <f t="shared" ref="O14:O27" si="12">I14/F14</f>
        <v>0.51732850075398817</v>
      </c>
      <c r="P14" s="156"/>
      <c r="Q14" s="164">
        <f>(I14/10)*12</f>
        <v>469.30799999999994</v>
      </c>
      <c r="R14" s="68">
        <f t="shared" si="6"/>
        <v>-286.67200000000008</v>
      </c>
    </row>
    <row r="15" spans="1:19" ht="15.75" x14ac:dyDescent="0.25">
      <c r="A15" s="23" t="s">
        <v>174</v>
      </c>
      <c r="B15" s="22">
        <v>98.2</v>
      </c>
      <c r="C15" s="70">
        <f>ROUND('PU Wise OWE'!$E$128/10000,2)</f>
        <v>92.63</v>
      </c>
      <c r="D15" s="66">
        <f t="shared" si="7"/>
        <v>1.8057762225492966E-2</v>
      </c>
      <c r="E15" s="21"/>
      <c r="F15" s="22">
        <f>ROUND('PU Wise OWE'!$E$126/10000,2)</f>
        <v>99.13</v>
      </c>
      <c r="G15" s="24">
        <f t="shared" si="8"/>
        <v>1.1985249667512996E-2</v>
      </c>
      <c r="H15" s="23">
        <f>ROUND('PU Wise OWE'!$E$127/10000,2)</f>
        <v>99.13</v>
      </c>
      <c r="I15" s="23">
        <f>ROUND('PU Wise OWE'!$E$129/10000,2)</f>
        <v>93.86</v>
      </c>
      <c r="J15" s="24">
        <f t="shared" si="9"/>
        <v>1.630691610607661E-2</v>
      </c>
      <c r="K15" s="22">
        <f t="shared" si="10"/>
        <v>5.269999999999996</v>
      </c>
      <c r="L15" s="24">
        <f t="shared" si="11"/>
        <v>5.6147453654378822E-2</v>
      </c>
      <c r="M15" s="22">
        <f t="shared" si="4"/>
        <v>1.230000000000004</v>
      </c>
      <c r="N15" s="52">
        <f t="shared" si="5"/>
        <v>1.3278635431285804E-2</v>
      </c>
      <c r="O15" s="52">
        <f t="shared" si="12"/>
        <v>0.94683748612932517</v>
      </c>
      <c r="P15" s="156" t="s">
        <v>269</v>
      </c>
      <c r="Q15" s="164">
        <f>F15</f>
        <v>99.13</v>
      </c>
      <c r="R15" s="68">
        <f t="shared" si="6"/>
        <v>0</v>
      </c>
    </row>
    <row r="16" spans="1:19" ht="15.75" x14ac:dyDescent="0.25">
      <c r="A16" s="23" t="s">
        <v>175</v>
      </c>
      <c r="B16" s="22">
        <v>264.85000000000002</v>
      </c>
      <c r="C16" s="70">
        <f>ROUND('PU Wise OWE'!$F$128/10000,2)</f>
        <v>154.66999999999999</v>
      </c>
      <c r="D16" s="66">
        <f t="shared" si="7"/>
        <v>3.0152154630432876E-2</v>
      </c>
      <c r="E16" s="21"/>
      <c r="F16" s="22">
        <f>ROUND('PU Wise OWE'!$F$126/10000,2)</f>
        <v>286.05</v>
      </c>
      <c r="G16" s="24">
        <f t="shared" si="8"/>
        <v>3.4584693507435621E-2</v>
      </c>
      <c r="H16" s="23">
        <f>ROUND('PU Wise OWE'!$F$127/10000,2)</f>
        <v>171.63</v>
      </c>
      <c r="I16" s="23">
        <f>ROUND('PU Wise OWE'!$F$129/10000,2)</f>
        <v>171.4</v>
      </c>
      <c r="J16" s="24">
        <f t="shared" si="9"/>
        <v>2.9778451103574806E-2</v>
      </c>
      <c r="K16" s="22">
        <f t="shared" si="10"/>
        <v>0.22999999999998977</v>
      </c>
      <c r="L16" s="24">
        <f t="shared" si="11"/>
        <v>1.3418903150524491E-3</v>
      </c>
      <c r="M16" s="22">
        <f t="shared" si="4"/>
        <v>16.730000000000018</v>
      </c>
      <c r="N16" s="52">
        <f t="shared" si="5"/>
        <v>0.10816577228939044</v>
      </c>
      <c r="O16" s="52">
        <f t="shared" si="12"/>
        <v>0.59919594476490123</v>
      </c>
      <c r="P16" s="156"/>
      <c r="Q16" s="164">
        <f>(I16/10)*12</f>
        <v>205.68</v>
      </c>
      <c r="R16" s="68">
        <f t="shared" si="6"/>
        <v>-80.37</v>
      </c>
    </row>
    <row r="17" spans="1:18" ht="15.75" x14ac:dyDescent="0.25">
      <c r="A17" s="23" t="s">
        <v>176</v>
      </c>
      <c r="B17" s="22">
        <v>134.78</v>
      </c>
      <c r="C17" s="70">
        <f>ROUND('PU Wise OWE'!$G$128/10000,2)</f>
        <v>78.650000000000006</v>
      </c>
      <c r="D17" s="66">
        <f t="shared" si="7"/>
        <v>1.5332430087822759E-2</v>
      </c>
      <c r="E17" s="21"/>
      <c r="F17" s="22">
        <f>ROUND('PU Wise OWE'!$G$126/10000,2)</f>
        <v>148.21</v>
      </c>
      <c r="G17" s="24">
        <f t="shared" si="8"/>
        <v>1.7919235884415428E-2</v>
      </c>
      <c r="H17" s="23">
        <f>ROUND('PU Wise OWE'!$G$127/10000,2)</f>
        <v>88.92</v>
      </c>
      <c r="I17" s="23">
        <f>ROUND('PU Wise OWE'!$G$129/10000,2)</f>
        <v>87.16</v>
      </c>
      <c r="J17" s="24">
        <f t="shared" si="9"/>
        <v>1.5142880969589146E-2</v>
      </c>
      <c r="K17" s="22">
        <f t="shared" si="10"/>
        <v>1.7600000000000051</v>
      </c>
      <c r="L17" s="24">
        <f t="shared" si="11"/>
        <v>2.0192748967416307E-2</v>
      </c>
      <c r="M17" s="22">
        <f t="shared" si="4"/>
        <v>8.5099999999999909</v>
      </c>
      <c r="N17" s="52">
        <f t="shared" si="5"/>
        <v>0.10820089001907171</v>
      </c>
      <c r="O17" s="52">
        <f t="shared" si="12"/>
        <v>0.58808447473179937</v>
      </c>
      <c r="P17" s="156"/>
      <c r="Q17" s="164">
        <f>(I17/10)*12</f>
        <v>104.59199999999998</v>
      </c>
      <c r="R17" s="68">
        <f t="shared" si="6"/>
        <v>-43.618000000000023</v>
      </c>
    </row>
    <row r="18" spans="1:18" ht="15.75" x14ac:dyDescent="0.25">
      <c r="A18" s="20" t="s">
        <v>154</v>
      </c>
      <c r="B18" s="105">
        <v>247.05</v>
      </c>
      <c r="C18" s="70">
        <f>ROUND('PU Wise OWE'!$H$128/10000,2)</f>
        <v>163.29</v>
      </c>
      <c r="D18" s="66">
        <f t="shared" si="7"/>
        <v>3.1832581170255281E-2</v>
      </c>
      <c r="E18" s="21"/>
      <c r="F18" s="22">
        <f>ROUND('PU Wise OWE'!$H$126/10000,2)</f>
        <v>289.98</v>
      </c>
      <c r="G18" s="24">
        <f t="shared" si="8"/>
        <v>3.5059847660500548E-2</v>
      </c>
      <c r="H18" s="23">
        <f>ROUND('PU Wise OWE'!$H$127/10000,2)</f>
        <v>173.99</v>
      </c>
      <c r="I18" s="23">
        <f>ROUND('PU Wise OWE'!$H$129/10000,2)</f>
        <v>183.83</v>
      </c>
      <c r="J18" s="24">
        <f t="shared" si="9"/>
        <v>3.1937996886640355E-2</v>
      </c>
      <c r="K18" s="22">
        <f t="shared" si="10"/>
        <v>-9.8400000000000034</v>
      </c>
      <c r="L18" s="24">
        <f t="shared" si="11"/>
        <v>-5.3527715824402994E-2</v>
      </c>
      <c r="M18" s="22">
        <f t="shared" si="4"/>
        <v>20.54000000000002</v>
      </c>
      <c r="N18" s="52">
        <f t="shared" si="5"/>
        <v>0.12578847449323302</v>
      </c>
      <c r="O18" s="52">
        <f t="shared" si="12"/>
        <v>0.63394027174287881</v>
      </c>
      <c r="P18" s="156"/>
      <c r="Q18" s="164">
        <f>(I18/10)*12</f>
        <v>220.59600000000003</v>
      </c>
      <c r="R18" s="68">
        <f t="shared" si="6"/>
        <v>-69.383999999999986</v>
      </c>
    </row>
    <row r="19" spans="1:18" ht="72" customHeight="1" x14ac:dyDescent="0.25">
      <c r="A19" s="56" t="s">
        <v>155</v>
      </c>
      <c r="B19" s="106">
        <v>188.24</v>
      </c>
      <c r="C19" s="70">
        <f>ROUND('PU Wise OWE'!$J$128/10000,2)</f>
        <v>102.34</v>
      </c>
      <c r="D19" s="66">
        <f t="shared" si="7"/>
        <v>1.9950678896220993E-2</v>
      </c>
      <c r="E19" s="21"/>
      <c r="F19" s="22">
        <f>ROUND('PU Wise OWE'!$J$126/10000,2)</f>
        <v>198.27</v>
      </c>
      <c r="G19" s="24">
        <f t="shared" si="8"/>
        <v>2.397170837867247E-2</v>
      </c>
      <c r="H19" s="23">
        <f>ROUND('PU Wise OWE'!$J$127/10000,2)</f>
        <v>118.96</v>
      </c>
      <c r="I19" s="23">
        <f>ROUND('PU Wise OWE'!$J$129/10000,2)</f>
        <v>131.63</v>
      </c>
      <c r="J19" s="24">
        <f t="shared" si="9"/>
        <v>2.2868947017290264E-2</v>
      </c>
      <c r="K19" s="22">
        <f t="shared" si="10"/>
        <v>-12.670000000000002</v>
      </c>
      <c r="L19" s="24">
        <f t="shared" si="11"/>
        <v>-9.625465319456053E-2</v>
      </c>
      <c r="M19" s="22">
        <f t="shared" si="4"/>
        <v>29.289999999999992</v>
      </c>
      <c r="N19" s="52">
        <f t="shared" si="5"/>
        <v>0.28620285323431688</v>
      </c>
      <c r="O19" s="52">
        <f t="shared" si="12"/>
        <v>0.66389267160942145</v>
      </c>
      <c r="P19" s="157" t="s">
        <v>283</v>
      </c>
      <c r="Q19" s="164">
        <f>(I19-10.57)/10*2+I19</f>
        <v>155.84199999999998</v>
      </c>
      <c r="R19" s="168">
        <f t="shared" si="6"/>
        <v>-42.428000000000026</v>
      </c>
    </row>
    <row r="20" spans="1:18" ht="48" customHeight="1" x14ac:dyDescent="0.25">
      <c r="A20" s="20" t="s">
        <v>156</v>
      </c>
      <c r="B20" s="105">
        <v>12.03</v>
      </c>
      <c r="C20" s="70">
        <f>ROUND('PU Wise OWE'!$K$128/10000,2)</f>
        <v>4.24</v>
      </c>
      <c r="D20" s="66">
        <f t="shared" si="7"/>
        <v>8.2656711471542905E-4</v>
      </c>
      <c r="E20" s="21"/>
      <c r="F20" s="22">
        <f>ROUND('PU Wise OWE'!$K$126/10000,2)</f>
        <v>11.75</v>
      </c>
      <c r="G20" s="24">
        <f t="shared" si="8"/>
        <v>1.4206262846088744E-3</v>
      </c>
      <c r="H20" s="23">
        <f>ROUND('PU Wise OWE'!$K$127/10000,2)</f>
        <v>7.05</v>
      </c>
      <c r="I20" s="23">
        <f>ROUND('PU Wise OWE'!$K$129/10000,2)</f>
        <v>0.99</v>
      </c>
      <c r="J20" s="24">
        <f t="shared" si="9"/>
        <v>1.7199922166008784E-4</v>
      </c>
      <c r="K20" s="22">
        <f t="shared" si="10"/>
        <v>6.06</v>
      </c>
      <c r="L20" s="24">
        <f t="shared" si="11"/>
        <v>6.1212121212121211</v>
      </c>
      <c r="M20" s="22">
        <f t="shared" si="4"/>
        <v>-3.25</v>
      </c>
      <c r="N20" s="52">
        <f t="shared" si="5"/>
        <v>-0.76650943396226412</v>
      </c>
      <c r="O20" s="52">
        <f t="shared" si="12"/>
        <v>8.4255319148936164E-2</v>
      </c>
      <c r="P20" s="157" t="s">
        <v>282</v>
      </c>
      <c r="Q20" s="164">
        <f>(I20-1.36)/10*2+I20</f>
        <v>0.91599999999999993</v>
      </c>
      <c r="R20" s="68">
        <f t="shared" si="6"/>
        <v>-10.834</v>
      </c>
    </row>
    <row r="21" spans="1:18" ht="60" x14ac:dyDescent="0.25">
      <c r="A21" s="20" t="s">
        <v>157</v>
      </c>
      <c r="B21" s="105">
        <v>48.93</v>
      </c>
      <c r="C21" s="70">
        <f>ROUND('PU Wise OWE'!$L$128/10000,2)</f>
        <v>32.659999999999997</v>
      </c>
      <c r="D21" s="66">
        <f t="shared" si="7"/>
        <v>6.3669061241995069E-3</v>
      </c>
      <c r="E21" s="21"/>
      <c r="F21" s="22">
        <f>ROUND('PU Wise OWE'!$L$126/10000,2)</f>
        <v>52.98</v>
      </c>
      <c r="G21" s="24">
        <f t="shared" si="8"/>
        <v>6.4055132390279284E-3</v>
      </c>
      <c r="H21" s="23">
        <f>ROUND('PU Wise OWE'!$L$127/10000,2)</f>
        <v>31.79</v>
      </c>
      <c r="I21" s="23">
        <f>ROUND('PU Wise OWE'!$L$129/10000,2)</f>
        <v>23.02</v>
      </c>
      <c r="J21" s="24">
        <f t="shared" si="9"/>
        <v>3.9994162450658803E-3</v>
      </c>
      <c r="K21" s="22">
        <f t="shared" si="10"/>
        <v>8.77</v>
      </c>
      <c r="L21" s="24">
        <f t="shared" si="11"/>
        <v>0.38097306689834926</v>
      </c>
      <c r="M21" s="22">
        <f t="shared" si="4"/>
        <v>-9.639999999999997</v>
      </c>
      <c r="N21" s="52">
        <f t="shared" si="5"/>
        <v>-0.29516227801592154</v>
      </c>
      <c r="O21" s="52">
        <f t="shared" si="12"/>
        <v>0.43450358625896568</v>
      </c>
      <c r="P21" s="157" t="s">
        <v>284</v>
      </c>
      <c r="Q21" s="164">
        <f>(I21-2.68)/10*2+I21</f>
        <v>27.088000000000001</v>
      </c>
      <c r="R21" s="68">
        <f t="shared" si="6"/>
        <v>-25.891999999999996</v>
      </c>
    </row>
    <row r="22" spans="1:18" ht="45" x14ac:dyDescent="0.25">
      <c r="A22" s="20" t="s">
        <v>179</v>
      </c>
      <c r="B22" s="105">
        <v>120.4</v>
      </c>
      <c r="C22" s="70">
        <f>ROUND('PU Wise OWE'!$M$128/10000,2)</f>
        <v>81</v>
      </c>
      <c r="D22" s="66">
        <f t="shared" si="7"/>
        <v>1.57905510122523E-2</v>
      </c>
      <c r="E22" s="21"/>
      <c r="F22" s="22">
        <f>ROUND('PU Wise OWE'!$M$126/10000,2)</f>
        <v>149.94999999999999</v>
      </c>
      <c r="G22" s="24">
        <f t="shared" si="8"/>
        <v>1.8129609478902187E-2</v>
      </c>
      <c r="H22" s="23">
        <f>ROUND('PU Wise OWE'!$M$127/10000,2)</f>
        <v>89.97</v>
      </c>
      <c r="I22" s="23">
        <f>ROUND('PU Wise OWE'!$M$129/10000,2)</f>
        <v>88.09</v>
      </c>
      <c r="J22" s="24">
        <f t="shared" si="9"/>
        <v>1.5304455995997109E-2</v>
      </c>
      <c r="K22" s="22">
        <f t="shared" si="10"/>
        <v>1.8799999999999955</v>
      </c>
      <c r="L22" s="24">
        <f t="shared" si="11"/>
        <v>2.1341809512998019E-2</v>
      </c>
      <c r="M22" s="22">
        <f t="shared" si="4"/>
        <v>7.0900000000000034</v>
      </c>
      <c r="N22" s="52">
        <f t="shared" si="5"/>
        <v>8.7530864197530908E-2</v>
      </c>
      <c r="O22" s="52">
        <f t="shared" si="12"/>
        <v>0.58746248749583196</v>
      </c>
      <c r="P22" s="157" t="s">
        <v>270</v>
      </c>
      <c r="Q22" s="164">
        <f>(I22/10)*12</f>
        <v>105.70800000000001</v>
      </c>
      <c r="R22" s="68">
        <f t="shared" si="6"/>
        <v>-44.241999999999976</v>
      </c>
    </row>
    <row r="23" spans="1:18" ht="60" x14ac:dyDescent="0.25">
      <c r="A23" s="56" t="s">
        <v>158</v>
      </c>
      <c r="B23" s="106">
        <v>88.73</v>
      </c>
      <c r="C23" s="70">
        <f>ROUND('PU Wise OWE'!$P$128/10000,2)</f>
        <v>61.94</v>
      </c>
      <c r="D23" s="66">
        <f t="shared" si="7"/>
        <v>1.2074897897517376E-2</v>
      </c>
      <c r="E23" s="21"/>
      <c r="F23" s="22">
        <f>ROUND('PU Wise OWE'!$P$126/10000,2)</f>
        <v>92.29</v>
      </c>
      <c r="G23" s="24">
        <f t="shared" si="8"/>
        <v>1.1158263813323662E-2</v>
      </c>
      <c r="H23" s="23">
        <f>ROUND('PU Wise OWE'!$P$127/10000,2)</f>
        <v>55.38</v>
      </c>
      <c r="I23" s="23">
        <f>ROUND('PU Wise OWE'!$P$129/10000,2)</f>
        <v>66.680000000000007</v>
      </c>
      <c r="J23" s="24">
        <f t="shared" si="9"/>
        <v>1.1584755656863292E-2</v>
      </c>
      <c r="K23" s="22">
        <f t="shared" si="10"/>
        <v>-11.300000000000004</v>
      </c>
      <c r="L23" s="24">
        <f t="shared" si="11"/>
        <v>-0.16946610677864432</v>
      </c>
      <c r="M23" s="22">
        <f t="shared" si="4"/>
        <v>4.7400000000000091</v>
      </c>
      <c r="N23" s="52">
        <f t="shared" si="5"/>
        <v>7.6525670003229088E-2</v>
      </c>
      <c r="O23" s="52">
        <f t="shared" si="12"/>
        <v>0.72250514681980715</v>
      </c>
      <c r="P23" s="157" t="s">
        <v>291</v>
      </c>
      <c r="Q23" s="164">
        <f>(I23-11.45)/10*2+I23</f>
        <v>77.726000000000013</v>
      </c>
      <c r="R23" s="168">
        <f t="shared" si="6"/>
        <v>-14.563999999999993</v>
      </c>
    </row>
    <row r="24" spans="1:18" ht="34.15" customHeight="1" x14ac:dyDescent="0.25">
      <c r="A24" s="56" t="s">
        <v>159</v>
      </c>
      <c r="B24" s="106">
        <v>81.78</v>
      </c>
      <c r="C24" s="70">
        <f>ROUND('PU Wise OWE'!$S$128/10000,2)</f>
        <v>76.73</v>
      </c>
      <c r="D24" s="66">
        <f t="shared" si="7"/>
        <v>1.495813554531011E-2</v>
      </c>
      <c r="E24" s="21"/>
      <c r="F24" s="22">
        <f>ROUND('PU Wise OWE'!$S$126/10000,2)</f>
        <v>89.03</v>
      </c>
      <c r="G24" s="24">
        <f t="shared" si="8"/>
        <v>1.0764115584572603E-2</v>
      </c>
      <c r="H24" s="23">
        <f>ROUND('PU Wise OWE'!$S$127/10000,2)</f>
        <v>71.23</v>
      </c>
      <c r="I24" s="23">
        <f>ROUND('PU Wise OWE'!$S$129/10000,2)</f>
        <v>79.790000000000006</v>
      </c>
      <c r="J24" s="24">
        <f t="shared" si="9"/>
        <v>1.3862442319452939E-2</v>
      </c>
      <c r="K24" s="22">
        <f t="shared" si="10"/>
        <v>-8.5600000000000023</v>
      </c>
      <c r="L24" s="24">
        <f t="shared" si="11"/>
        <v>-0.10728161423737312</v>
      </c>
      <c r="M24" s="22">
        <f t="shared" si="4"/>
        <v>3.0600000000000023</v>
      </c>
      <c r="N24" s="52">
        <f t="shared" si="5"/>
        <v>3.9880099048612047E-2</v>
      </c>
      <c r="O24" s="52">
        <f t="shared" si="12"/>
        <v>0.8962147590699765</v>
      </c>
      <c r="P24" s="157" t="s">
        <v>271</v>
      </c>
      <c r="Q24" s="164">
        <f>F24</f>
        <v>89.03</v>
      </c>
      <c r="R24" s="68">
        <f t="shared" si="6"/>
        <v>0</v>
      </c>
    </row>
    <row r="25" spans="1:18" ht="28.9" customHeight="1" x14ac:dyDescent="0.25">
      <c r="A25" s="56" t="s">
        <v>160</v>
      </c>
      <c r="B25" s="106">
        <v>90.5</v>
      </c>
      <c r="C25" s="70">
        <f>ROUND('PU Wise OWE'!$T$128/10000,2)</f>
        <v>56.1</v>
      </c>
      <c r="D25" s="66">
        <f t="shared" si="7"/>
        <v>1.0936418664041407E-2</v>
      </c>
      <c r="E25" s="21"/>
      <c r="F25" s="22">
        <f>ROUND('PU Wise OWE'!$T$126/10000,2)</f>
        <v>83.15</v>
      </c>
      <c r="G25" s="24">
        <f t="shared" si="8"/>
        <v>1.0053197920444928E-2</v>
      </c>
      <c r="H25" s="22">
        <f>ROUND('PU Wise OWE'!$T$127/10000,2)</f>
        <v>49.89</v>
      </c>
      <c r="I25" s="23">
        <f>ROUND('PU Wise OWE'!$T$129/10000,2)</f>
        <v>72.33</v>
      </c>
      <c r="J25" s="24">
        <f t="shared" si="9"/>
        <v>1.2566367376438538E-2</v>
      </c>
      <c r="K25" s="22">
        <f t="shared" si="10"/>
        <v>-22.439999999999998</v>
      </c>
      <c r="L25" s="24">
        <f t="shared" si="11"/>
        <v>-0.31024471173786811</v>
      </c>
      <c r="M25" s="22">
        <f t="shared" si="4"/>
        <v>16.229999999999997</v>
      </c>
      <c r="N25" s="52">
        <f t="shared" si="5"/>
        <v>0.28930481283422455</v>
      </c>
      <c r="O25" s="52">
        <f t="shared" si="12"/>
        <v>0.86987372218881531</v>
      </c>
      <c r="P25" s="157" t="s">
        <v>285</v>
      </c>
      <c r="Q25" s="164">
        <f>(I25-4)/10*2+I25</f>
        <v>85.995999999999995</v>
      </c>
      <c r="R25" s="68">
        <f t="shared" si="6"/>
        <v>2.8459999999999894</v>
      </c>
    </row>
    <row r="26" spans="1:18" ht="42.6" customHeight="1" x14ac:dyDescent="0.25">
      <c r="A26" s="56" t="s">
        <v>178</v>
      </c>
      <c r="B26" s="106">
        <v>41.07</v>
      </c>
      <c r="C26" s="70">
        <f>ROUND('PU Wise OWE'!$V$128/10000,2)</f>
        <v>27.94</v>
      </c>
      <c r="D26" s="66">
        <f t="shared" si="7"/>
        <v>5.4467653738559168E-3</v>
      </c>
      <c r="E26" s="22"/>
      <c r="F26" s="22">
        <f>ROUND('PU Wise OWE'!$V$126/10000,2)</f>
        <v>34.5</v>
      </c>
      <c r="G26" s="24">
        <f t="shared" si="8"/>
        <v>4.1712005803409506E-3</v>
      </c>
      <c r="H26" s="22">
        <f>ROUND('PU Wise OWE'!$V$127/10000,2)</f>
        <v>20.7</v>
      </c>
      <c r="I26" s="23">
        <f>ROUND('PU Wise OWE'!$V$129/10000,2)</f>
        <v>28.71</v>
      </c>
      <c r="J26" s="24">
        <f t="shared" si="9"/>
        <v>4.9879774281425477E-3</v>
      </c>
      <c r="K26" s="22">
        <f t="shared" si="10"/>
        <v>-8.0100000000000016</v>
      </c>
      <c r="L26" s="24">
        <f t="shared" si="11"/>
        <v>-0.27899686520376182</v>
      </c>
      <c r="M26" s="22">
        <f t="shared" si="4"/>
        <v>0.76999999999999957</v>
      </c>
      <c r="N26" s="52">
        <f t="shared" si="5"/>
        <v>2.7559055118110218E-2</v>
      </c>
      <c r="O26" s="52">
        <f t="shared" si="12"/>
        <v>0.83217391304347832</v>
      </c>
      <c r="P26" s="157" t="s">
        <v>288</v>
      </c>
      <c r="Q26" s="164">
        <f>(I26-3.4)/10*2+I26</f>
        <v>33.771999999999998</v>
      </c>
      <c r="R26" s="68">
        <f t="shared" si="6"/>
        <v>-0.72800000000000153</v>
      </c>
    </row>
    <row r="27" spans="1:18" ht="60" customHeight="1" x14ac:dyDescent="0.25">
      <c r="A27" s="56" t="s">
        <v>177</v>
      </c>
      <c r="B27" s="106">
        <v>169.78</v>
      </c>
      <c r="C27" s="70">
        <f>ROUND('PU Wise OWE'!$AC$128/10000,2)</f>
        <v>82.8</v>
      </c>
      <c r="D27" s="66">
        <f t="shared" si="7"/>
        <v>1.6141452145857906E-2</v>
      </c>
      <c r="E27" s="22"/>
      <c r="F27" s="22">
        <f>ROUND('PU Wise OWE'!$AC$126/10000,2)</f>
        <v>133.18</v>
      </c>
      <c r="G27" s="24">
        <f t="shared" si="8"/>
        <v>1.6102043283762545E-2</v>
      </c>
      <c r="H27" s="23">
        <f>ROUND('PU Wise OWE'!$AC$127/10000,2)</f>
        <v>79.91</v>
      </c>
      <c r="I27" s="23">
        <f>ROUND('PU Wise OWE'!$AC$129/10000,2)</f>
        <v>82.62</v>
      </c>
      <c r="J27" s="24">
        <f t="shared" si="9"/>
        <v>1.435411686217824E-2</v>
      </c>
      <c r="K27" s="22">
        <f t="shared" si="10"/>
        <v>-2.710000000000008</v>
      </c>
      <c r="L27" s="24">
        <f t="shared" si="11"/>
        <v>-3.2800774630840086E-2</v>
      </c>
      <c r="M27" s="22">
        <f t="shared" si="4"/>
        <v>-0.17999999999999261</v>
      </c>
      <c r="N27" s="52">
        <f t="shared" si="5"/>
        <v>-2.1739130434781716E-3</v>
      </c>
      <c r="O27" s="52">
        <f t="shared" si="12"/>
        <v>0.62036341793062022</v>
      </c>
      <c r="P27" s="157" t="s">
        <v>287</v>
      </c>
      <c r="Q27" s="164">
        <f>(I27-9.35)/10*2+I27</f>
        <v>97.274000000000001</v>
      </c>
      <c r="R27" s="68">
        <f t="shared" si="6"/>
        <v>-35.906000000000006</v>
      </c>
    </row>
    <row r="28" spans="1:18" x14ac:dyDescent="0.25">
      <c r="A28" s="25" t="s">
        <v>149</v>
      </c>
      <c r="B28" s="26">
        <f>SUM(B13:B27)</f>
        <v>4551.0499999999993</v>
      </c>
      <c r="C28" s="74">
        <f>SUM(C13:C27)</f>
        <v>2742.78</v>
      </c>
      <c r="D28" s="54">
        <f>SUM(D13:D27)</f>
        <v>0.53469145068376978</v>
      </c>
      <c r="E28" s="26"/>
      <c r="F28" s="26">
        <f>F5</f>
        <v>4962.2700000000004</v>
      </c>
      <c r="G28" s="54">
        <f t="shared" ref="G28:I28" si="13">SUM(G13:G27)</f>
        <v>0.59653004473461491</v>
      </c>
      <c r="H28" s="26">
        <f>SUM(H13:H27)</f>
        <v>2972.2099999999996</v>
      </c>
      <c r="I28" s="26">
        <f t="shared" si="13"/>
        <v>3008.2399999999993</v>
      </c>
      <c r="J28" s="54">
        <f t="shared" si="9"/>
        <v>0.52264135208761875</v>
      </c>
      <c r="K28" s="26">
        <f t="shared" si="10"/>
        <v>-36.029999999999745</v>
      </c>
      <c r="L28" s="54">
        <f t="shared" si="11"/>
        <v>-1.1977102890726721E-2</v>
      </c>
      <c r="M28" s="26">
        <f t="shared" si="4"/>
        <v>265.45999999999913</v>
      </c>
      <c r="N28" s="55">
        <f t="shared" si="5"/>
        <v>9.6785013745177922E-2</v>
      </c>
      <c r="Q28" s="74">
        <f>SUM(Q13:Q27)</f>
        <v>3581.1060000000007</v>
      </c>
      <c r="R28" s="74">
        <f>SUM(R13:R27)</f>
        <v>-1352.7940000000001</v>
      </c>
    </row>
    <row r="29" spans="1:18" x14ac:dyDescent="0.25">
      <c r="I29" s="68"/>
      <c r="J29" s="68"/>
      <c r="K29" s="68"/>
      <c r="L29" s="68"/>
      <c r="Q29" s="165"/>
    </row>
    <row r="30" spans="1:18" x14ac:dyDescent="0.25">
      <c r="Q30" s="165"/>
    </row>
    <row r="31" spans="1:18" x14ac:dyDescent="0.25">
      <c r="A31" s="75" t="s">
        <v>180</v>
      </c>
      <c r="B31" s="75"/>
      <c r="C31" s="76"/>
      <c r="D31" s="77"/>
      <c r="M31" s="154" t="s">
        <v>150</v>
      </c>
      <c r="Q31" s="165"/>
    </row>
    <row r="32" spans="1:18" ht="15" customHeight="1" x14ac:dyDescent="0.25">
      <c r="A32" s="268"/>
      <c r="B32" s="291" t="s">
        <v>302</v>
      </c>
      <c r="C32" s="289" t="str">
        <f>'PU Wise OWE'!$B$7</f>
        <v>Actuals upto Oct' 20</v>
      </c>
      <c r="D32" s="291" t="s">
        <v>173</v>
      </c>
      <c r="E32" s="291"/>
      <c r="F32" s="315" t="str">
        <f>'PU Wise OWE'!$B$5</f>
        <v xml:space="preserve">OBG(SL) 2021-22 </v>
      </c>
      <c r="G32" s="291" t="s">
        <v>309</v>
      </c>
      <c r="H32" s="291" t="s">
        <v>316</v>
      </c>
      <c r="I32" s="289" t="str">
        <f>'PU Wise OWE'!B8</f>
        <v>Actuals upto Oct' 21</v>
      </c>
      <c r="J32" s="291" t="s">
        <v>205</v>
      </c>
      <c r="K32" s="267" t="s">
        <v>207</v>
      </c>
      <c r="L32" s="267"/>
      <c r="M32" s="267" t="s">
        <v>147</v>
      </c>
      <c r="N32" s="267"/>
      <c r="O32" s="268" t="s">
        <v>314</v>
      </c>
      <c r="P32" s="324" t="s">
        <v>268</v>
      </c>
      <c r="Q32" s="166"/>
    </row>
    <row r="33" spans="1:18" ht="17.25" customHeight="1" x14ac:dyDescent="0.25">
      <c r="A33" s="268"/>
      <c r="B33" s="290"/>
      <c r="C33" s="290"/>
      <c r="D33" s="290"/>
      <c r="E33" s="290"/>
      <c r="F33" s="316"/>
      <c r="G33" s="290"/>
      <c r="H33" s="290"/>
      <c r="I33" s="290"/>
      <c r="J33" s="290"/>
      <c r="K33" s="79" t="s">
        <v>145</v>
      </c>
      <c r="L33" s="80" t="s">
        <v>146</v>
      </c>
      <c r="M33" s="79" t="s">
        <v>145</v>
      </c>
      <c r="N33" s="80" t="s">
        <v>146</v>
      </c>
      <c r="O33" s="268"/>
      <c r="P33" s="324"/>
      <c r="Q33" s="166"/>
    </row>
    <row r="34" spans="1:18" ht="15" customHeight="1" x14ac:dyDescent="0.25">
      <c r="A34" s="84" t="s">
        <v>181</v>
      </c>
      <c r="B34" s="107">
        <v>10.44</v>
      </c>
      <c r="C34" s="70">
        <f>ROUND(('PU Wise OWE'!$AE$128+'PU Wise OWE'!$AF$128)/10000,2)</f>
        <v>6.28</v>
      </c>
      <c r="D34" s="85">
        <f>C34/$C$7</f>
        <v>1.2242550661351165E-3</v>
      </c>
      <c r="E34" s="21"/>
      <c r="F34" s="22">
        <f>ROUND(('PU Wise OWE'!$AE$126+'PU Wise OWE'!$AF$126)/10000,2)</f>
        <v>9.56</v>
      </c>
      <c r="G34" s="24">
        <f t="shared" ref="G34:G37" si="14">F34/$F$7</f>
        <v>1.1558457260307097E-3</v>
      </c>
      <c r="H34" s="23">
        <f>ROUND(('PU Wise OWE'!$AE$127+'PU Wise OWE'!$AF$127)/10000,2)</f>
        <v>5.73</v>
      </c>
      <c r="I34" s="23">
        <f>ROUND(('PU Wise OWE'!$AE$129+'PU Wise OWE'!$AF$129)/10000,2)</f>
        <v>4.5</v>
      </c>
      <c r="J34" s="24">
        <f t="shared" ref="J34:J37" si="15">I34/$I$7</f>
        <v>7.8181464390949021E-4</v>
      </c>
      <c r="K34" s="22">
        <f t="shared" ref="K34" si="16">H34-I34</f>
        <v>1.2300000000000004</v>
      </c>
      <c r="L34" s="24">
        <f t="shared" ref="L34" si="17">K34/I34</f>
        <v>0.27333333333333343</v>
      </c>
      <c r="M34" s="22">
        <f>I34-C34</f>
        <v>-1.7800000000000002</v>
      </c>
      <c r="N34" s="52">
        <f>M34/C34</f>
        <v>-0.28343949044585992</v>
      </c>
      <c r="O34" s="52">
        <f t="shared" ref="O34:O37" si="18">I34/F34</f>
        <v>0.47071129707112969</v>
      </c>
      <c r="P34" s="327" t="s">
        <v>279</v>
      </c>
      <c r="Q34" s="164">
        <f>(I34/10)*12</f>
        <v>5.4</v>
      </c>
      <c r="R34" s="68">
        <f>Q34-F34</f>
        <v>-4.16</v>
      </c>
    </row>
    <row r="35" spans="1:18" ht="16.5" customHeight="1" x14ac:dyDescent="0.25">
      <c r="A35" s="84" t="s">
        <v>182</v>
      </c>
      <c r="B35" s="107">
        <v>21.76</v>
      </c>
      <c r="C35" s="70">
        <f>ROUND('PU Wise OWE'!$AG$128/10000,2)</f>
        <v>13.25</v>
      </c>
      <c r="D35" s="85">
        <f t="shared" ref="D35:D37" si="19">C35/$C$7</f>
        <v>2.5830222334857155E-3</v>
      </c>
      <c r="E35" s="21"/>
      <c r="F35" s="22">
        <f>ROUND('PU Wise OWE'!$AG$126/10000,2)</f>
        <v>7.15</v>
      </c>
      <c r="G35" s="24">
        <f t="shared" si="14"/>
        <v>8.6446620723008101E-4</v>
      </c>
      <c r="H35" s="23">
        <f>ROUND('PU Wise OWE'!$AG$127/10000,2)</f>
        <v>4.33</v>
      </c>
      <c r="I35" s="23">
        <f>ROUND('PU Wise OWE'!$AG$129/10000,2)</f>
        <v>8.76</v>
      </c>
      <c r="J35" s="24">
        <f t="shared" si="15"/>
        <v>1.5219325068104742E-3</v>
      </c>
      <c r="K35" s="22">
        <f t="shared" ref="K35:K37" si="20">H35-I35</f>
        <v>-4.43</v>
      </c>
      <c r="L35" s="24">
        <f t="shared" ref="L35:L37" si="21">K35/I35</f>
        <v>-0.50570776255707761</v>
      </c>
      <c r="M35" s="22">
        <f>I35-C35</f>
        <v>-4.49</v>
      </c>
      <c r="N35" s="52">
        <f>M35/C35</f>
        <v>-0.33886792452830189</v>
      </c>
      <c r="O35" s="52">
        <f t="shared" si="18"/>
        <v>1.2251748251748251</v>
      </c>
      <c r="P35" s="328"/>
      <c r="Q35" s="164">
        <f>(I35/10)*12+6</f>
        <v>16.512</v>
      </c>
      <c r="R35" s="168">
        <f>Q35-F35</f>
        <v>9.3620000000000001</v>
      </c>
    </row>
    <row r="36" spans="1:18" ht="15.75" customHeight="1" x14ac:dyDescent="0.25">
      <c r="A36" s="84" t="s">
        <v>183</v>
      </c>
      <c r="B36" s="107">
        <v>2.4700000000000002</v>
      </c>
      <c r="C36" s="70">
        <f>ROUND('PU Wise OWE'!$AJ$128/10000,2)</f>
        <v>1.56</v>
      </c>
      <c r="D36" s="85">
        <f t="shared" si="19"/>
        <v>3.0411431579152576E-4</v>
      </c>
      <c r="E36" s="21"/>
      <c r="F36" s="22">
        <f>ROUND('PU Wise OWE'!$AJ$126/10000,2)</f>
        <v>2.23</v>
      </c>
      <c r="G36" s="24">
        <f t="shared" si="14"/>
        <v>2.6961673316406725E-4</v>
      </c>
      <c r="H36" s="23">
        <f>ROUND('PU Wise OWE'!$AJ$127/10000,2)</f>
        <v>1.33</v>
      </c>
      <c r="I36" s="23">
        <f>ROUND('PU Wise OWE'!$AJ$129/10000,2)</f>
        <v>1.35</v>
      </c>
      <c r="J36" s="24">
        <f t="shared" si="15"/>
        <v>2.3454439317284706E-4</v>
      </c>
      <c r="K36" s="22">
        <f t="shared" si="20"/>
        <v>-2.0000000000000018E-2</v>
      </c>
      <c r="L36" s="24">
        <f t="shared" si="21"/>
        <v>-1.4814814814814828E-2</v>
      </c>
      <c r="M36" s="22">
        <f>I36-C36</f>
        <v>-0.20999999999999996</v>
      </c>
      <c r="N36" s="52">
        <f>M36/C36</f>
        <v>-0.13461538461538458</v>
      </c>
      <c r="O36" s="52">
        <f t="shared" si="18"/>
        <v>0.60538116591928259</v>
      </c>
      <c r="P36" s="328"/>
      <c r="Q36" s="164">
        <f>(I36/10)*12</f>
        <v>1.62</v>
      </c>
      <c r="R36" s="68">
        <f>Q36-F36</f>
        <v>-0.60999999999999988</v>
      </c>
    </row>
    <row r="37" spans="1:18" x14ac:dyDescent="0.25">
      <c r="A37" s="25" t="s">
        <v>149</v>
      </c>
      <c r="B37" s="26">
        <v>34.619999999999997</v>
      </c>
      <c r="C37" s="74">
        <f>SUM(C34:C36)</f>
        <v>21.09</v>
      </c>
      <c r="D37" s="86">
        <f t="shared" si="19"/>
        <v>4.1113916154123581E-3</v>
      </c>
      <c r="E37" s="26"/>
      <c r="F37" s="74">
        <f t="shared" ref="F37:I37" si="22">SUM(F34:F36)</f>
        <v>18.940000000000001</v>
      </c>
      <c r="G37" s="54">
        <f t="shared" si="14"/>
        <v>2.2899286664248581E-3</v>
      </c>
      <c r="H37" s="74">
        <f t="shared" si="22"/>
        <v>11.39</v>
      </c>
      <c r="I37" s="74">
        <f t="shared" si="22"/>
        <v>14.61</v>
      </c>
      <c r="J37" s="54">
        <f t="shared" si="15"/>
        <v>2.5382915438928112E-3</v>
      </c>
      <c r="K37" s="26">
        <f t="shared" si="20"/>
        <v>-3.2199999999999989</v>
      </c>
      <c r="L37" s="54">
        <f t="shared" si="21"/>
        <v>-0.22039698836413407</v>
      </c>
      <c r="M37" s="26">
        <f>I37-C37</f>
        <v>-6.48</v>
      </c>
      <c r="N37" s="55">
        <f>M37/C37</f>
        <v>-0.30725462304409673</v>
      </c>
      <c r="O37" s="52">
        <f t="shared" si="18"/>
        <v>0.7713833157338964</v>
      </c>
      <c r="P37" s="329"/>
      <c r="Q37" s="74">
        <f>SUM(Q34:Q36)</f>
        <v>23.532</v>
      </c>
      <c r="R37" s="74">
        <f>SUM(R34:R36)</f>
        <v>4.5920000000000005</v>
      </c>
    </row>
    <row r="38" spans="1:18" x14ac:dyDescent="0.25">
      <c r="Q38" s="165"/>
    </row>
    <row r="39" spans="1:18" ht="15.75" thickBot="1" x14ac:dyDescent="0.3">
      <c r="A39" s="82"/>
      <c r="B39" s="82"/>
      <c r="C39" s="83"/>
      <c r="D39" s="82"/>
      <c r="M39" s="154" t="s">
        <v>150</v>
      </c>
      <c r="Q39" s="165"/>
    </row>
    <row r="40" spans="1:18" ht="15" customHeight="1" x14ac:dyDescent="0.25">
      <c r="A40" s="268" t="s">
        <v>164</v>
      </c>
      <c r="B40" s="291" t="s">
        <v>302</v>
      </c>
      <c r="C40" s="289" t="str">
        <f>'PU Wise OWE'!$B$7</f>
        <v>Actuals upto Oct' 20</v>
      </c>
      <c r="D40" s="291" t="s">
        <v>173</v>
      </c>
      <c r="E40" s="291"/>
      <c r="F40" s="315" t="str">
        <f>'PU Wise OWE'!$B$5</f>
        <v xml:space="preserve">OBG(SL) 2021-22 </v>
      </c>
      <c r="G40" s="291" t="s">
        <v>309</v>
      </c>
      <c r="H40" s="291" t="s">
        <v>316</v>
      </c>
      <c r="I40" s="289" t="str">
        <f>'PU Wise OWE'!B8</f>
        <v>Actuals upto Oct' 21</v>
      </c>
      <c r="J40" s="291" t="s">
        <v>205</v>
      </c>
      <c r="K40" s="267" t="s">
        <v>207</v>
      </c>
      <c r="L40" s="267"/>
      <c r="M40" s="267" t="s">
        <v>147</v>
      </c>
      <c r="N40" s="267"/>
      <c r="O40" s="268" t="s">
        <v>314</v>
      </c>
      <c r="P40" s="325" t="s">
        <v>268</v>
      </c>
      <c r="Q40" s="166"/>
    </row>
    <row r="41" spans="1:18" ht="30" x14ac:dyDescent="0.25">
      <c r="A41" s="268"/>
      <c r="B41" s="290"/>
      <c r="C41" s="290"/>
      <c r="D41" s="290"/>
      <c r="E41" s="290"/>
      <c r="F41" s="316"/>
      <c r="G41" s="290"/>
      <c r="H41" s="290"/>
      <c r="I41" s="290"/>
      <c r="J41" s="290"/>
      <c r="K41" s="79" t="s">
        <v>145</v>
      </c>
      <c r="L41" s="80" t="s">
        <v>146</v>
      </c>
      <c r="M41" s="79" t="s">
        <v>145</v>
      </c>
      <c r="N41" s="80" t="s">
        <v>146</v>
      </c>
      <c r="O41" s="268"/>
      <c r="P41" s="326"/>
      <c r="Q41" s="166"/>
    </row>
    <row r="42" spans="1:18" ht="15.75" x14ac:dyDescent="0.25">
      <c r="A42" s="27" t="s">
        <v>165</v>
      </c>
      <c r="B42" s="104">
        <v>273.47000000000003</v>
      </c>
      <c r="C42" s="70">
        <f>SUM(C43:C47)</f>
        <v>145.82999999999998</v>
      </c>
      <c r="D42" s="85">
        <f t="shared" ref="D42:D49" si="23">C42/$C$7</f>
        <v>2.8428840174280896E-2</v>
      </c>
      <c r="E42" s="97"/>
      <c r="F42" s="21">
        <f>SUM(F43:F47)</f>
        <v>213.87</v>
      </c>
      <c r="G42" s="24">
        <f t="shared" ref="G42:G49" si="24">F42/$F$7</f>
        <v>2.5857816467174465E-2</v>
      </c>
      <c r="H42" s="21">
        <f>SUM(H43:H47)</f>
        <v>128.32999999999998</v>
      </c>
      <c r="I42" s="21">
        <f>SUM(I43:I47)</f>
        <v>247.71000000000004</v>
      </c>
      <c r="J42" s="24">
        <f t="shared" ref="J42:J49" si="25">I42/$I$7</f>
        <v>4.3036290098404408E-2</v>
      </c>
      <c r="K42" s="22">
        <f>H42-I42</f>
        <v>-119.38000000000005</v>
      </c>
      <c r="L42" s="24">
        <f>K42/I42</f>
        <v>-0.48193452020507865</v>
      </c>
      <c r="M42" s="22">
        <f t="shared" ref="M42:M49" si="26">I42-C42</f>
        <v>101.88000000000005</v>
      </c>
      <c r="N42" s="52">
        <f t="shared" ref="N42:N49" si="27">M42/C42</f>
        <v>0.6986216827813212</v>
      </c>
      <c r="O42" s="52">
        <f t="shared" ref="O42:O49" si="28">I42/F42</f>
        <v>1.158226960302988</v>
      </c>
      <c r="P42" s="158"/>
      <c r="Q42" s="164">
        <v>266.16000000000003</v>
      </c>
      <c r="R42" s="68">
        <f t="shared" ref="R42:R48" si="29">Q42-F42</f>
        <v>52.29000000000002</v>
      </c>
    </row>
    <row r="43" spans="1:18" ht="15.75" x14ac:dyDescent="0.25">
      <c r="A43" s="57" t="s">
        <v>161</v>
      </c>
      <c r="B43" s="21">
        <v>19.690000000000001</v>
      </c>
      <c r="C43" s="70">
        <f>ROUND('PU Wise OWE'!$AK$84/10000,2)</f>
        <v>7.88</v>
      </c>
      <c r="D43" s="85">
        <f t="shared" si="23"/>
        <v>1.5361671848956558E-3</v>
      </c>
      <c r="E43" s="97"/>
      <c r="F43" s="21">
        <f>ROUND('PU Wise OWE'!$AK$82/10000,2)</f>
        <v>14.25</v>
      </c>
      <c r="G43" s="24">
        <f t="shared" si="24"/>
        <v>1.7228871962277838E-3</v>
      </c>
      <c r="H43" s="21">
        <f>ROUND('PU Wise OWE'!$AK$83/10000,2)</f>
        <v>8.5500000000000007</v>
      </c>
      <c r="I43" s="21">
        <f>ROUND('PU Wise OWE'!$AK$85/10000,2)</f>
        <v>28.19</v>
      </c>
      <c r="J43" s="24">
        <f t="shared" si="25"/>
        <v>4.8976344026241177E-3</v>
      </c>
      <c r="K43" s="22">
        <f t="shared" ref="K43:K49" si="30">H43-I43</f>
        <v>-19.64</v>
      </c>
      <c r="L43" s="24">
        <f t="shared" ref="L43:L49" si="31">K43/I43</f>
        <v>-0.69670095778644914</v>
      </c>
      <c r="M43" s="22">
        <f t="shared" si="26"/>
        <v>20.310000000000002</v>
      </c>
      <c r="N43" s="52">
        <f t="shared" si="27"/>
        <v>2.5774111675126905</v>
      </c>
      <c r="O43" s="52">
        <f t="shared" si="28"/>
        <v>1.9782456140350879</v>
      </c>
      <c r="P43" s="158"/>
      <c r="Q43" s="164">
        <f>(I43/10)*12</f>
        <v>33.828000000000003</v>
      </c>
      <c r="R43" s="68">
        <f t="shared" si="29"/>
        <v>19.578000000000003</v>
      </c>
    </row>
    <row r="44" spans="1:18" ht="15.75" x14ac:dyDescent="0.25">
      <c r="A44" s="58" t="s">
        <v>168</v>
      </c>
      <c r="B44" s="108">
        <v>114.4</v>
      </c>
      <c r="C44" s="70">
        <f>ROUND('PU Wise OWE'!$AR$84/10000,2)</f>
        <v>62.42</v>
      </c>
      <c r="D44" s="85">
        <f t="shared" si="23"/>
        <v>1.2168471533145538E-2</v>
      </c>
      <c r="E44" s="97"/>
      <c r="F44" s="21">
        <f>ROUND('PU Wise OWE'!$AR$82/10000,2)</f>
        <v>78.95</v>
      </c>
      <c r="G44" s="24">
        <f t="shared" si="24"/>
        <v>9.5453995889251599E-3</v>
      </c>
      <c r="H44" s="21">
        <f>ROUND('PU Wise OWE'!$AR$83/10000,2)</f>
        <v>47.37</v>
      </c>
      <c r="I44" s="21">
        <f>ROUND('PU Wise OWE'!$AR$85/10000,2)</f>
        <v>26.13</v>
      </c>
      <c r="J44" s="24">
        <f t="shared" si="25"/>
        <v>4.5397370323011057E-3</v>
      </c>
      <c r="K44" s="22">
        <f t="shared" si="30"/>
        <v>21.24</v>
      </c>
      <c r="L44" s="24">
        <f t="shared" si="31"/>
        <v>0.81285878300803671</v>
      </c>
      <c r="M44" s="22">
        <f t="shared" si="26"/>
        <v>-36.290000000000006</v>
      </c>
      <c r="N44" s="52">
        <f t="shared" si="27"/>
        <v>-0.58138417173982704</v>
      </c>
      <c r="O44" s="52">
        <f t="shared" si="28"/>
        <v>0.33096896770107659</v>
      </c>
      <c r="P44" s="158"/>
      <c r="Q44" s="164">
        <f>(I44/10)*12</f>
        <v>31.356000000000002</v>
      </c>
      <c r="R44" s="68">
        <f t="shared" si="29"/>
        <v>-47.594000000000001</v>
      </c>
    </row>
    <row r="45" spans="1:18" ht="15.75" x14ac:dyDescent="0.25">
      <c r="A45" s="58" t="s">
        <v>169</v>
      </c>
      <c r="B45" s="108">
        <v>46.69</v>
      </c>
      <c r="C45" s="70">
        <f>ROUND('PU Wise OWE'!$AU$84/10000,2)</f>
        <v>23.59</v>
      </c>
      <c r="D45" s="85">
        <f t="shared" si="23"/>
        <v>4.5987543009757001E-3</v>
      </c>
      <c r="E45" s="97"/>
      <c r="F45" s="21">
        <f>ROUND('PU Wise OWE'!$AU$82/10000,2)</f>
        <v>34.83</v>
      </c>
      <c r="G45" s="24">
        <f t="shared" si="24"/>
        <v>4.2110990206746463E-3</v>
      </c>
      <c r="H45" s="21">
        <f>ROUND('PU Wise OWE'!$AU$83/10000,2)</f>
        <v>20.9</v>
      </c>
      <c r="I45" s="21">
        <f>ROUND('PU Wise OWE'!$AU$85/10000,2)</f>
        <v>10.91</v>
      </c>
      <c r="J45" s="24">
        <f t="shared" si="25"/>
        <v>1.895466170011675E-3</v>
      </c>
      <c r="K45" s="22">
        <f t="shared" si="30"/>
        <v>9.9899999999999984</v>
      </c>
      <c r="L45" s="24">
        <f t="shared" si="31"/>
        <v>0.91567369385884489</v>
      </c>
      <c r="M45" s="22">
        <f t="shared" si="26"/>
        <v>-12.68</v>
      </c>
      <c r="N45" s="52">
        <f t="shared" si="27"/>
        <v>-0.53751589656634169</v>
      </c>
      <c r="O45" s="52">
        <f t="shared" si="28"/>
        <v>0.31323571633649155</v>
      </c>
      <c r="P45" s="158"/>
      <c r="Q45" s="164">
        <f>(I45/10)*12</f>
        <v>13.091999999999999</v>
      </c>
      <c r="R45" s="68">
        <f t="shared" si="29"/>
        <v>-21.738</v>
      </c>
    </row>
    <row r="46" spans="1:18" ht="15.75" x14ac:dyDescent="0.25">
      <c r="A46" s="57" t="s">
        <v>166</v>
      </c>
      <c r="B46" s="21">
        <v>54.55</v>
      </c>
      <c r="C46" s="70">
        <f>ROUND('PU Wise OWE'!$AZ$84/10000,2)</f>
        <v>21.38</v>
      </c>
      <c r="D46" s="85">
        <f t="shared" si="23"/>
        <v>4.1679256869377058E-3</v>
      </c>
      <c r="E46" s="97"/>
      <c r="F46" s="21">
        <f>ROUND('PU Wise OWE'!$AZ$82/10000,2)</f>
        <v>31.73</v>
      </c>
      <c r="G46" s="24">
        <f t="shared" si="24"/>
        <v>3.8362954902671988E-3</v>
      </c>
      <c r="H46" s="21">
        <f>ROUND('PU Wise OWE'!$AZ$83/10000,2)</f>
        <v>19.04</v>
      </c>
      <c r="I46" s="21">
        <f>ROUND('PU Wise OWE'!$AZ$85/10000,2)</f>
        <v>64.31</v>
      </c>
      <c r="J46" s="24">
        <f t="shared" si="25"/>
        <v>1.1172999944404292E-2</v>
      </c>
      <c r="K46" s="22">
        <f t="shared" si="30"/>
        <v>-45.27</v>
      </c>
      <c r="L46" s="24">
        <f t="shared" si="31"/>
        <v>-0.70393406935157832</v>
      </c>
      <c r="M46" s="22">
        <f t="shared" si="26"/>
        <v>42.930000000000007</v>
      </c>
      <c r="N46" s="52">
        <f t="shared" si="27"/>
        <v>2.0079513564078582</v>
      </c>
      <c r="O46" s="52">
        <f t="shared" si="28"/>
        <v>2.0267885282067444</v>
      </c>
      <c r="P46" s="158"/>
      <c r="Q46" s="164">
        <f>(I46/10)*12</f>
        <v>77.171999999999997</v>
      </c>
      <c r="R46" s="168">
        <f t="shared" si="29"/>
        <v>45.441999999999993</v>
      </c>
    </row>
    <row r="47" spans="1:18" ht="15.75" x14ac:dyDescent="0.25">
      <c r="A47" s="58" t="s">
        <v>167</v>
      </c>
      <c r="B47" s="108">
        <v>38.14</v>
      </c>
      <c r="C47" s="70">
        <f>ROUND('PU Wise OWE'!$BA$84/10000,2)</f>
        <v>30.56</v>
      </c>
      <c r="D47" s="85">
        <f t="shared" si="23"/>
        <v>5.9575214683262991E-3</v>
      </c>
      <c r="E47" s="97"/>
      <c r="F47" s="21">
        <f>ROUND('PU Wise OWE'!$BA$82/10000,2)</f>
        <v>54.11</v>
      </c>
      <c r="G47" s="24">
        <f t="shared" si="24"/>
        <v>6.5421351710796757E-3</v>
      </c>
      <c r="H47" s="21">
        <f>ROUND('PU Wise OWE'!$BA$83/10000,2)</f>
        <v>32.47</v>
      </c>
      <c r="I47" s="21">
        <f>ROUND('PU Wise OWE'!$BA$85/10000,2)</f>
        <v>118.17</v>
      </c>
      <c r="J47" s="24">
        <f t="shared" si="25"/>
        <v>2.0530452549063213E-2</v>
      </c>
      <c r="K47" s="22">
        <f t="shared" si="30"/>
        <v>-85.7</v>
      </c>
      <c r="L47" s="24">
        <f t="shared" si="31"/>
        <v>-0.72522636879072522</v>
      </c>
      <c r="M47" s="22">
        <f t="shared" si="26"/>
        <v>87.61</v>
      </c>
      <c r="N47" s="52">
        <f t="shared" si="27"/>
        <v>2.8668193717277486</v>
      </c>
      <c r="O47" s="52">
        <f t="shared" si="28"/>
        <v>2.1838846793568658</v>
      </c>
      <c r="P47" s="158"/>
      <c r="Q47" s="164">
        <f>(I47/10)*12</f>
        <v>141.804</v>
      </c>
      <c r="R47" s="68">
        <f t="shared" si="29"/>
        <v>87.694000000000003</v>
      </c>
    </row>
    <row r="48" spans="1:18" ht="15.75" x14ac:dyDescent="0.25">
      <c r="A48" s="59" t="s">
        <v>170</v>
      </c>
      <c r="B48" s="103">
        <v>663.48</v>
      </c>
      <c r="C48" s="70">
        <f>ROUND('PU Wise OWE'!$AM$84/10000,2)-ROUND('PU Wise OWE'!$BJ$84/10000,2)</f>
        <v>350.49</v>
      </c>
      <c r="D48" s="85">
        <f t="shared" si="23"/>
        <v>6.8326299065238377E-2</v>
      </c>
      <c r="E48" s="97"/>
      <c r="F48" s="21">
        <f>ROUND('PU Wise OWE'!$AM$82/10000,2)-ROUND('PU Wise OWE'!$BJ$82/10000,2)</f>
        <v>637.38</v>
      </c>
      <c r="G48" s="24">
        <f t="shared" si="24"/>
        <v>7.7062023939064195E-2</v>
      </c>
      <c r="H48" s="21">
        <f>ROUND('PU Wise OWE'!$AM$83/10000,2)-ROUND('PU Wise OWE'!$BJ$83/10000,2)</f>
        <v>383.23</v>
      </c>
      <c r="I48" s="21">
        <f>ROUND('PU Wise OWE'!$AM$85/10000,2)-ROUND('PU Wise OWE'!$BJ$85/10000,2)</f>
        <v>564.97</v>
      </c>
      <c r="J48" s="24">
        <f t="shared" si="25"/>
        <v>9.815595985989882E-2</v>
      </c>
      <c r="K48" s="22">
        <f t="shared" si="30"/>
        <v>-181.74</v>
      </c>
      <c r="L48" s="24">
        <f t="shared" si="31"/>
        <v>-0.32168079721047133</v>
      </c>
      <c r="M48" s="22">
        <f t="shared" si="26"/>
        <v>214.48000000000002</v>
      </c>
      <c r="N48" s="52">
        <f t="shared" si="27"/>
        <v>0.61194327940882765</v>
      </c>
      <c r="O48" s="52">
        <f t="shared" si="28"/>
        <v>0.88639430167247169</v>
      </c>
      <c r="P48" s="158"/>
      <c r="Q48" s="164">
        <v>670.28</v>
      </c>
      <c r="R48" s="68">
        <f t="shared" si="29"/>
        <v>32.899999999999977</v>
      </c>
    </row>
    <row r="49" spans="1:18" s="36" customFormat="1" ht="15.75" thickBot="1" x14ac:dyDescent="0.3">
      <c r="A49" s="60" t="s">
        <v>130</v>
      </c>
      <c r="B49" s="74">
        <f>B42+B48</f>
        <v>936.95</v>
      </c>
      <c r="C49" s="74">
        <f>C42+C48</f>
        <v>496.32</v>
      </c>
      <c r="D49" s="86">
        <f t="shared" si="23"/>
        <v>9.6755139239519269E-2</v>
      </c>
      <c r="E49" s="98"/>
      <c r="F49" s="26">
        <f>F42+F48</f>
        <v>851.25</v>
      </c>
      <c r="G49" s="54">
        <f t="shared" si="24"/>
        <v>0.10291984040623867</v>
      </c>
      <c r="H49" s="26">
        <f>H42+H48</f>
        <v>511.56</v>
      </c>
      <c r="I49" s="26">
        <f>I42+I48</f>
        <v>812.68000000000006</v>
      </c>
      <c r="J49" s="54">
        <f t="shared" si="25"/>
        <v>0.14119224995830323</v>
      </c>
      <c r="K49" s="26">
        <f t="shared" si="30"/>
        <v>-301.12000000000006</v>
      </c>
      <c r="L49" s="54">
        <f t="shared" si="31"/>
        <v>-0.37052714475562343</v>
      </c>
      <c r="M49" s="26">
        <f t="shared" si="26"/>
        <v>316.36000000000007</v>
      </c>
      <c r="N49" s="55">
        <f t="shared" si="27"/>
        <v>0.63741134751773065</v>
      </c>
      <c r="O49" s="52">
        <f t="shared" si="28"/>
        <v>0.95469016152716601</v>
      </c>
      <c r="P49" s="159"/>
      <c r="Q49" s="74">
        <f>Q42+Q48</f>
        <v>936.44</v>
      </c>
      <c r="R49" s="74">
        <f>R42+R48</f>
        <v>85.19</v>
      </c>
    </row>
    <row r="50" spans="1:18" x14ac:dyDescent="0.25">
      <c r="Q50" s="165"/>
    </row>
    <row r="51" spans="1:18" x14ac:dyDescent="0.25">
      <c r="A51" s="75" t="s">
        <v>184</v>
      </c>
      <c r="B51" s="75"/>
      <c r="Q51" s="165"/>
    </row>
    <row r="52" spans="1:18" ht="30" customHeight="1" x14ac:dyDescent="0.25">
      <c r="A52" s="81" t="s">
        <v>185</v>
      </c>
      <c r="B52" s="109">
        <v>188.88</v>
      </c>
      <c r="C52" s="70">
        <f>ROUND('PU Wise OWE'!$AK$128/10000,2)-C43</f>
        <v>94.89</v>
      </c>
      <c r="D52" s="85">
        <f t="shared" ref="D52:D56" si="32">C52/$C$7</f>
        <v>1.8498338093242229E-2</v>
      </c>
      <c r="E52" s="284"/>
      <c r="F52" s="22">
        <f>ROUND('PU Wise OWE'!$AK$126/10000,2)-F43</f>
        <v>121.82</v>
      </c>
      <c r="G52" s="24">
        <f t="shared" ref="G52:G54" si="33">F52/$F$7</f>
        <v>1.4728569701366219E-2</v>
      </c>
      <c r="H52" s="22">
        <f>ROUND('PU Wise OWE'!$AK$127/10000,2)-H43</f>
        <v>73.09</v>
      </c>
      <c r="I52" s="22">
        <f>ROUND('PU Wise OWE'!$AK$129/10000,2)-I43</f>
        <v>66.28</v>
      </c>
      <c r="J52" s="24">
        <f t="shared" ref="J52:J56" si="34">I52/$I$7</f>
        <v>1.1515261021849113E-2</v>
      </c>
      <c r="K52" s="22">
        <f>H52-I52</f>
        <v>6.8100000000000023</v>
      </c>
      <c r="L52" s="24">
        <f>K52/I52</f>
        <v>0.10274592637296322</v>
      </c>
      <c r="M52" s="22">
        <f>I52-C52</f>
        <v>-28.61</v>
      </c>
      <c r="N52" s="52">
        <f>M52/C52</f>
        <v>-0.30150700811465908</v>
      </c>
      <c r="O52" s="52">
        <f t="shared" ref="O52:O54" si="35">I52/F52</f>
        <v>0.54408143162042366</v>
      </c>
      <c r="P52" s="157" t="s">
        <v>272</v>
      </c>
      <c r="Q52" s="164">
        <f>(I52/10)*12</f>
        <v>79.536000000000001</v>
      </c>
      <c r="R52" s="168">
        <f>Q52-F52</f>
        <v>-42.283999999999992</v>
      </c>
    </row>
    <row r="53" spans="1:18" ht="15.75" x14ac:dyDescent="0.25">
      <c r="A53" s="20" t="s">
        <v>162</v>
      </c>
      <c r="B53" s="105">
        <v>121.46</v>
      </c>
      <c r="C53" s="70">
        <f>ROUND('PU Wise OWE'!$AL$128/10000,2)</f>
        <v>82</v>
      </c>
      <c r="D53" s="85">
        <f t="shared" si="32"/>
        <v>1.5985496086477636E-2</v>
      </c>
      <c r="E53" s="285"/>
      <c r="F53" s="22">
        <f>ROUND('PU Wise OWE'!$AL$126/10000,2)</f>
        <v>109.58</v>
      </c>
      <c r="G53" s="24">
        <f t="shared" si="33"/>
        <v>1.3248700278080039E-2</v>
      </c>
      <c r="H53" s="23">
        <f>ROUND('PU Wise OWE'!$AL$127/10000,2)</f>
        <v>65.75</v>
      </c>
      <c r="I53" s="23">
        <f>ROUND('PU Wise OWE'!$AL$129/10000,2)</f>
        <v>52.86</v>
      </c>
      <c r="J53" s="24">
        <f t="shared" si="34"/>
        <v>9.1837160171234777E-3</v>
      </c>
      <c r="K53" s="22">
        <f t="shared" ref="K53:K54" si="36">H53-I53</f>
        <v>12.89</v>
      </c>
      <c r="L53" s="24">
        <f t="shared" ref="L53:L54" si="37">K53/I53</f>
        <v>0.24385168369277338</v>
      </c>
      <c r="M53" s="22">
        <f>I53-C53</f>
        <v>-29.14</v>
      </c>
      <c r="N53" s="52">
        <f>M53/C53</f>
        <v>-0.35536585365853657</v>
      </c>
      <c r="O53" s="52">
        <f t="shared" si="35"/>
        <v>0.48238729695199856</v>
      </c>
      <c r="P53" s="156" t="s">
        <v>273</v>
      </c>
      <c r="Q53" s="164">
        <f>(I53/10)*12</f>
        <v>63.431999999999995</v>
      </c>
      <c r="R53" s="68">
        <f>Q53-F53</f>
        <v>-46.148000000000003</v>
      </c>
    </row>
    <row r="54" spans="1:18" s="36" customFormat="1" x14ac:dyDescent="0.25">
      <c r="A54" s="25" t="s">
        <v>130</v>
      </c>
      <c r="B54" s="26">
        <f>SUM(B52:B53)</f>
        <v>310.33999999999997</v>
      </c>
      <c r="C54" s="74">
        <f>SUM(C52:C53)</f>
        <v>176.89</v>
      </c>
      <c r="D54" s="86">
        <f t="shared" si="32"/>
        <v>3.4483834179719862E-2</v>
      </c>
      <c r="E54" s="286"/>
      <c r="F54" s="74">
        <f t="shared" ref="F54:I54" si="38">SUM(F52:F53)</f>
        <v>231.39999999999998</v>
      </c>
      <c r="G54" s="54">
        <f t="shared" si="33"/>
        <v>2.7977269979446256E-2</v>
      </c>
      <c r="H54" s="74">
        <f t="shared" si="38"/>
        <v>138.84</v>
      </c>
      <c r="I54" s="74">
        <f t="shared" si="38"/>
        <v>119.14</v>
      </c>
      <c r="J54" s="54">
        <f t="shared" si="34"/>
        <v>2.0698977038972589E-2</v>
      </c>
      <c r="K54" s="26">
        <f t="shared" si="36"/>
        <v>19.700000000000003</v>
      </c>
      <c r="L54" s="54">
        <f t="shared" si="37"/>
        <v>0.16535168709081755</v>
      </c>
      <c r="M54" s="26">
        <f>I54-C54</f>
        <v>-57.749999999999986</v>
      </c>
      <c r="N54" s="102">
        <f>M54/C54</f>
        <v>-0.32647407993668376</v>
      </c>
      <c r="O54" s="52">
        <f t="shared" si="35"/>
        <v>0.51486603284356103</v>
      </c>
      <c r="P54" s="155"/>
      <c r="Q54" s="74">
        <f>SUM(Q52:Q53)</f>
        <v>142.96799999999999</v>
      </c>
      <c r="R54" s="74">
        <f>SUM(R52:R53)</f>
        <v>-88.431999999999988</v>
      </c>
    </row>
    <row r="55" spans="1:18" x14ac:dyDescent="0.25">
      <c r="Q55" s="165"/>
    </row>
    <row r="56" spans="1:18" s="36" customFormat="1" ht="38.450000000000003" customHeight="1" x14ac:dyDescent="0.25">
      <c r="A56" s="78" t="s">
        <v>163</v>
      </c>
      <c r="B56" s="110">
        <v>348.19</v>
      </c>
      <c r="C56" s="71">
        <f>ROUND('PU Wise OWE'!$AO$128/10000,2)</f>
        <v>213.48</v>
      </c>
      <c r="D56" s="86">
        <f t="shared" si="32"/>
        <v>4.1616874445624945E-2</v>
      </c>
      <c r="E56" s="53"/>
      <c r="F56" s="26">
        <f>ROUND('PU Wise OWE'!$AO$126/10000,2)</f>
        <v>304.54000000000002</v>
      </c>
      <c r="G56" s="54">
        <f t="shared" ref="G56" si="39">F56/$F$7</f>
        <v>3.6820215209769074E-2</v>
      </c>
      <c r="H56" s="25">
        <f>ROUND('PU Wise OWE'!$AO$127/10000,2)</f>
        <v>182.73</v>
      </c>
      <c r="I56" s="25">
        <f>ROUND('PU Wise OWE'!$AO$129/10000,2)</f>
        <v>209.56</v>
      </c>
      <c r="J56" s="54">
        <f t="shared" si="34"/>
        <v>3.6408239283927279E-2</v>
      </c>
      <c r="K56" s="26">
        <f>H56-I56</f>
        <v>-26.830000000000013</v>
      </c>
      <c r="L56" s="54">
        <f>K56/I56</f>
        <v>-0.12803015842718082</v>
      </c>
      <c r="M56" s="26">
        <f>I56-C56</f>
        <v>-3.9199999999999875</v>
      </c>
      <c r="N56" s="55">
        <f>M56/C56</f>
        <v>-1.836237586659166E-2</v>
      </c>
      <c r="O56" s="52">
        <f t="shared" ref="O56" si="40">I56/F56</f>
        <v>0.68811978722006961</v>
      </c>
      <c r="P56" s="157" t="s">
        <v>286</v>
      </c>
      <c r="Q56" s="164">
        <f>(I56-26.18)/10*2+I56</f>
        <v>246.23599999999999</v>
      </c>
      <c r="R56" s="168">
        <f>Q56-F56</f>
        <v>-58.30400000000003</v>
      </c>
    </row>
    <row r="57" spans="1:18" s="36" customFormat="1" x14ac:dyDescent="0.25">
      <c r="A57" s="116"/>
      <c r="B57" s="117"/>
      <c r="C57" s="113"/>
      <c r="D57" s="114"/>
      <c r="E57" s="115"/>
      <c r="F57" s="91"/>
      <c r="G57" s="90"/>
      <c r="H57" s="90"/>
      <c r="I57" s="88"/>
      <c r="J57" s="90"/>
      <c r="K57" s="90"/>
      <c r="L57" s="90"/>
      <c r="M57" s="26"/>
      <c r="N57" s="55"/>
      <c r="O57" s="100"/>
      <c r="P57" s="160"/>
      <c r="Q57" s="167"/>
    </row>
    <row r="58" spans="1:18" x14ac:dyDescent="0.25">
      <c r="B58" s="291" t="s">
        <v>302</v>
      </c>
      <c r="C58" s="289" t="str">
        <f>'PU Wise OWE'!$B$7</f>
        <v>Actuals upto Oct' 20</v>
      </c>
      <c r="D58" s="291" t="s">
        <v>173</v>
      </c>
      <c r="E58" s="291"/>
      <c r="F58" s="315" t="str">
        <f>'PU Wise OWE'!$B$5</f>
        <v xml:space="preserve">OBG(SL) 2021-22 </v>
      </c>
      <c r="G58" s="291" t="s">
        <v>309</v>
      </c>
      <c r="H58" s="291" t="s">
        <v>316</v>
      </c>
      <c r="I58" s="289" t="str">
        <f>'PU Wise OWE'!B8</f>
        <v>Actuals upto Oct' 21</v>
      </c>
      <c r="J58" s="291" t="s">
        <v>205</v>
      </c>
      <c r="K58" s="267" t="s">
        <v>207</v>
      </c>
      <c r="L58" s="267"/>
      <c r="M58" s="267" t="s">
        <v>147</v>
      </c>
      <c r="N58" s="267"/>
      <c r="O58" s="268" t="s">
        <v>314</v>
      </c>
      <c r="P58" s="324" t="s">
        <v>268</v>
      </c>
      <c r="Q58" s="166"/>
    </row>
    <row r="59" spans="1:18" ht="30" x14ac:dyDescent="0.25">
      <c r="A59" s="75" t="s">
        <v>186</v>
      </c>
      <c r="B59" s="290"/>
      <c r="C59" s="290"/>
      <c r="D59" s="290"/>
      <c r="E59" s="290"/>
      <c r="F59" s="316"/>
      <c r="G59" s="290"/>
      <c r="H59" s="290"/>
      <c r="I59" s="290"/>
      <c r="J59" s="290"/>
      <c r="K59" s="79" t="s">
        <v>145</v>
      </c>
      <c r="L59" s="80" t="s">
        <v>146</v>
      </c>
      <c r="M59" s="79" t="s">
        <v>145</v>
      </c>
      <c r="N59" s="80" t="s">
        <v>146</v>
      </c>
      <c r="O59" s="268"/>
      <c r="P59" s="324"/>
      <c r="Q59" s="166"/>
    </row>
    <row r="60" spans="1:18" ht="15.75" x14ac:dyDescent="0.25">
      <c r="A60" s="23" t="s">
        <v>187</v>
      </c>
      <c r="B60" s="22">
        <v>80.099999999999994</v>
      </c>
      <c r="C60" s="70">
        <f>ROUND('PU Wise OWE'!$AM$62/10000,2)</f>
        <v>49.58</v>
      </c>
      <c r="D60" s="85">
        <f t="shared" ref="D60:D64" si="41">C60/$C$7</f>
        <v>9.6653767800922094E-3</v>
      </c>
      <c r="E60" s="281"/>
      <c r="F60" s="22">
        <f>ROUND('PU Wise OWE'!$AM$60/10000,2)</f>
        <v>67.81</v>
      </c>
      <c r="G60" s="24">
        <f t="shared" ref="G60:G64" si="42">F60/$F$7</f>
        <v>8.1985249667512992E-3</v>
      </c>
      <c r="H60" s="23">
        <f>ROUND('PU Wise OWE'!$AM$61/10000,2)</f>
        <v>40.68</v>
      </c>
      <c r="I60" s="23">
        <f>ROUND('PU Wise OWE'!$AM$63/10000,2)</f>
        <v>52.48</v>
      </c>
      <c r="J60" s="94">
        <f t="shared" ref="J60:J64" si="43">I60/$I$7</f>
        <v>9.1176961138600097E-3</v>
      </c>
      <c r="K60" s="22">
        <f>H60-I60</f>
        <v>-11.799999999999997</v>
      </c>
      <c r="L60" s="24">
        <f>K60/I60</f>
        <v>-0.22484756097560971</v>
      </c>
      <c r="M60" s="22">
        <f>I60-C60</f>
        <v>2.8999999999999986</v>
      </c>
      <c r="N60" s="52">
        <f>M60/C60</f>
        <v>5.8491327148043538E-2</v>
      </c>
      <c r="O60" s="52">
        <f t="shared" ref="O60:O64" si="44">I60/F60</f>
        <v>0.77392714938799578</v>
      </c>
      <c r="P60" s="157"/>
      <c r="Q60" s="164">
        <f>(I60/10)*12</f>
        <v>62.975999999999992</v>
      </c>
      <c r="R60" s="68">
        <f>Q60-F60</f>
        <v>-4.8340000000000103</v>
      </c>
    </row>
    <row r="61" spans="1:18" ht="46.15" customHeight="1" x14ac:dyDescent="0.25">
      <c r="A61" s="23" t="s">
        <v>188</v>
      </c>
      <c r="B61" s="22">
        <v>21.26</v>
      </c>
      <c r="C61" s="70">
        <f>ROUND('PU Wise OWE'!$AM$95/10000,2)</f>
        <v>9.83</v>
      </c>
      <c r="D61" s="85">
        <f t="shared" si="41"/>
        <v>1.9163100796350629E-3</v>
      </c>
      <c r="E61" s="282"/>
      <c r="F61" s="22">
        <f>ROUND('PU Wise OWE'!$AM$93/10000,2)</f>
        <v>16.309999999999999</v>
      </c>
      <c r="G61" s="24">
        <f t="shared" si="42"/>
        <v>1.9719501874017652E-3</v>
      </c>
      <c r="H61" s="23">
        <f>ROUND('PU Wise OWE'!$AM$94/10000,2)</f>
        <v>9.7899999999999991</v>
      </c>
      <c r="I61" s="23">
        <f>ROUND('PU Wise OWE'!$AM$96/10000,2)</f>
        <v>7.1</v>
      </c>
      <c r="J61" s="94">
        <f t="shared" si="43"/>
        <v>1.2335297715016401E-3</v>
      </c>
      <c r="K61" s="22">
        <f t="shared" ref="K61:K64" si="45">H61-I61</f>
        <v>2.6899999999999995</v>
      </c>
      <c r="L61" s="24">
        <f t="shared" ref="L61:L64" si="46">K61/I61</f>
        <v>0.37887323943661966</v>
      </c>
      <c r="M61" s="22">
        <f>I61-C61</f>
        <v>-2.7300000000000004</v>
      </c>
      <c r="N61" s="52">
        <f>M61/C61</f>
        <v>-0.2777212614445575</v>
      </c>
      <c r="O61" s="52">
        <f t="shared" si="44"/>
        <v>0.43531575720416921</v>
      </c>
      <c r="P61" s="157" t="s">
        <v>277</v>
      </c>
      <c r="Q61" s="164">
        <f>(I61/10)*12</f>
        <v>8.52</v>
      </c>
      <c r="R61" s="68">
        <f>Q61-F61</f>
        <v>-7.7899999999999991</v>
      </c>
    </row>
    <row r="62" spans="1:18" ht="43.15" customHeight="1" x14ac:dyDescent="0.25">
      <c r="A62" s="23" t="s">
        <v>189</v>
      </c>
      <c r="B62" s="22">
        <v>9.89</v>
      </c>
      <c r="C62" s="70">
        <f>ROUND('PU Wise OWE'!$AN$18/10000,2)</f>
        <v>9.64</v>
      </c>
      <c r="D62" s="85">
        <f t="shared" si="41"/>
        <v>1.879270515532249E-3</v>
      </c>
      <c r="E62" s="282"/>
      <c r="F62" s="22">
        <f>ROUND('PU Wise OWE'!$AN$16/10000,2)</f>
        <v>10.1</v>
      </c>
      <c r="G62" s="24">
        <f>F62/$F$7</f>
        <v>1.2211340829403942E-3</v>
      </c>
      <c r="H62" s="23">
        <f>ROUND('PU Wise OWE'!$AN$17/10000,2)</f>
        <v>6.06</v>
      </c>
      <c r="I62" s="23">
        <f>ROUND('PU Wise OWE'!$AN$19/10000,2)</f>
        <v>10.220000000000001</v>
      </c>
      <c r="J62" s="94">
        <f t="shared" si="43"/>
        <v>1.77558792461222E-3</v>
      </c>
      <c r="K62" s="22">
        <f t="shared" si="45"/>
        <v>-4.160000000000001</v>
      </c>
      <c r="L62" s="24">
        <f t="shared" si="46"/>
        <v>-0.4070450097847359</v>
      </c>
      <c r="M62" s="22">
        <f>I62-C62</f>
        <v>0.58000000000000007</v>
      </c>
      <c r="N62" s="52">
        <f>M62/C62</f>
        <v>6.0165975103734441E-2</v>
      </c>
      <c r="O62" s="52">
        <f t="shared" si="44"/>
        <v>1.0118811881188119</v>
      </c>
      <c r="P62" s="157" t="s">
        <v>274</v>
      </c>
      <c r="Q62" s="164">
        <f>(I62/10)*12</f>
        <v>12.263999999999999</v>
      </c>
      <c r="R62" s="68">
        <f>Q62-F62</f>
        <v>2.1639999999999997</v>
      </c>
    </row>
    <row r="63" spans="1:18" ht="15.75" x14ac:dyDescent="0.25">
      <c r="A63" s="23" t="s">
        <v>190</v>
      </c>
      <c r="B63" s="22">
        <v>1.64</v>
      </c>
      <c r="C63" s="70">
        <f>ROUND('PU Wise OWE'!$AN$62/10000,2)</f>
        <v>2.17</v>
      </c>
      <c r="D63" s="85">
        <f t="shared" si="41"/>
        <v>4.2303081106898131E-4</v>
      </c>
      <c r="E63" s="282"/>
      <c r="F63" s="22">
        <f>ROUND('PU Wise OWE'!$AN$60/10000,2)</f>
        <v>1.46</v>
      </c>
      <c r="G63" s="24">
        <f>F63/$F$7</f>
        <v>1.7652037238544312E-4</v>
      </c>
      <c r="H63" s="23">
        <f>ROUND('PU Wise OWE'!$AN$61/10000,2)</f>
        <v>0.88</v>
      </c>
      <c r="I63" s="23">
        <f>ROUND('PU Wise OWE'!$AN$63/10000,2)</f>
        <v>2.19</v>
      </c>
      <c r="J63" s="94">
        <f t="shared" si="43"/>
        <v>3.8048312670261854E-4</v>
      </c>
      <c r="K63" s="22">
        <f t="shared" si="45"/>
        <v>-1.31</v>
      </c>
      <c r="L63" s="24">
        <f t="shared" si="46"/>
        <v>-0.59817351598173518</v>
      </c>
      <c r="M63" s="22">
        <f>I63-C63</f>
        <v>2.0000000000000018E-2</v>
      </c>
      <c r="N63" s="52">
        <f>M63/C63</f>
        <v>9.2165898617511607E-3</v>
      </c>
      <c r="O63" s="52">
        <f t="shared" si="44"/>
        <v>1.5</v>
      </c>
      <c r="P63" s="156"/>
      <c r="Q63" s="164">
        <f>(I63/10)*12</f>
        <v>2.6280000000000001</v>
      </c>
      <c r="R63" s="68">
        <f>Q63-F63</f>
        <v>1.1680000000000001</v>
      </c>
    </row>
    <row r="64" spans="1:18" s="36" customFormat="1" x14ac:dyDescent="0.25">
      <c r="A64" s="25" t="s">
        <v>130</v>
      </c>
      <c r="B64" s="26">
        <f>SUM(B60:B63)</f>
        <v>112.89</v>
      </c>
      <c r="C64" s="74">
        <f>SUM(C60:C63)</f>
        <v>71.22</v>
      </c>
      <c r="D64" s="86">
        <f t="shared" si="41"/>
        <v>1.3883988186328503E-2</v>
      </c>
      <c r="E64" s="283"/>
      <c r="F64" s="26">
        <f>SUM(F60:F63)</f>
        <v>95.679999999999993</v>
      </c>
      <c r="G64" s="54">
        <f t="shared" si="42"/>
        <v>1.1568129609478901E-2</v>
      </c>
      <c r="H64" s="26">
        <f>SUM(H60:H63)</f>
        <v>57.410000000000004</v>
      </c>
      <c r="I64" s="26">
        <f>SUM(I60:I63)</f>
        <v>71.989999999999995</v>
      </c>
      <c r="J64" s="54">
        <f t="shared" si="43"/>
        <v>1.2507296936676487E-2</v>
      </c>
      <c r="K64" s="26">
        <f t="shared" si="45"/>
        <v>-14.579999999999991</v>
      </c>
      <c r="L64" s="54">
        <f t="shared" si="46"/>
        <v>-0.2025281289067925</v>
      </c>
      <c r="M64" s="26">
        <f>I64-C64</f>
        <v>0.76999999999999602</v>
      </c>
      <c r="N64" s="55">
        <f>M64/C64</f>
        <v>1.0811569783768548E-2</v>
      </c>
      <c r="O64" s="52">
        <f t="shared" si="44"/>
        <v>0.75240384615384615</v>
      </c>
      <c r="P64" s="155"/>
      <c r="Q64" s="74">
        <f>SUM(Q60:Q63)</f>
        <v>86.387999999999991</v>
      </c>
      <c r="R64" s="74">
        <f>SUM(R60:R63)</f>
        <v>-9.2920000000000087</v>
      </c>
    </row>
    <row r="65" spans="1:18" x14ac:dyDescent="0.25">
      <c r="Q65" s="165"/>
    </row>
    <row r="66" spans="1:18" x14ac:dyDescent="0.25">
      <c r="A66" s="75" t="s">
        <v>191</v>
      </c>
      <c r="B66" s="75"/>
      <c r="Q66" s="165"/>
    </row>
    <row r="67" spans="1:18" ht="27.6" customHeight="1" x14ac:dyDescent="0.25">
      <c r="A67" s="23" t="s">
        <v>192</v>
      </c>
      <c r="B67" s="22">
        <v>1117.51</v>
      </c>
      <c r="C67" s="70">
        <f>ROUND('PU Wise OWE'!$AP$73/10000,2)</f>
        <v>1161.8800000000001</v>
      </c>
      <c r="D67" s="85">
        <f t="shared" ref="D67:D69" si="47">C67/$C$7</f>
        <v>0.22650278284093461</v>
      </c>
      <c r="E67" s="23"/>
      <c r="F67" s="22">
        <f>ROUND('PU Wise OWE'!$AP$71/10000,2)</f>
        <v>1543.31</v>
      </c>
      <c r="G67" s="24">
        <f t="shared" ref="G67:G69" si="48">F67/$F$7</f>
        <v>0.18659291500423164</v>
      </c>
      <c r="H67" s="23">
        <f>ROUND('PU Wise OWE'!$AP$72/10000,2)</f>
        <v>1196.58</v>
      </c>
      <c r="I67" s="23">
        <f>ROUND('PU Wise OWE'!$AP$74/10000,2)</f>
        <v>1152.05</v>
      </c>
      <c r="J67" s="94">
        <f t="shared" ref="J67:J69" si="49">I67/$I$7</f>
        <v>0.20015323567020624</v>
      </c>
      <c r="K67" s="22">
        <f>H67-I67</f>
        <v>44.529999999999973</v>
      </c>
      <c r="L67" s="24">
        <f>K67/I67</f>
        <v>3.8652836248426699E-2</v>
      </c>
      <c r="M67" s="22">
        <f>I67-C67</f>
        <v>-9.8300000000001546</v>
      </c>
      <c r="N67" s="52">
        <f>M67/C67</f>
        <v>-8.4604262058045176E-3</v>
      </c>
      <c r="O67" s="52">
        <f t="shared" ref="O67:O68" si="50">I67/F67</f>
        <v>0.74647996837965147</v>
      </c>
      <c r="P67" s="157" t="s">
        <v>278</v>
      </c>
      <c r="Q67" s="164">
        <f>(I67-256.76-544.78)/10*2+I67</f>
        <v>1222.152</v>
      </c>
      <c r="R67" s="68">
        <f>Q67-F67</f>
        <v>-321.1579999999999</v>
      </c>
    </row>
    <row r="68" spans="1:18" ht="15.75" x14ac:dyDescent="0.25">
      <c r="A68" s="87" t="s">
        <v>193</v>
      </c>
      <c r="B68" s="111">
        <v>38.520000000000003</v>
      </c>
      <c r="C68" s="70">
        <f>ROUND('PU Wise OWE'!$AP$128/10000,2)-C67</f>
        <v>20.539999999999964</v>
      </c>
      <c r="D68" s="85">
        <f t="shared" si="47"/>
        <v>4.0041718245884157E-3</v>
      </c>
      <c r="E68" s="23"/>
      <c r="F68" s="22">
        <f>ROUND('PU Wise OWE'!$AP$126/10000,2)-F67</f>
        <v>35.230000000000018</v>
      </c>
      <c r="G68" s="24">
        <f t="shared" si="48"/>
        <v>4.2594607665336738E-3</v>
      </c>
      <c r="H68" s="23">
        <f>ROUND('PU Wise OWE'!$AP$127/10000,2)-H67</f>
        <v>21.1400000000001</v>
      </c>
      <c r="I68" s="23">
        <f>ROUND('PU Wise OWE'!$AP$129/10000,2)-I67</f>
        <v>109.6400000000001</v>
      </c>
      <c r="J68" s="94">
        <f t="shared" si="49"/>
        <v>1.9048479457385907E-2</v>
      </c>
      <c r="K68" s="22">
        <f t="shared" ref="K68:K69" si="51">H68-I68</f>
        <v>-88.5</v>
      </c>
      <c r="L68" s="24">
        <f t="shared" ref="L68:L69" si="52">K68/I68</f>
        <v>-0.8071871579715425</v>
      </c>
      <c r="M68" s="22">
        <f>I68-C68</f>
        <v>89.100000000000136</v>
      </c>
      <c r="N68" s="52">
        <f>M68/C68</f>
        <v>4.3378773125608712</v>
      </c>
      <c r="O68" s="52">
        <f t="shared" si="50"/>
        <v>3.1121203519727518</v>
      </c>
      <c r="P68" s="156"/>
      <c r="Q68" s="164">
        <f>(I68/10)*12</f>
        <v>131.5680000000001</v>
      </c>
      <c r="R68" s="68">
        <f>Q68-F68</f>
        <v>96.338000000000079</v>
      </c>
    </row>
    <row r="69" spans="1:18" s="36" customFormat="1" x14ac:dyDescent="0.25">
      <c r="A69" s="25" t="s">
        <v>130</v>
      </c>
      <c r="B69" s="26">
        <f>SUM(B67:B68)</f>
        <v>1156.03</v>
      </c>
      <c r="C69" s="74">
        <f>SUM(C67:C68)</f>
        <v>1182.42</v>
      </c>
      <c r="D69" s="86">
        <f t="shared" si="47"/>
        <v>0.23050695466552301</v>
      </c>
      <c r="E69" s="88"/>
      <c r="F69" s="89">
        <f>SUM(F67:F68)</f>
        <v>1578.54</v>
      </c>
      <c r="G69" s="90">
        <f t="shared" si="48"/>
        <v>0.19085237577076533</v>
      </c>
      <c r="H69" s="89">
        <f>SUM(H67:H68)</f>
        <v>1217.72</v>
      </c>
      <c r="I69" s="89">
        <f>SUM(I67:I68)</f>
        <v>1261.69</v>
      </c>
      <c r="J69" s="54">
        <f t="shared" si="49"/>
        <v>0.21920171512759215</v>
      </c>
      <c r="K69" s="22">
        <f t="shared" si="51"/>
        <v>-43.970000000000027</v>
      </c>
      <c r="L69" s="24">
        <f t="shared" si="52"/>
        <v>-3.4850082032829001E-2</v>
      </c>
      <c r="M69" s="91">
        <f>I69-C69</f>
        <v>79.269999999999982</v>
      </c>
      <c r="N69" s="101">
        <f>M69/C69</f>
        <v>6.704047631129377E-2</v>
      </c>
      <c r="P69" s="161"/>
      <c r="Q69" s="74">
        <f>SUM(Q67:Q68)</f>
        <v>1353.7200000000003</v>
      </c>
      <c r="R69" s="74">
        <f>SUM(R67:R68)</f>
        <v>-224.81999999999982</v>
      </c>
    </row>
    <row r="70" spans="1:18" x14ac:dyDescent="0.25">
      <c r="E70" s="31"/>
      <c r="F70" s="34"/>
      <c r="G70" s="34"/>
      <c r="H70" s="34"/>
      <c r="I70" s="31"/>
      <c r="J70" s="31"/>
      <c r="K70" s="31"/>
      <c r="L70" s="31"/>
      <c r="M70" s="34"/>
      <c r="N70" s="92"/>
      <c r="Q70" s="165"/>
    </row>
    <row r="71" spans="1:18" x14ac:dyDescent="0.25">
      <c r="A71" s="75" t="s">
        <v>195</v>
      </c>
      <c r="B71" s="75"/>
      <c r="E71" s="31"/>
      <c r="F71" s="34"/>
      <c r="G71" s="34"/>
      <c r="H71" s="34"/>
      <c r="I71" s="31"/>
      <c r="J71" s="31"/>
      <c r="K71" s="31"/>
      <c r="L71" s="31"/>
      <c r="M71" s="34"/>
      <c r="N71" s="92"/>
      <c r="Q71" s="165"/>
    </row>
    <row r="72" spans="1:18" ht="38.450000000000003" customHeight="1" x14ac:dyDescent="0.25">
      <c r="A72" s="23" t="s">
        <v>194</v>
      </c>
      <c r="B72" s="22">
        <v>12.31</v>
      </c>
      <c r="C72" s="70">
        <f>ROUND('PU Wise OWE'!$AQ$29/10000,2)+ROUND('PU Wise OWE'!$BB$29/10000,2)</f>
        <v>18.13</v>
      </c>
      <c r="D72" s="85">
        <f t="shared" ref="D72:D74" si="53">C72/$C$7</f>
        <v>3.5343541957053599E-3</v>
      </c>
      <c r="E72" s="23"/>
      <c r="F72" s="70">
        <f>ROUND('PU Wise OWE'!$AQ$27/10000,2)+ROUND('PU Wise OWE'!$BB$27/10000,2)</f>
        <v>11.17</v>
      </c>
      <c r="G72" s="24">
        <f t="shared" ref="G72:G74" si="54">F72/$F$7</f>
        <v>1.3505017531132873E-3</v>
      </c>
      <c r="H72" s="70">
        <f>ROUND('PU Wise OWE'!$AQ$28/10000,2)+ROUND('PU Wise OWE'!$BB$28/10000,2)</f>
        <v>6.7</v>
      </c>
      <c r="I72" s="70">
        <f>ROUND('PU Wise OWE'!$AQ$30/10000,2)+ROUND('PU Wise OWE'!$BB$30/10000,2)</f>
        <v>18.649999999999999</v>
      </c>
      <c r="J72" s="94">
        <f t="shared" ref="J72:J74" si="55">I72/$I$7</f>
        <v>3.240187357535998E-3</v>
      </c>
      <c r="K72" s="22">
        <f>H72-I72</f>
        <v>-11.95</v>
      </c>
      <c r="L72" s="24">
        <f>K72/I72</f>
        <v>-0.64075067024128685</v>
      </c>
      <c r="M72" s="22">
        <f>I72-C72</f>
        <v>0.51999999999999957</v>
      </c>
      <c r="N72" s="52">
        <f>M72/C72</f>
        <v>2.8681742967457232E-2</v>
      </c>
      <c r="O72" s="52">
        <f t="shared" ref="O72:O73" si="56">I72/F72</f>
        <v>1.6696508504923901</v>
      </c>
      <c r="P72" s="157" t="s">
        <v>289</v>
      </c>
      <c r="Q72" s="164">
        <f>(I72/10)*12</f>
        <v>22.379999999999995</v>
      </c>
      <c r="R72" s="68">
        <f>Q72-F72</f>
        <v>11.209999999999996</v>
      </c>
    </row>
    <row r="73" spans="1:18" ht="52.9" customHeight="1" x14ac:dyDescent="0.25">
      <c r="A73" s="23" t="s">
        <v>196</v>
      </c>
      <c r="B73" s="22">
        <v>114.52</v>
      </c>
      <c r="C73" s="70">
        <f>ROUND('PU Wise OWE'!$AQ$40/10000,2)+ROUND('PU Wise OWE'!$BB$40/10000,2)</f>
        <v>51.010000000000005</v>
      </c>
      <c r="D73" s="85">
        <f t="shared" si="53"/>
        <v>9.9441482362344433E-3</v>
      </c>
      <c r="E73" s="23"/>
      <c r="F73" s="70">
        <f>ROUND('PU Wise OWE'!$AQ$38/10000,2)+ROUND('PU Wise OWE'!$BB$38/10000,2)</f>
        <v>79.58</v>
      </c>
      <c r="G73" s="24">
        <f t="shared" si="54"/>
        <v>9.6215693386531246E-3</v>
      </c>
      <c r="H73" s="70">
        <f>ROUND('PU Wise OWE'!$AQ$39/10000,2)+ROUND('PU Wise OWE'!$BB$39/10000,2)</f>
        <v>47.75</v>
      </c>
      <c r="I73" s="70">
        <f>ROUND('PU Wise OWE'!$AQ$41/10000,2)+ROUND('PU Wise OWE'!$BB$41/10000,2)</f>
        <v>81.599999999999994</v>
      </c>
      <c r="J73" s="94">
        <f t="shared" si="55"/>
        <v>1.4176905542892087E-2</v>
      </c>
      <c r="K73" s="22">
        <f t="shared" ref="K73:K74" si="57">H73-I73</f>
        <v>-33.849999999999994</v>
      </c>
      <c r="L73" s="24">
        <f t="shared" ref="L73:L74" si="58">K73/I73</f>
        <v>-0.41482843137254899</v>
      </c>
      <c r="M73" s="22">
        <f>I73-C73</f>
        <v>30.589999999999989</v>
      </c>
      <c r="N73" s="52">
        <f>M73/C73</f>
        <v>0.59968633601254628</v>
      </c>
      <c r="O73" s="52">
        <f t="shared" si="56"/>
        <v>1.0253832621261623</v>
      </c>
      <c r="P73" s="157" t="s">
        <v>275</v>
      </c>
      <c r="Q73" s="164">
        <f>(I73/10)*12</f>
        <v>97.92</v>
      </c>
      <c r="R73" s="68">
        <f>Q73-F73</f>
        <v>18.340000000000003</v>
      </c>
    </row>
    <row r="74" spans="1:18" s="36" customFormat="1" x14ac:dyDescent="0.25">
      <c r="A74" s="25" t="s">
        <v>130</v>
      </c>
      <c r="B74" s="26">
        <v>126.83</v>
      </c>
      <c r="C74" s="74">
        <f>SUM(C72:C73)</f>
        <v>69.14</v>
      </c>
      <c r="D74" s="86">
        <f t="shared" si="53"/>
        <v>1.3478502431939801E-2</v>
      </c>
      <c r="E74" s="25"/>
      <c r="F74" s="74">
        <f>SUM(F72:F73)</f>
        <v>90.75</v>
      </c>
      <c r="G74" s="54">
        <f t="shared" si="54"/>
        <v>1.0972071091766412E-2</v>
      </c>
      <c r="H74" s="74">
        <f t="shared" ref="H74:I74" si="59">SUM(H72:H73)</f>
        <v>54.45</v>
      </c>
      <c r="I74" s="74">
        <f t="shared" si="59"/>
        <v>100.25</v>
      </c>
      <c r="J74" s="54">
        <f t="shared" si="55"/>
        <v>1.7417092900428085E-2</v>
      </c>
      <c r="K74" s="26">
        <f t="shared" si="57"/>
        <v>-45.8</v>
      </c>
      <c r="L74" s="54">
        <f t="shared" si="58"/>
        <v>-0.45685785536159595</v>
      </c>
      <c r="M74" s="26">
        <f>I74-C74</f>
        <v>31.11</v>
      </c>
      <c r="N74" s="55">
        <f>M74/C74</f>
        <v>0.44995660977726354</v>
      </c>
      <c r="P74" s="161"/>
      <c r="Q74" s="74">
        <f>SUM(Q72:Q73)</f>
        <v>120.3</v>
      </c>
      <c r="R74" s="74">
        <f>SUM(R72:R73)</f>
        <v>29.549999999999997</v>
      </c>
    </row>
    <row r="75" spans="1:18" x14ac:dyDescent="0.25">
      <c r="D75" s="31"/>
      <c r="E75" s="31"/>
      <c r="F75" s="34"/>
      <c r="G75" s="34"/>
      <c r="H75" s="34"/>
      <c r="I75" s="31"/>
      <c r="J75" s="31"/>
      <c r="K75" s="31"/>
      <c r="L75" s="31"/>
      <c r="M75" s="34"/>
      <c r="N75" s="92"/>
      <c r="Q75" s="165"/>
    </row>
    <row r="76" spans="1:18" x14ac:dyDescent="0.25">
      <c r="A76" s="75" t="s">
        <v>197</v>
      </c>
      <c r="B76" s="75"/>
      <c r="D76" s="31"/>
      <c r="E76" s="31"/>
      <c r="F76" s="34"/>
      <c r="G76" s="34"/>
      <c r="H76" s="34"/>
      <c r="I76" s="31"/>
      <c r="J76" s="31"/>
      <c r="K76" s="31"/>
      <c r="L76" s="31"/>
      <c r="M76" s="34"/>
      <c r="N76" s="92"/>
      <c r="Q76" s="165"/>
    </row>
    <row r="77" spans="1:18" ht="15.75" x14ac:dyDescent="0.25">
      <c r="A77" s="23" t="s">
        <v>199</v>
      </c>
      <c r="B77" s="22">
        <v>2</v>
      </c>
      <c r="C77" s="70">
        <f>ROUND('PU Wise OWE'!$AW$128/10000,2)</f>
        <v>1.02</v>
      </c>
      <c r="D77" s="85">
        <f t="shared" ref="D77:D83" si="60">C77/$C$7</f>
        <v>1.9884397570984376E-4</v>
      </c>
      <c r="E77" s="23"/>
      <c r="F77" s="22">
        <f>ROUND('PU Wise OWE'!$AW$126/10000,2)</f>
        <v>2.65</v>
      </c>
      <c r="G77" s="24">
        <f t="shared" ref="G77:G83" si="61">F77/$F$7</f>
        <v>3.20396566316044E-4</v>
      </c>
      <c r="H77" s="23">
        <f>ROUND('PU Wise OWE'!$AW$127/10000,2)</f>
        <v>1.59</v>
      </c>
      <c r="I77" s="23">
        <f>ROUND('PU Wise OWE'!$AW$129/10000,2)</f>
        <v>0.86</v>
      </c>
      <c r="J77" s="94">
        <f t="shared" ref="J77:J85" si="62">I77/$I$7</f>
        <v>1.4941346528048034E-4</v>
      </c>
      <c r="K77" s="22">
        <f>H77-I77</f>
        <v>0.73000000000000009</v>
      </c>
      <c r="L77" s="24">
        <f>K77/I77</f>
        <v>0.84883720930232576</v>
      </c>
      <c r="M77" s="22">
        <f t="shared" ref="M77:M83" si="63">I77-C77</f>
        <v>-0.16000000000000003</v>
      </c>
      <c r="N77" s="52">
        <f t="shared" ref="N77:N83" si="64">M77/C77</f>
        <v>-0.15686274509803924</v>
      </c>
      <c r="O77" s="52">
        <f t="shared" ref="O77:O82" si="65">I77/F77</f>
        <v>0.32452830188679244</v>
      </c>
      <c r="P77" s="156"/>
      <c r="Q77" s="164">
        <f t="shared" ref="Q77:Q82" si="66">(I77/10)*12</f>
        <v>1.032</v>
      </c>
      <c r="R77" s="68">
        <f t="shared" ref="R77:R82" si="67">Q77-F77</f>
        <v>-1.6179999999999999</v>
      </c>
    </row>
    <row r="78" spans="1:18" ht="15.75" x14ac:dyDescent="0.25">
      <c r="A78" s="23" t="s">
        <v>198</v>
      </c>
      <c r="B78" s="22">
        <v>1.66</v>
      </c>
      <c r="C78" s="70">
        <f>ROUND('PU Wise OWE'!$AX$128/10000,2)</f>
        <v>0.95</v>
      </c>
      <c r="D78" s="85">
        <f t="shared" si="60"/>
        <v>1.8519782051407016E-4</v>
      </c>
      <c r="E78" s="23"/>
      <c r="F78" s="22">
        <f>ROUND('PU Wise OWE'!$AW$126/10000,2)</f>
        <v>2.65</v>
      </c>
      <c r="G78" s="24">
        <f t="shared" si="61"/>
        <v>3.20396566316044E-4</v>
      </c>
      <c r="H78" s="23">
        <f>ROUND('PU Wise OWE'!$AX$127/10000,2)</f>
        <v>1.0900000000000001</v>
      </c>
      <c r="I78" s="23">
        <f>ROUND('PU Wise OWE'!$AX$129/10000,2)</f>
        <v>1.0900000000000001</v>
      </c>
      <c r="J78" s="94">
        <f t="shared" si="62"/>
        <v>1.8937288041363207E-4</v>
      </c>
      <c r="K78" s="22">
        <f t="shared" ref="K78:K83" si="68">H78-I78</f>
        <v>0</v>
      </c>
      <c r="L78" s="24">
        <f t="shared" ref="L78:L83" si="69">K78/I78</f>
        <v>0</v>
      </c>
      <c r="M78" s="22">
        <f t="shared" si="63"/>
        <v>0.14000000000000012</v>
      </c>
      <c r="N78" s="52">
        <f t="shared" si="64"/>
        <v>0.1473684210526317</v>
      </c>
      <c r="O78" s="52">
        <f t="shared" si="65"/>
        <v>0.41132075471698115</v>
      </c>
      <c r="P78" s="156"/>
      <c r="Q78" s="164">
        <f t="shared" si="66"/>
        <v>1.3080000000000003</v>
      </c>
      <c r="R78" s="68">
        <f t="shared" si="67"/>
        <v>-1.3419999999999996</v>
      </c>
    </row>
    <row r="79" spans="1:18" ht="34.15" customHeight="1" x14ac:dyDescent="0.25">
      <c r="A79" s="23" t="s">
        <v>200</v>
      </c>
      <c r="B79" s="22">
        <v>16.940000000000001</v>
      </c>
      <c r="C79" s="70">
        <f>ROUND('PU Wise OWE'!$BC$128/10000,2)</f>
        <v>10.8</v>
      </c>
      <c r="D79" s="85">
        <f t="shared" si="60"/>
        <v>2.1054068016336399E-3</v>
      </c>
      <c r="E79" s="23"/>
      <c r="F79" s="22">
        <f>ROUND('PU Wise OWE'!$BC$126/10000,2)</f>
        <v>14.88</v>
      </c>
      <c r="G79" s="24">
        <f t="shared" si="61"/>
        <v>1.7990569459557491E-3</v>
      </c>
      <c r="H79" s="23">
        <f>ROUND('PU Wise OWE'!$BC$127/10000,2)</f>
        <v>8.93</v>
      </c>
      <c r="I79" s="23">
        <f>ROUND('PU Wise OWE'!$BC$129/10000,2)</f>
        <v>10.54</v>
      </c>
      <c r="J79" s="94">
        <f t="shared" si="62"/>
        <v>1.8311836326235613E-3</v>
      </c>
      <c r="K79" s="22">
        <f t="shared" si="68"/>
        <v>-1.6099999999999994</v>
      </c>
      <c r="L79" s="24">
        <f t="shared" si="69"/>
        <v>-0.15275142314990509</v>
      </c>
      <c r="M79" s="22">
        <f t="shared" si="63"/>
        <v>-0.26000000000000156</v>
      </c>
      <c r="N79" s="52">
        <f t="shared" si="64"/>
        <v>-2.4074074074074216E-2</v>
      </c>
      <c r="O79" s="52">
        <f t="shared" si="65"/>
        <v>0.70833333333333326</v>
      </c>
      <c r="P79" s="157" t="s">
        <v>276</v>
      </c>
      <c r="Q79" s="164">
        <f t="shared" si="66"/>
        <v>12.647999999999998</v>
      </c>
      <c r="R79" s="68">
        <f t="shared" si="67"/>
        <v>-2.2320000000000029</v>
      </c>
    </row>
    <row r="80" spans="1:18" ht="52.9" customHeight="1" x14ac:dyDescent="0.25">
      <c r="A80" s="23" t="s">
        <v>201</v>
      </c>
      <c r="B80" s="22">
        <v>16.95</v>
      </c>
      <c r="C80" s="70">
        <f>ROUND('PU Wise OWE'!$BD$128/10000,2)</f>
        <v>10.81</v>
      </c>
      <c r="D80" s="85">
        <f t="shared" si="60"/>
        <v>2.1073562523758935E-3</v>
      </c>
      <c r="E80" s="23"/>
      <c r="F80" s="22">
        <f>ROUND('PU Wise OWE'!$BD$126/10000,2)</f>
        <v>14.88</v>
      </c>
      <c r="G80" s="24">
        <f t="shared" si="61"/>
        <v>1.7990569459557491E-3</v>
      </c>
      <c r="H80" s="23">
        <f>ROUND('PU Wise OWE'!$BD$127/10000,2)</f>
        <v>8.93</v>
      </c>
      <c r="I80" s="23">
        <f>ROUND('PU Wise OWE'!$BD$129/10000,2)</f>
        <v>10.44</v>
      </c>
      <c r="J80" s="94">
        <f t="shared" si="62"/>
        <v>1.8138099738700172E-3</v>
      </c>
      <c r="K80" s="22">
        <f t="shared" si="68"/>
        <v>-1.5099999999999998</v>
      </c>
      <c r="L80" s="24">
        <f t="shared" si="69"/>
        <v>-0.1446360153256705</v>
      </c>
      <c r="M80" s="22">
        <f t="shared" si="63"/>
        <v>-0.37000000000000099</v>
      </c>
      <c r="N80" s="52">
        <f t="shared" si="64"/>
        <v>-3.4227567067530155E-2</v>
      </c>
      <c r="O80" s="52">
        <f t="shared" si="65"/>
        <v>0.70161290322580638</v>
      </c>
      <c r="P80" s="157" t="s">
        <v>276</v>
      </c>
      <c r="Q80" s="164">
        <f t="shared" si="66"/>
        <v>12.528</v>
      </c>
      <c r="R80" s="68">
        <f t="shared" si="67"/>
        <v>-2.3520000000000003</v>
      </c>
    </row>
    <row r="81" spans="1:18" ht="43.9" customHeight="1" x14ac:dyDescent="0.25">
      <c r="A81" s="23" t="s">
        <v>202</v>
      </c>
      <c r="B81" s="22">
        <v>17.329999999999998</v>
      </c>
      <c r="C81" s="70">
        <f>ROUND('PU Wise OWE'!$BF$128/10000,2)</f>
        <v>9.83</v>
      </c>
      <c r="D81" s="85">
        <f t="shared" si="60"/>
        <v>1.9163100796350629E-3</v>
      </c>
      <c r="E81" s="23"/>
      <c r="F81" s="22">
        <f>ROUND('PU Wise OWE'!$BF$126/10000,2)</f>
        <v>12.96</v>
      </c>
      <c r="G81" s="24">
        <f t="shared" si="61"/>
        <v>1.5669205658324266E-3</v>
      </c>
      <c r="H81" s="23">
        <f>ROUND('PU Wise OWE'!$BF$127/10000,2)</f>
        <v>7.77</v>
      </c>
      <c r="I81" s="23">
        <f>ROUND('PU Wise OWE'!$BF$129/10000,2)</f>
        <v>9.9600000000000009</v>
      </c>
      <c r="J81" s="94">
        <f t="shared" si="62"/>
        <v>1.7304164118530051E-3</v>
      </c>
      <c r="K81" s="22">
        <f t="shared" si="68"/>
        <v>-2.1900000000000013</v>
      </c>
      <c r="L81" s="24">
        <f t="shared" si="69"/>
        <v>-0.21987951807228925</v>
      </c>
      <c r="M81" s="22">
        <f t="shared" si="63"/>
        <v>0.13000000000000078</v>
      </c>
      <c r="N81" s="52">
        <f t="shared" si="64"/>
        <v>1.3224821973550436E-2</v>
      </c>
      <c r="O81" s="52">
        <f t="shared" si="65"/>
        <v>0.76851851851851849</v>
      </c>
      <c r="P81" s="157" t="s">
        <v>276</v>
      </c>
      <c r="Q81" s="164">
        <f t="shared" si="66"/>
        <v>11.952000000000002</v>
      </c>
      <c r="R81" s="68">
        <f t="shared" si="67"/>
        <v>-1.0079999999999991</v>
      </c>
    </row>
    <row r="82" spans="1:18" ht="15.75" x14ac:dyDescent="0.25">
      <c r="A82" s="23" t="s">
        <v>203</v>
      </c>
      <c r="B82" s="22">
        <v>166.71</v>
      </c>
      <c r="C82" s="70">
        <f>ROUND('PU Wise OWE'!$BG$128/10000,2)-ROUND('PU Wise OWE'!$BG$117/10000,2)</f>
        <v>112.68000000000029</v>
      </c>
      <c r="D82" s="85">
        <f t="shared" si="60"/>
        <v>2.1966410963711033E-2</v>
      </c>
      <c r="E82" s="23"/>
      <c r="F82" s="22">
        <f>ROUND('PU Wise OWE'!$BG$126/10000,2)-ROUND('PU Wise OWE'!$BG$115/10000,2)</f>
        <v>127.09000000000015</v>
      </c>
      <c r="G82" s="24">
        <f t="shared" si="61"/>
        <v>1.5365735703058898E-2</v>
      </c>
      <c r="H82" s="23">
        <f>ROUND('PU Wise OWE'!$BG$127/10000,2)-ROUND('PU Wise OWE'!$BG$116/10000,2)</f>
        <v>78.14</v>
      </c>
      <c r="I82" s="23">
        <f>ROUND('PU Wise OWE'!$BG$129/10000,2)-ROUND('PU Wise OWE'!$BG$118/10000,2)</f>
        <v>117.77000000000044</v>
      </c>
      <c r="J82" s="94">
        <f t="shared" si="62"/>
        <v>2.0460957914049109E-2</v>
      </c>
      <c r="K82" s="22">
        <f t="shared" si="68"/>
        <v>-39.630000000000436</v>
      </c>
      <c r="L82" s="24">
        <f t="shared" si="69"/>
        <v>-0.33650335399507758</v>
      </c>
      <c r="M82" s="22">
        <f t="shared" si="63"/>
        <v>5.0900000000001455</v>
      </c>
      <c r="N82" s="52">
        <f t="shared" si="64"/>
        <v>4.517216897408708E-2</v>
      </c>
      <c r="O82" s="52">
        <f t="shared" si="65"/>
        <v>0.92666614210402309</v>
      </c>
      <c r="P82" s="157"/>
      <c r="Q82" s="164">
        <f t="shared" si="66"/>
        <v>141.32400000000052</v>
      </c>
      <c r="R82" s="168">
        <f t="shared" si="67"/>
        <v>14.234000000000378</v>
      </c>
    </row>
    <row r="83" spans="1:18" s="36" customFormat="1" x14ac:dyDescent="0.25">
      <c r="A83" s="25" t="s">
        <v>130</v>
      </c>
      <c r="B83" s="26">
        <f>SUM(B77:B82)</f>
        <v>221.59</v>
      </c>
      <c r="C83" s="74">
        <f>SUM(C77:C82)</f>
        <v>146.09000000000029</v>
      </c>
      <c r="D83" s="86">
        <f t="shared" si="60"/>
        <v>2.8479525893579542E-2</v>
      </c>
      <c r="E83" s="25"/>
      <c r="F83" s="74">
        <f>SUM(F77:F82)</f>
        <v>175.11000000000016</v>
      </c>
      <c r="G83" s="54">
        <f t="shared" si="61"/>
        <v>2.1171563293434913E-2</v>
      </c>
      <c r="H83" s="74">
        <f>SUM(H77:H82)</f>
        <v>106.45</v>
      </c>
      <c r="I83" s="74">
        <f>SUM(I77:I82)</f>
        <v>150.66000000000042</v>
      </c>
      <c r="J83" s="54">
        <f t="shared" si="62"/>
        <v>2.6175154278089804E-2</v>
      </c>
      <c r="K83" s="26">
        <f t="shared" si="68"/>
        <v>-44.21000000000042</v>
      </c>
      <c r="L83" s="54">
        <f t="shared" si="69"/>
        <v>-0.29344218770742264</v>
      </c>
      <c r="M83" s="26">
        <f t="shared" si="63"/>
        <v>4.5700000000001353</v>
      </c>
      <c r="N83" s="55">
        <f t="shared" si="64"/>
        <v>3.1282086385105934E-2</v>
      </c>
      <c r="O83" s="25"/>
      <c r="P83" s="155"/>
      <c r="Q83" s="74">
        <f>SUM(Q77:Q82)</f>
        <v>180.79200000000054</v>
      </c>
      <c r="R83" s="74">
        <f>SUM(R77:R82)</f>
        <v>5.682000000000377</v>
      </c>
    </row>
    <row r="84" spans="1:18" x14ac:dyDescent="0.25">
      <c r="Q84" s="165"/>
    </row>
    <row r="85" spans="1:18" s="36" customFormat="1" ht="30" x14ac:dyDescent="0.25">
      <c r="A85" s="93" t="s">
        <v>204</v>
      </c>
      <c r="B85" s="112">
        <v>5247.44</v>
      </c>
      <c r="C85" s="74">
        <f>C37+C49+C54+C56+C64+C69+C74+C83</f>
        <v>2376.65</v>
      </c>
      <c r="D85" s="86">
        <f t="shared" ref="D85" si="70">C85/$C$7</f>
        <v>0.46331621065764728</v>
      </c>
      <c r="E85" s="25"/>
      <c r="F85" s="74">
        <f>F37+F49+F54+F56+F64+F69+F74+F83</f>
        <v>3346.2100000000005</v>
      </c>
      <c r="G85" s="54">
        <f t="shared" ref="G85" si="71">F85/$F$7</f>
        <v>0.40457139402732445</v>
      </c>
      <c r="H85" s="74">
        <f>H37+H49+H54+H56+H64+H69+H74+H83</f>
        <v>2280.5499999999997</v>
      </c>
      <c r="I85" s="74">
        <f>I37+I49+I54+I56+I64+I69+I74+I83</f>
        <v>2740.5800000000004</v>
      </c>
      <c r="J85" s="54">
        <f t="shared" si="62"/>
        <v>0.47613901706788242</v>
      </c>
      <c r="K85" s="26">
        <f t="shared" ref="K85" si="72">H85-I85</f>
        <v>-460.03000000000065</v>
      </c>
      <c r="L85" s="54">
        <f t="shared" ref="L85" si="73">K85/I85</f>
        <v>-0.1678586284655075</v>
      </c>
      <c r="M85" s="26">
        <f>I85-C85</f>
        <v>363.93000000000029</v>
      </c>
      <c r="N85" s="55">
        <f>M85/C85</f>
        <v>0.15312730103296668</v>
      </c>
      <c r="O85" s="52">
        <f t="shared" ref="O85" si="74">I85/F85</f>
        <v>0.81901016373748214</v>
      </c>
      <c r="P85" s="155"/>
      <c r="Q85" s="74">
        <f>Q37+Q49+Q54+Q56+Q64+Q69+Q74+Q83</f>
        <v>3090.3760000000007</v>
      </c>
      <c r="R85" s="168">
        <f>Q85-F85</f>
        <v>-255.83399999999983</v>
      </c>
    </row>
    <row r="86" spans="1:18" x14ac:dyDescent="0.25">
      <c r="Q86" s="165"/>
    </row>
    <row r="87" spans="1:18" s="147" customFormat="1" x14ac:dyDescent="0.25">
      <c r="A87" s="77"/>
      <c r="B87" s="291" t="s">
        <v>302</v>
      </c>
      <c r="C87" s="289" t="s">
        <v>311</v>
      </c>
      <c r="D87" s="291" t="s">
        <v>173</v>
      </c>
      <c r="E87" s="291"/>
      <c r="F87" s="315" t="s">
        <v>313</v>
      </c>
      <c r="G87" s="291" t="s">
        <v>315</v>
      </c>
      <c r="H87" s="152"/>
      <c r="I87" s="289" t="s">
        <v>312</v>
      </c>
      <c r="J87" s="291" t="s">
        <v>205</v>
      </c>
      <c r="K87" s="152"/>
      <c r="L87" s="152"/>
      <c r="M87" s="267" t="s">
        <v>147</v>
      </c>
      <c r="N87" s="267"/>
      <c r="O87" s="268" t="s">
        <v>314</v>
      </c>
      <c r="Q87" s="165"/>
    </row>
    <row r="88" spans="1:18" s="147" customFormat="1" x14ac:dyDescent="0.25">
      <c r="A88" s="133" t="s">
        <v>254</v>
      </c>
      <c r="B88" s="290"/>
      <c r="C88" s="290"/>
      <c r="D88" s="290"/>
      <c r="E88" s="290"/>
      <c r="F88" s="316"/>
      <c r="G88" s="290"/>
      <c r="H88" s="153"/>
      <c r="I88" s="323"/>
      <c r="J88" s="290"/>
      <c r="K88" s="153"/>
      <c r="L88" s="153"/>
      <c r="M88" s="79" t="s">
        <v>145</v>
      </c>
      <c r="N88" s="80" t="s">
        <v>146</v>
      </c>
      <c r="O88" s="268"/>
      <c r="Q88" s="165"/>
    </row>
    <row r="89" spans="1:18" s="147" customFormat="1" ht="15.75" x14ac:dyDescent="0.25">
      <c r="A89" s="23" t="s">
        <v>255</v>
      </c>
      <c r="B89" s="23">
        <v>0</v>
      </c>
      <c r="C89" s="148">
        <v>0</v>
      </c>
      <c r="D89" s="85">
        <f t="shared" ref="D89:D102" si="75">C89/$C$7</f>
        <v>0</v>
      </c>
      <c r="E89" s="23"/>
      <c r="F89" s="22">
        <v>0.69</v>
      </c>
      <c r="G89" s="24">
        <f t="shared" ref="G89:G102" si="76">F89/$F$7</f>
        <v>8.3424011606819001E-5</v>
      </c>
      <c r="H89" s="24"/>
      <c r="I89" s="23">
        <v>0</v>
      </c>
      <c r="J89" s="94">
        <f t="shared" ref="J89:J102" si="77">I89/$I$7</f>
        <v>0</v>
      </c>
      <c r="K89" s="94"/>
      <c r="L89" s="94"/>
      <c r="M89" s="22">
        <f>I89-C89</f>
        <v>0</v>
      </c>
      <c r="N89" s="52">
        <v>0</v>
      </c>
      <c r="O89" s="52">
        <f t="shared" ref="O89:O102" si="78">I89/F89</f>
        <v>0</v>
      </c>
      <c r="Q89" s="164"/>
    </row>
    <row r="90" spans="1:18" s="147" customFormat="1" ht="15.75" x14ac:dyDescent="0.25">
      <c r="A90" s="23" t="s">
        <v>256</v>
      </c>
      <c r="B90" s="23">
        <v>33.630000000000003</v>
      </c>
      <c r="C90" s="149">
        <v>1.86</v>
      </c>
      <c r="D90" s="85">
        <f t="shared" si="75"/>
        <v>3.6259783805912691E-4</v>
      </c>
      <c r="E90" s="23"/>
      <c r="F90" s="22">
        <v>33.28</v>
      </c>
      <c r="G90" s="24">
        <f t="shared" si="76"/>
        <v>4.0236972554709228E-3</v>
      </c>
      <c r="H90" s="24"/>
      <c r="I90" s="22">
        <v>2.77</v>
      </c>
      <c r="J90" s="94">
        <f t="shared" si="77"/>
        <v>4.8125034747317509E-4</v>
      </c>
      <c r="K90" s="94"/>
      <c r="L90" s="94"/>
      <c r="M90" s="22">
        <f t="shared" ref="M90:M102" si="79">I90-C90</f>
        <v>0.90999999999999992</v>
      </c>
      <c r="N90" s="52">
        <f t="shared" ref="N90:N102" si="80">M90/C90</f>
        <v>0.48924731182795694</v>
      </c>
      <c r="O90" s="52">
        <f t="shared" si="78"/>
        <v>8.3233173076923073E-2</v>
      </c>
      <c r="Q90" s="164"/>
    </row>
    <row r="91" spans="1:18" s="147" customFormat="1" ht="15.75" x14ac:dyDescent="0.25">
      <c r="A91" s="23" t="s">
        <v>266</v>
      </c>
      <c r="B91" s="23">
        <v>7.44</v>
      </c>
      <c r="C91" s="149">
        <v>0.04</v>
      </c>
      <c r="D91" s="85">
        <f t="shared" si="75"/>
        <v>7.7978029690134816E-6</v>
      </c>
      <c r="E91" s="23"/>
      <c r="F91" s="22">
        <v>0.53</v>
      </c>
      <c r="G91" s="24">
        <f t="shared" si="76"/>
        <v>6.4079313263208811E-5</v>
      </c>
      <c r="H91" s="24"/>
      <c r="I91" s="22">
        <v>0</v>
      </c>
      <c r="J91" s="94">
        <f t="shared" si="77"/>
        <v>0</v>
      </c>
      <c r="K91" s="94"/>
      <c r="L91" s="94"/>
      <c r="M91" s="22">
        <f t="shared" si="79"/>
        <v>-0.04</v>
      </c>
      <c r="N91" s="52">
        <f t="shared" si="80"/>
        <v>-1</v>
      </c>
      <c r="O91" s="52">
        <f t="shared" si="78"/>
        <v>0</v>
      </c>
      <c r="Q91" s="164"/>
    </row>
    <row r="92" spans="1:18" s="147" customFormat="1" ht="15.75" x14ac:dyDescent="0.25">
      <c r="A92" s="150" t="s">
        <v>257</v>
      </c>
      <c r="B92" s="25">
        <f>SUM(B89:B91)</f>
        <v>41.07</v>
      </c>
      <c r="C92" s="25">
        <f>SUM(C89:C91)</f>
        <v>1.9000000000000001</v>
      </c>
      <c r="D92" s="86">
        <f t="shared" si="75"/>
        <v>3.7039564102814038E-4</v>
      </c>
      <c r="E92" s="25">
        <f t="shared" ref="E92:F92" si="81">SUM(E89:E90)</f>
        <v>0</v>
      </c>
      <c r="F92" s="26">
        <f t="shared" si="81"/>
        <v>33.97</v>
      </c>
      <c r="G92" s="54">
        <f t="shared" si="76"/>
        <v>4.107121267077741E-3</v>
      </c>
      <c r="H92" s="54"/>
      <c r="I92" s="26">
        <f>SUM(I89:I91)</f>
        <v>2.77</v>
      </c>
      <c r="J92" s="54">
        <f t="shared" si="77"/>
        <v>4.8125034747317509E-4</v>
      </c>
      <c r="K92" s="54"/>
      <c r="L92" s="54"/>
      <c r="M92" s="26">
        <f t="shared" si="79"/>
        <v>0.86999999999999988</v>
      </c>
      <c r="N92" s="55">
        <f t="shared" si="80"/>
        <v>0.45789473684210519</v>
      </c>
      <c r="O92" s="55">
        <f t="shared" si="78"/>
        <v>8.1542537533117465E-2</v>
      </c>
      <c r="Q92" s="164"/>
    </row>
    <row r="93" spans="1:18" s="147" customFormat="1" ht="15.75" x14ac:dyDescent="0.25">
      <c r="A93" s="23" t="s">
        <v>258</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75" x14ac:dyDescent="0.25">
      <c r="A94" s="23" t="s">
        <v>259</v>
      </c>
      <c r="B94" s="25">
        <v>13.17</v>
      </c>
      <c r="C94" s="149">
        <v>0.17</v>
      </c>
      <c r="D94" s="85">
        <f t="shared" si="75"/>
        <v>3.3140662618307294E-5</v>
      </c>
      <c r="E94" s="23"/>
      <c r="F94" s="22">
        <v>14.55</v>
      </c>
      <c r="G94" s="24">
        <f t="shared" si="76"/>
        <v>1.7591585056220529E-3</v>
      </c>
      <c r="H94" s="24"/>
      <c r="I94" s="22">
        <v>3.38</v>
      </c>
      <c r="J94" s="94">
        <f t="shared" si="77"/>
        <v>5.8722966586979483E-4</v>
      </c>
      <c r="K94" s="94"/>
      <c r="L94" s="94"/>
      <c r="M94" s="22">
        <f t="shared" si="79"/>
        <v>3.21</v>
      </c>
      <c r="N94" s="52">
        <f t="shared" si="80"/>
        <v>18.882352941176467</v>
      </c>
      <c r="O94" s="52">
        <f t="shared" si="78"/>
        <v>0.23230240549828177</v>
      </c>
      <c r="Q94" s="164"/>
    </row>
    <row r="95" spans="1:18" s="147" customFormat="1" ht="15.75" x14ac:dyDescent="0.25">
      <c r="A95" s="23" t="s">
        <v>267</v>
      </c>
      <c r="B95" s="25">
        <v>-0.3</v>
      </c>
      <c r="C95" s="149">
        <v>0</v>
      </c>
      <c r="D95" s="85">
        <f t="shared" si="75"/>
        <v>0</v>
      </c>
      <c r="E95" s="23"/>
      <c r="F95" s="22">
        <v>0.05</v>
      </c>
      <c r="G95" s="24">
        <f t="shared" si="76"/>
        <v>6.0452182323781894E-6</v>
      </c>
      <c r="H95" s="24"/>
      <c r="I95" s="22">
        <v>0</v>
      </c>
      <c r="J95" s="94">
        <f t="shared" si="77"/>
        <v>0</v>
      </c>
      <c r="K95" s="94"/>
      <c r="L95" s="94"/>
      <c r="M95" s="22">
        <f t="shared" si="79"/>
        <v>0</v>
      </c>
      <c r="N95" s="52">
        <v>0</v>
      </c>
      <c r="O95" s="52">
        <f t="shared" si="78"/>
        <v>0</v>
      </c>
      <c r="Q95" s="164"/>
    </row>
    <row r="96" spans="1:18" s="147" customFormat="1" ht="15.75" x14ac:dyDescent="0.25">
      <c r="A96" s="150" t="s">
        <v>260</v>
      </c>
      <c r="B96" s="25">
        <f>SUM(B93:B95)</f>
        <v>12.87</v>
      </c>
      <c r="C96" s="25">
        <f>SUM(C93:C95)</f>
        <v>0.17</v>
      </c>
      <c r="D96" s="86">
        <f t="shared" si="75"/>
        <v>3.3140662618307294E-5</v>
      </c>
      <c r="E96" s="25">
        <f t="shared" ref="E96" si="82">SUM(E93:E94)</f>
        <v>0</v>
      </c>
      <c r="F96" s="26">
        <f>SUM(F93:F95)</f>
        <v>14.600000000000001</v>
      </c>
      <c r="G96" s="54">
        <f t="shared" si="76"/>
        <v>1.7652037238544314E-3</v>
      </c>
      <c r="H96" s="54"/>
      <c r="I96" s="26">
        <f>SUM(I93:I95)</f>
        <v>3.38</v>
      </c>
      <c r="J96" s="54">
        <f t="shared" si="77"/>
        <v>5.8722966586979483E-4</v>
      </c>
      <c r="K96" s="54"/>
      <c r="L96" s="54"/>
      <c r="M96" s="26">
        <f t="shared" si="79"/>
        <v>3.21</v>
      </c>
      <c r="N96" s="55">
        <f t="shared" si="80"/>
        <v>18.882352941176467</v>
      </c>
      <c r="O96" s="55">
        <f t="shared" si="78"/>
        <v>0.23150684931506846</v>
      </c>
      <c r="Q96" s="164"/>
    </row>
    <row r="97" spans="1:17" s="147" customFormat="1" ht="15.75" x14ac:dyDescent="0.25">
      <c r="A97" s="23" t="s">
        <v>261</v>
      </c>
      <c r="B97" s="26">
        <v>24.12</v>
      </c>
      <c r="C97" s="149">
        <v>1.61</v>
      </c>
      <c r="D97" s="85">
        <f t="shared" si="75"/>
        <v>3.138615695027926E-4</v>
      </c>
      <c r="E97" s="23"/>
      <c r="F97" s="22">
        <v>17.600000000000001</v>
      </c>
      <c r="G97" s="24">
        <f t="shared" si="76"/>
        <v>2.1279168177971227E-3</v>
      </c>
      <c r="H97" s="24"/>
      <c r="I97" s="22">
        <v>0.15</v>
      </c>
      <c r="J97" s="94">
        <f t="shared" si="77"/>
        <v>2.6060488130316337E-5</v>
      </c>
      <c r="K97" s="94"/>
      <c r="L97" s="94"/>
      <c r="M97" s="22">
        <f t="shared" si="79"/>
        <v>-1.4600000000000002</v>
      </c>
      <c r="N97" s="52">
        <f t="shared" si="80"/>
        <v>-0.90683229813664601</v>
      </c>
      <c r="O97" s="52">
        <f t="shared" si="78"/>
        <v>8.5227272727272721E-3</v>
      </c>
      <c r="Q97" s="164"/>
    </row>
    <row r="98" spans="1:17" s="147" customFormat="1" ht="15.75" x14ac:dyDescent="0.25">
      <c r="A98" s="23" t="s">
        <v>262</v>
      </c>
      <c r="B98" s="25">
        <v>145.66</v>
      </c>
      <c r="C98" s="149">
        <v>4.3499999999999996</v>
      </c>
      <c r="D98" s="85">
        <f t="shared" si="75"/>
        <v>8.4801107288021594E-4</v>
      </c>
      <c r="E98" s="23"/>
      <c r="F98" s="22">
        <v>11.56</v>
      </c>
      <c r="G98" s="24">
        <f t="shared" si="76"/>
        <v>1.3976544553258373E-3</v>
      </c>
      <c r="H98" s="24"/>
      <c r="I98" s="22">
        <v>6.27</v>
      </c>
      <c r="J98" s="94">
        <f t="shared" si="77"/>
        <v>1.0893284038472229E-3</v>
      </c>
      <c r="K98" s="94"/>
      <c r="L98" s="94"/>
      <c r="M98" s="22">
        <f t="shared" si="79"/>
        <v>1.92</v>
      </c>
      <c r="N98" s="52">
        <f t="shared" si="80"/>
        <v>0.44137931034482758</v>
      </c>
      <c r="O98" s="52">
        <f t="shared" si="78"/>
        <v>0.54238754325259508</v>
      </c>
      <c r="Q98" s="164"/>
    </row>
    <row r="99" spans="1:17" s="147" customFormat="1" ht="15.75" x14ac:dyDescent="0.25">
      <c r="A99" s="150" t="s">
        <v>263</v>
      </c>
      <c r="B99" s="25">
        <f t="shared" ref="B99:I102" si="83">SUM(B97:B98)</f>
        <v>169.78</v>
      </c>
      <c r="C99" s="26">
        <f t="shared" si="83"/>
        <v>5.96</v>
      </c>
      <c r="D99" s="86">
        <f t="shared" si="75"/>
        <v>1.1618726423830088E-3</v>
      </c>
      <c r="E99" s="25">
        <f t="shared" si="83"/>
        <v>0</v>
      </c>
      <c r="F99" s="26">
        <f t="shared" si="83"/>
        <v>29.160000000000004</v>
      </c>
      <c r="G99" s="54">
        <f t="shared" si="76"/>
        <v>3.5255712731229604E-3</v>
      </c>
      <c r="H99" s="54"/>
      <c r="I99" s="26">
        <f t="shared" si="83"/>
        <v>6.42</v>
      </c>
      <c r="J99" s="54">
        <f t="shared" si="77"/>
        <v>1.1153888919775393E-3</v>
      </c>
      <c r="K99" s="54"/>
      <c r="L99" s="54"/>
      <c r="M99" s="26">
        <f t="shared" si="79"/>
        <v>0.45999999999999996</v>
      </c>
      <c r="N99" s="55">
        <f t="shared" si="80"/>
        <v>7.7181208053691275E-2</v>
      </c>
      <c r="O99" s="55">
        <f t="shared" si="78"/>
        <v>0.22016460905349791</v>
      </c>
      <c r="Q99" s="164"/>
    </row>
    <row r="100" spans="1:17" s="147" customFormat="1" ht="15.75" x14ac:dyDescent="0.25">
      <c r="A100" s="23" t="s">
        <v>264</v>
      </c>
      <c r="B100" s="26">
        <v>12.31</v>
      </c>
      <c r="C100" s="149">
        <v>4.28</v>
      </c>
      <c r="D100" s="85">
        <f t="shared" si="75"/>
        <v>8.3436491768444252E-4</v>
      </c>
      <c r="E100" s="23"/>
      <c r="F100" s="22">
        <v>13.17</v>
      </c>
      <c r="G100" s="24">
        <f t="shared" si="76"/>
        <v>1.5923104824084149E-3</v>
      </c>
      <c r="H100" s="24"/>
      <c r="I100" s="22">
        <v>1.93</v>
      </c>
      <c r="J100" s="94">
        <f t="shared" si="77"/>
        <v>3.3531161394340352E-4</v>
      </c>
      <c r="K100" s="94"/>
      <c r="L100" s="94"/>
      <c r="M100" s="22">
        <f t="shared" si="79"/>
        <v>-2.3500000000000005</v>
      </c>
      <c r="N100" s="52">
        <f t="shared" si="80"/>
        <v>-0.54906542056074781</v>
      </c>
      <c r="O100" s="52">
        <f t="shared" si="78"/>
        <v>0.14654517843583903</v>
      </c>
      <c r="Q100" s="164"/>
    </row>
    <row r="101" spans="1:17" s="147" customFormat="1" ht="15.75" x14ac:dyDescent="0.25">
      <c r="A101" s="23" t="s">
        <v>265</v>
      </c>
      <c r="B101" s="25">
        <v>101.34</v>
      </c>
      <c r="C101" s="149">
        <v>1.64</v>
      </c>
      <c r="D101" s="85">
        <f t="shared" si="75"/>
        <v>3.1970992172955271E-4</v>
      </c>
      <c r="E101" s="23"/>
      <c r="F101" s="22">
        <v>65.03</v>
      </c>
      <c r="G101" s="24">
        <f t="shared" si="76"/>
        <v>7.8624108330310732E-3</v>
      </c>
      <c r="H101" s="24"/>
      <c r="I101" s="22">
        <v>5.95</v>
      </c>
      <c r="J101" s="94">
        <f t="shared" si="77"/>
        <v>1.0337326958358814E-3</v>
      </c>
      <c r="K101" s="94"/>
      <c r="L101" s="94"/>
      <c r="M101" s="22">
        <f t="shared" si="79"/>
        <v>4.3100000000000005</v>
      </c>
      <c r="N101" s="52">
        <f t="shared" si="80"/>
        <v>2.6280487804878052</v>
      </c>
      <c r="O101" s="52">
        <f t="shared" si="78"/>
        <v>9.1496232508073191E-2</v>
      </c>
      <c r="Q101" s="164"/>
    </row>
    <row r="102" spans="1:17" s="147" customFormat="1" ht="15.75" x14ac:dyDescent="0.25">
      <c r="A102" s="150" t="s">
        <v>295</v>
      </c>
      <c r="B102" s="25">
        <f t="shared" si="83"/>
        <v>113.65</v>
      </c>
      <c r="C102" s="26">
        <f t="shared" si="83"/>
        <v>5.92</v>
      </c>
      <c r="D102" s="86">
        <f t="shared" si="75"/>
        <v>1.1540748394139951E-3</v>
      </c>
      <c r="E102" s="25">
        <f t="shared" si="83"/>
        <v>0</v>
      </c>
      <c r="F102" s="26">
        <f t="shared" si="83"/>
        <v>78.2</v>
      </c>
      <c r="G102" s="54">
        <f t="shared" si="76"/>
        <v>9.454721315439488E-3</v>
      </c>
      <c r="H102" s="54"/>
      <c r="I102" s="26">
        <f t="shared" si="83"/>
        <v>7.88</v>
      </c>
      <c r="J102" s="54">
        <f t="shared" si="77"/>
        <v>1.3690443097792849E-3</v>
      </c>
      <c r="K102" s="54"/>
      <c r="L102" s="54"/>
      <c r="M102" s="26">
        <f t="shared" si="79"/>
        <v>1.96</v>
      </c>
      <c r="N102" s="55">
        <f t="shared" si="80"/>
        <v>0.33108108108108109</v>
      </c>
      <c r="O102" s="55">
        <f t="shared" si="78"/>
        <v>0.10076726342710997</v>
      </c>
      <c r="Q102" s="164"/>
    </row>
    <row r="103" spans="1:17" x14ac:dyDescent="0.25">
      <c r="Q103" s="165"/>
    </row>
    <row r="104" spans="1:17" x14ac:dyDescent="0.25">
      <c r="A104" s="77"/>
      <c r="B104" s="291" t="s">
        <v>302</v>
      </c>
      <c r="C104" s="289" t="str">
        <f>'PU Wise OWE'!$B$7</f>
        <v>Actuals upto Oct' 20</v>
      </c>
      <c r="D104" s="291" t="s">
        <v>173</v>
      </c>
      <c r="E104" s="291"/>
      <c r="F104" s="315" t="str">
        <f>'PU Wise OWE'!$B$5</f>
        <v xml:space="preserve">OBG(SL) 2021-22 </v>
      </c>
      <c r="G104" s="291" t="s">
        <v>315</v>
      </c>
      <c r="H104" s="152"/>
      <c r="I104" s="289" t="str">
        <f>I40</f>
        <v>Actuals upto Oct' 21</v>
      </c>
      <c r="J104" s="291" t="s">
        <v>205</v>
      </c>
      <c r="K104" s="152"/>
      <c r="L104" s="152"/>
      <c r="M104" s="267" t="s">
        <v>147</v>
      </c>
      <c r="N104" s="267"/>
      <c r="O104" s="268" t="s">
        <v>314</v>
      </c>
      <c r="Q104" s="165"/>
    </row>
    <row r="105" spans="1:17" x14ac:dyDescent="0.25">
      <c r="A105" s="133" t="s">
        <v>191</v>
      </c>
      <c r="B105" s="290"/>
      <c r="C105" s="290"/>
      <c r="D105" s="290"/>
      <c r="E105" s="290"/>
      <c r="F105" s="316"/>
      <c r="G105" s="290"/>
      <c r="H105" s="153"/>
      <c r="I105" s="290"/>
      <c r="J105" s="290"/>
      <c r="K105" s="153"/>
      <c r="L105" s="153"/>
      <c r="M105" s="79" t="s">
        <v>145</v>
      </c>
      <c r="N105" s="80" t="s">
        <v>146</v>
      </c>
      <c r="O105" s="268"/>
      <c r="Q105" s="165"/>
    </row>
    <row r="106" spans="1:17" ht="15.75" x14ac:dyDescent="0.25">
      <c r="A106" s="23" t="s">
        <v>218</v>
      </c>
      <c r="B106" s="23">
        <v>305.92</v>
      </c>
      <c r="C106" s="109">
        <v>19.18</v>
      </c>
      <c r="D106" s="85">
        <f t="shared" ref="D106:D109" si="84">C106/$C$7</f>
        <v>3.7390465236419642E-3</v>
      </c>
      <c r="E106" s="23"/>
      <c r="F106" s="20">
        <v>115.89</v>
      </c>
      <c r="G106" s="24">
        <f t="shared" ref="G106:G109" si="85">F106/$F$7</f>
        <v>1.4011606819006166E-2</v>
      </c>
      <c r="H106" s="24"/>
      <c r="I106" s="105">
        <v>28.26</v>
      </c>
      <c r="J106" s="94">
        <f t="shared" ref="J106:J109" si="86">I106/$I$7</f>
        <v>4.9097959637515983E-3</v>
      </c>
      <c r="K106" s="94"/>
      <c r="L106" s="94"/>
      <c r="M106" s="22">
        <f>I106-C106</f>
        <v>9.0800000000000018</v>
      </c>
      <c r="N106" s="52">
        <f>M106/C106</f>
        <v>0.47340980187695525</v>
      </c>
      <c r="O106" s="52">
        <f t="shared" ref="O106:O109" si="87">I106/F106</f>
        <v>0.24385192855293814</v>
      </c>
      <c r="Q106" s="164"/>
    </row>
    <row r="107" spans="1:17" ht="15.75" x14ac:dyDescent="0.25">
      <c r="A107" s="23" t="s">
        <v>217</v>
      </c>
      <c r="B107" s="23">
        <v>266.58999999999997</v>
      </c>
      <c r="C107" s="81">
        <v>27.95</v>
      </c>
      <c r="D107" s="85">
        <f t="shared" si="84"/>
        <v>5.4487148245981696E-3</v>
      </c>
      <c r="E107" s="23"/>
      <c r="F107" s="105">
        <v>750</v>
      </c>
      <c r="G107" s="24">
        <f t="shared" si="85"/>
        <v>9.0678273485672839E-2</v>
      </c>
      <c r="H107" s="24"/>
      <c r="I107" s="105">
        <v>40.58</v>
      </c>
      <c r="J107" s="94">
        <f t="shared" si="86"/>
        <v>7.0502307221882469E-3</v>
      </c>
      <c r="K107" s="94"/>
      <c r="L107" s="94"/>
      <c r="M107" s="22">
        <f t="shared" ref="M107:M109" si="88">I107-C107</f>
        <v>12.629999999999999</v>
      </c>
      <c r="N107" s="52">
        <f t="shared" ref="N107:N109" si="89">M107/C107</f>
        <v>0.45187835420393557</v>
      </c>
      <c r="O107" s="52">
        <f t="shared" si="87"/>
        <v>5.4106666666666664E-2</v>
      </c>
      <c r="Q107" s="164"/>
    </row>
    <row r="108" spans="1:17" ht="15.75" x14ac:dyDescent="0.25">
      <c r="A108" s="87" t="s">
        <v>216</v>
      </c>
      <c r="B108" s="23">
        <v>544.78</v>
      </c>
      <c r="C108" s="81">
        <v>165.44</v>
      </c>
      <c r="D108" s="85">
        <f t="shared" si="84"/>
        <v>3.2251713079839754E-2</v>
      </c>
      <c r="E108" s="23"/>
      <c r="F108" s="105">
        <v>676.5</v>
      </c>
      <c r="G108" s="24">
        <f t="shared" si="85"/>
        <v>8.1791802684076889E-2</v>
      </c>
      <c r="H108" s="24"/>
      <c r="I108" s="20">
        <v>301.26</v>
      </c>
      <c r="J108" s="94">
        <f t="shared" si="86"/>
        <v>5.2339884360927333E-2</v>
      </c>
      <c r="K108" s="94"/>
      <c r="L108" s="94"/>
      <c r="M108" s="22">
        <f t="shared" si="88"/>
        <v>135.82</v>
      </c>
      <c r="N108" s="52">
        <f t="shared" si="89"/>
        <v>0.82096228239845259</v>
      </c>
      <c r="O108" s="52">
        <f t="shared" si="87"/>
        <v>0.44532150776053214</v>
      </c>
      <c r="Q108" s="164"/>
    </row>
    <row r="109" spans="1:17" ht="15.75" x14ac:dyDescent="0.25">
      <c r="A109" s="25" t="s">
        <v>130</v>
      </c>
      <c r="B109" s="25">
        <f>SUM(B106:B108)</f>
        <v>1117.29</v>
      </c>
      <c r="C109" s="139">
        <f>+C106+C107+C108</f>
        <v>212.57</v>
      </c>
      <c r="D109" s="86">
        <f t="shared" si="84"/>
        <v>4.1439474428079888E-2</v>
      </c>
      <c r="E109" s="25"/>
      <c r="F109" s="139">
        <f>+F106+F107+F108</f>
        <v>1542.3899999999999</v>
      </c>
      <c r="G109" s="54">
        <f t="shared" si="85"/>
        <v>0.18648168298875589</v>
      </c>
      <c r="H109" s="54"/>
      <c r="I109" s="104">
        <f>SUM(I106:I108)</f>
        <v>370.1</v>
      </c>
      <c r="J109" s="54">
        <f t="shared" si="86"/>
        <v>6.4299911046867178E-2</v>
      </c>
      <c r="K109" s="54"/>
      <c r="L109" s="54"/>
      <c r="M109" s="26">
        <f t="shared" si="88"/>
        <v>157.53000000000003</v>
      </c>
      <c r="N109" s="55">
        <f t="shared" si="89"/>
        <v>0.74107352871995125</v>
      </c>
      <c r="O109" s="55">
        <f t="shared" si="87"/>
        <v>0.23995228184830039</v>
      </c>
      <c r="Q109" s="164"/>
    </row>
    <row r="110" spans="1:17" x14ac:dyDescent="0.25">
      <c r="C110" s="137"/>
      <c r="Q110" s="165"/>
    </row>
    <row r="111" spans="1:17" x14ac:dyDescent="0.25">
      <c r="A111" s="133" t="s">
        <v>219</v>
      </c>
      <c r="B111" s="23"/>
      <c r="C111" s="81"/>
      <c r="D111" s="23"/>
      <c r="E111" s="23"/>
      <c r="F111" s="23"/>
      <c r="G111" s="23"/>
      <c r="H111" s="23"/>
      <c r="I111" s="23"/>
      <c r="J111" s="23"/>
      <c r="K111" s="23"/>
      <c r="L111" s="23"/>
      <c r="M111" s="23"/>
      <c r="N111" s="23"/>
      <c r="O111" s="23"/>
      <c r="Q111" s="165"/>
    </row>
    <row r="112" spans="1:17" ht="15.75" x14ac:dyDescent="0.25">
      <c r="A112" s="23" t="s">
        <v>220</v>
      </c>
      <c r="B112" s="22">
        <v>28.69</v>
      </c>
      <c r="C112" s="109">
        <v>5.63</v>
      </c>
      <c r="D112" s="85">
        <f t="shared" ref="D112:D115" si="90">C112/$C$7</f>
        <v>1.0975407678886473E-3</v>
      </c>
      <c r="E112" s="23"/>
      <c r="F112" s="22">
        <v>27.91</v>
      </c>
      <c r="G112" s="24">
        <f t="shared" ref="G112:G115" si="91">F112/$F$7</f>
        <v>3.3744408173135049E-3</v>
      </c>
      <c r="H112" s="24"/>
      <c r="I112" s="23">
        <v>0.22</v>
      </c>
      <c r="J112" s="94">
        <f t="shared" ref="J112:J115" si="92">I112/$I$7</f>
        <v>3.8222049257797298E-5</v>
      </c>
      <c r="K112" s="94"/>
      <c r="L112" s="94"/>
      <c r="M112" s="22">
        <f>I112-C112</f>
        <v>-5.41</v>
      </c>
      <c r="N112" s="52">
        <f>M112/C112</f>
        <v>-0.96092362344582594</v>
      </c>
      <c r="O112" s="52">
        <f t="shared" ref="O112:O115" si="93">I112/F112</f>
        <v>7.8824793980652088E-3</v>
      </c>
      <c r="Q112" s="164"/>
    </row>
    <row r="113" spans="1:17" ht="15.75" x14ac:dyDescent="0.25">
      <c r="A113" s="23" t="s">
        <v>221</v>
      </c>
      <c r="B113" s="22">
        <v>38.6</v>
      </c>
      <c r="C113" s="81">
        <v>2.54</v>
      </c>
      <c r="D113" s="85">
        <f t="shared" si="90"/>
        <v>4.9516048853235608E-4</v>
      </c>
      <c r="E113" s="23"/>
      <c r="F113" s="23">
        <v>33.72</v>
      </c>
      <c r="G113" s="24">
        <f t="shared" si="91"/>
        <v>4.0768951759158501E-3</v>
      </c>
      <c r="H113" s="24"/>
      <c r="I113" s="22">
        <v>0.11</v>
      </c>
      <c r="J113" s="94">
        <f t="shared" si="92"/>
        <v>1.9111024628898649E-5</v>
      </c>
      <c r="K113" s="94"/>
      <c r="L113" s="94"/>
      <c r="M113" s="22">
        <f t="shared" ref="M113:M115" si="94">I113-C113</f>
        <v>-2.4300000000000002</v>
      </c>
      <c r="N113" s="52">
        <f t="shared" ref="N113:N115" si="95">M113/C113</f>
        <v>-0.95669291338582685</v>
      </c>
      <c r="O113" s="52">
        <f t="shared" si="93"/>
        <v>3.2621589561091344E-3</v>
      </c>
      <c r="Q113" s="164"/>
    </row>
    <row r="114" spans="1:17" ht="15.75" x14ac:dyDescent="0.25">
      <c r="A114" s="87" t="s">
        <v>222</v>
      </c>
      <c r="B114" s="23">
        <v>33.32</v>
      </c>
      <c r="C114" s="81">
        <v>2.81</v>
      </c>
      <c r="D114" s="85">
        <f t="shared" si="90"/>
        <v>5.4779565857319707E-4</v>
      </c>
      <c r="E114" s="23"/>
      <c r="F114" s="23">
        <v>33.19</v>
      </c>
      <c r="G114" s="24">
        <f t="shared" si="91"/>
        <v>4.0128158626526415E-3</v>
      </c>
      <c r="H114" s="24"/>
      <c r="I114" s="22">
        <v>3.03</v>
      </c>
      <c r="J114" s="94">
        <f t="shared" si="92"/>
        <v>5.2642186023238999E-4</v>
      </c>
      <c r="K114" s="94"/>
      <c r="L114" s="94"/>
      <c r="M114" s="22">
        <f t="shared" si="94"/>
        <v>0.21999999999999975</v>
      </c>
      <c r="N114" s="52">
        <f t="shared" si="95"/>
        <v>7.8291814946619132E-2</v>
      </c>
      <c r="O114" s="52">
        <f t="shared" si="93"/>
        <v>9.1292557999397408E-2</v>
      </c>
      <c r="Q114" s="164"/>
    </row>
    <row r="115" spans="1:17" ht="15.75" x14ac:dyDescent="0.25">
      <c r="A115" s="25" t="s">
        <v>130</v>
      </c>
      <c r="B115" s="26">
        <f>SUM(B112:B114)</f>
        <v>100.61000000000001</v>
      </c>
      <c r="C115" s="146">
        <f>SUM(C112:C114)</f>
        <v>10.98</v>
      </c>
      <c r="D115" s="86">
        <f t="shared" si="90"/>
        <v>2.1404969149942006E-3</v>
      </c>
      <c r="E115" s="25"/>
      <c r="F115" s="25">
        <f>SUM(F112:F114)</f>
        <v>94.82</v>
      </c>
      <c r="G115" s="54">
        <f t="shared" si="91"/>
        <v>1.1464151855881996E-2</v>
      </c>
      <c r="H115" s="54"/>
      <c r="I115" s="25">
        <f>SUM(I112:I114)</f>
        <v>3.36</v>
      </c>
      <c r="J115" s="54">
        <f t="shared" si="92"/>
        <v>5.8375493411908592E-4</v>
      </c>
      <c r="K115" s="54"/>
      <c r="L115" s="54"/>
      <c r="M115" s="26">
        <f t="shared" si="94"/>
        <v>-7.620000000000001</v>
      </c>
      <c r="N115" s="55">
        <f t="shared" si="95"/>
        <v>-0.69398907103825147</v>
      </c>
      <c r="O115" s="55">
        <f t="shared" si="93"/>
        <v>3.543556211769669E-2</v>
      </c>
      <c r="Q115" s="164"/>
    </row>
    <row r="118" spans="1:17" x14ac:dyDescent="0.25">
      <c r="B118" s="34"/>
      <c r="C118" s="138"/>
      <c r="D118" s="31"/>
      <c r="E118" s="31"/>
      <c r="F118" s="31"/>
    </row>
    <row r="119" spans="1:17" x14ac:dyDescent="0.25">
      <c r="B119" s="31"/>
      <c r="C119" s="138"/>
      <c r="D119" s="31"/>
      <c r="E119" s="31"/>
      <c r="F119" s="31"/>
    </row>
    <row r="120" spans="1:17" x14ac:dyDescent="0.25">
      <c r="B120" s="31"/>
      <c r="C120" s="138"/>
      <c r="D120" s="31"/>
      <c r="E120" s="31"/>
      <c r="F120" s="31"/>
    </row>
    <row r="121" spans="1:17" x14ac:dyDescent="0.25">
      <c r="B121" s="31"/>
      <c r="C121" s="138"/>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workbookViewId="0">
      <selection activeCell="J12" sqref="J12"/>
    </sheetView>
  </sheetViews>
  <sheetFormatPr defaultRowHeight="15" x14ac:dyDescent="0.25"/>
  <cols>
    <col min="1" max="1" width="14.7109375" style="260" customWidth="1"/>
    <col min="2" max="13" width="10.85546875" style="260" customWidth="1"/>
    <col min="14" max="14" width="10.140625" style="260" customWidth="1"/>
    <col min="15" max="256" width="9.140625" style="260"/>
    <col min="257" max="257" width="14.7109375" style="260" customWidth="1"/>
    <col min="258" max="269" width="10.85546875" style="260" customWidth="1"/>
    <col min="270" max="270" width="10.140625" style="260" customWidth="1"/>
    <col min="271" max="512" width="9.140625" style="260"/>
    <col min="513" max="513" width="14.7109375" style="260" customWidth="1"/>
    <col min="514" max="525" width="10.85546875" style="260" customWidth="1"/>
    <col min="526" max="526" width="10.140625" style="260" customWidth="1"/>
    <col min="527" max="768" width="9.140625" style="260"/>
    <col min="769" max="769" width="14.7109375" style="260" customWidth="1"/>
    <col min="770" max="781" width="10.85546875" style="260" customWidth="1"/>
    <col min="782" max="782" width="10.140625" style="260" customWidth="1"/>
    <col min="783" max="1024" width="9.140625" style="260"/>
    <col min="1025" max="1025" width="14.7109375" style="260" customWidth="1"/>
    <col min="1026" max="1037" width="10.85546875" style="260" customWidth="1"/>
    <col min="1038" max="1038" width="10.140625" style="260" customWidth="1"/>
    <col min="1039" max="1280" width="9.140625" style="260"/>
    <col min="1281" max="1281" width="14.7109375" style="260" customWidth="1"/>
    <col min="1282" max="1293" width="10.85546875" style="260" customWidth="1"/>
    <col min="1294" max="1294" width="10.140625" style="260" customWidth="1"/>
    <col min="1295" max="1536" width="9.140625" style="260"/>
    <col min="1537" max="1537" width="14.7109375" style="260" customWidth="1"/>
    <col min="1538" max="1549" width="10.85546875" style="260" customWidth="1"/>
    <col min="1550" max="1550" width="10.140625" style="260" customWidth="1"/>
    <col min="1551" max="1792" width="9.140625" style="260"/>
    <col min="1793" max="1793" width="14.7109375" style="260" customWidth="1"/>
    <col min="1794" max="1805" width="10.85546875" style="260" customWidth="1"/>
    <col min="1806" max="1806" width="10.140625" style="260" customWidth="1"/>
    <col min="1807" max="2048" width="9.140625" style="260"/>
    <col min="2049" max="2049" width="14.7109375" style="260" customWidth="1"/>
    <col min="2050" max="2061" width="10.85546875" style="260" customWidth="1"/>
    <col min="2062" max="2062" width="10.140625" style="260" customWidth="1"/>
    <col min="2063" max="2304" width="9.140625" style="260"/>
    <col min="2305" max="2305" width="14.7109375" style="260" customWidth="1"/>
    <col min="2306" max="2317" width="10.85546875" style="260" customWidth="1"/>
    <col min="2318" max="2318" width="10.140625" style="260" customWidth="1"/>
    <col min="2319" max="2560" width="9.140625" style="260"/>
    <col min="2561" max="2561" width="14.7109375" style="260" customWidth="1"/>
    <col min="2562" max="2573" width="10.85546875" style="260" customWidth="1"/>
    <col min="2574" max="2574" width="10.140625" style="260" customWidth="1"/>
    <col min="2575" max="2816" width="9.140625" style="260"/>
    <col min="2817" max="2817" width="14.7109375" style="260" customWidth="1"/>
    <col min="2818" max="2829" width="10.85546875" style="260" customWidth="1"/>
    <col min="2830" max="2830" width="10.140625" style="260" customWidth="1"/>
    <col min="2831" max="3072" width="9.140625" style="260"/>
    <col min="3073" max="3073" width="14.7109375" style="260" customWidth="1"/>
    <col min="3074" max="3085" width="10.85546875" style="260" customWidth="1"/>
    <col min="3086" max="3086" width="10.140625" style="260" customWidth="1"/>
    <col min="3087" max="3328" width="9.140625" style="260"/>
    <col min="3329" max="3329" width="14.7109375" style="260" customWidth="1"/>
    <col min="3330" max="3341" width="10.85546875" style="260" customWidth="1"/>
    <col min="3342" max="3342" width="10.140625" style="260" customWidth="1"/>
    <col min="3343" max="3584" width="9.140625" style="260"/>
    <col min="3585" max="3585" width="14.7109375" style="260" customWidth="1"/>
    <col min="3586" max="3597" width="10.85546875" style="260" customWidth="1"/>
    <col min="3598" max="3598" width="10.140625" style="260" customWidth="1"/>
    <col min="3599" max="3840" width="9.140625" style="260"/>
    <col min="3841" max="3841" width="14.7109375" style="260" customWidth="1"/>
    <col min="3842" max="3853" width="10.85546875" style="260" customWidth="1"/>
    <col min="3854" max="3854" width="10.140625" style="260" customWidth="1"/>
    <col min="3855" max="4096" width="9.140625" style="260"/>
    <col min="4097" max="4097" width="14.7109375" style="260" customWidth="1"/>
    <col min="4098" max="4109" width="10.85546875" style="260" customWidth="1"/>
    <col min="4110" max="4110" width="10.140625" style="260" customWidth="1"/>
    <col min="4111" max="4352" width="9.140625" style="260"/>
    <col min="4353" max="4353" width="14.7109375" style="260" customWidth="1"/>
    <col min="4354" max="4365" width="10.85546875" style="260" customWidth="1"/>
    <col min="4366" max="4366" width="10.140625" style="260" customWidth="1"/>
    <col min="4367" max="4608" width="9.140625" style="260"/>
    <col min="4609" max="4609" width="14.7109375" style="260" customWidth="1"/>
    <col min="4610" max="4621" width="10.85546875" style="260" customWidth="1"/>
    <col min="4622" max="4622" width="10.140625" style="260" customWidth="1"/>
    <col min="4623" max="4864" width="9.140625" style="260"/>
    <col min="4865" max="4865" width="14.7109375" style="260" customWidth="1"/>
    <col min="4866" max="4877" width="10.85546875" style="260" customWidth="1"/>
    <col min="4878" max="4878" width="10.140625" style="260" customWidth="1"/>
    <col min="4879" max="5120" width="9.140625" style="260"/>
    <col min="5121" max="5121" width="14.7109375" style="260" customWidth="1"/>
    <col min="5122" max="5133" width="10.85546875" style="260" customWidth="1"/>
    <col min="5134" max="5134" width="10.140625" style="260" customWidth="1"/>
    <col min="5135" max="5376" width="9.140625" style="260"/>
    <col min="5377" max="5377" width="14.7109375" style="260" customWidth="1"/>
    <col min="5378" max="5389" width="10.85546875" style="260" customWidth="1"/>
    <col min="5390" max="5390" width="10.140625" style="260" customWidth="1"/>
    <col min="5391" max="5632" width="9.140625" style="260"/>
    <col min="5633" max="5633" width="14.7109375" style="260" customWidth="1"/>
    <col min="5634" max="5645" width="10.85546875" style="260" customWidth="1"/>
    <col min="5646" max="5646" width="10.140625" style="260" customWidth="1"/>
    <col min="5647" max="5888" width="9.140625" style="260"/>
    <col min="5889" max="5889" width="14.7109375" style="260" customWidth="1"/>
    <col min="5890" max="5901" width="10.85546875" style="260" customWidth="1"/>
    <col min="5902" max="5902" width="10.140625" style="260" customWidth="1"/>
    <col min="5903" max="6144" width="9.140625" style="260"/>
    <col min="6145" max="6145" width="14.7109375" style="260" customWidth="1"/>
    <col min="6146" max="6157" width="10.85546875" style="260" customWidth="1"/>
    <col min="6158" max="6158" width="10.140625" style="260" customWidth="1"/>
    <col min="6159" max="6400" width="9.140625" style="260"/>
    <col min="6401" max="6401" width="14.7109375" style="260" customWidth="1"/>
    <col min="6402" max="6413" width="10.85546875" style="260" customWidth="1"/>
    <col min="6414" max="6414" width="10.140625" style="260" customWidth="1"/>
    <col min="6415" max="6656" width="9.140625" style="260"/>
    <col min="6657" max="6657" width="14.7109375" style="260" customWidth="1"/>
    <col min="6658" max="6669" width="10.85546875" style="260" customWidth="1"/>
    <col min="6670" max="6670" width="10.140625" style="260" customWidth="1"/>
    <col min="6671" max="6912" width="9.140625" style="260"/>
    <col min="6913" max="6913" width="14.7109375" style="260" customWidth="1"/>
    <col min="6914" max="6925" width="10.85546875" style="260" customWidth="1"/>
    <col min="6926" max="6926" width="10.140625" style="260" customWidth="1"/>
    <col min="6927" max="7168" width="9.140625" style="260"/>
    <col min="7169" max="7169" width="14.7109375" style="260" customWidth="1"/>
    <col min="7170" max="7181" width="10.85546875" style="260" customWidth="1"/>
    <col min="7182" max="7182" width="10.140625" style="260" customWidth="1"/>
    <col min="7183" max="7424" width="9.140625" style="260"/>
    <col min="7425" max="7425" width="14.7109375" style="260" customWidth="1"/>
    <col min="7426" max="7437" width="10.85546875" style="260" customWidth="1"/>
    <col min="7438" max="7438" width="10.140625" style="260" customWidth="1"/>
    <col min="7439" max="7680" width="9.140625" style="260"/>
    <col min="7681" max="7681" width="14.7109375" style="260" customWidth="1"/>
    <col min="7682" max="7693" width="10.85546875" style="260" customWidth="1"/>
    <col min="7694" max="7694" width="10.140625" style="260" customWidth="1"/>
    <col min="7695" max="7936" width="9.140625" style="260"/>
    <col min="7937" max="7937" width="14.7109375" style="260" customWidth="1"/>
    <col min="7938" max="7949" width="10.85546875" style="260" customWidth="1"/>
    <col min="7950" max="7950" width="10.140625" style="260" customWidth="1"/>
    <col min="7951" max="8192" width="9.140625" style="260"/>
    <col min="8193" max="8193" width="14.7109375" style="260" customWidth="1"/>
    <col min="8194" max="8205" width="10.85546875" style="260" customWidth="1"/>
    <col min="8206" max="8206" width="10.140625" style="260" customWidth="1"/>
    <col min="8207" max="8448" width="9.140625" style="260"/>
    <col min="8449" max="8449" width="14.7109375" style="260" customWidth="1"/>
    <col min="8450" max="8461" width="10.85546875" style="260" customWidth="1"/>
    <col min="8462" max="8462" width="10.140625" style="260" customWidth="1"/>
    <col min="8463" max="8704" width="9.140625" style="260"/>
    <col min="8705" max="8705" width="14.7109375" style="260" customWidth="1"/>
    <col min="8706" max="8717" width="10.85546875" style="260" customWidth="1"/>
    <col min="8718" max="8718" width="10.140625" style="260" customWidth="1"/>
    <col min="8719" max="8960" width="9.140625" style="260"/>
    <col min="8961" max="8961" width="14.7109375" style="260" customWidth="1"/>
    <col min="8962" max="8973" width="10.85546875" style="260" customWidth="1"/>
    <col min="8974" max="8974" width="10.140625" style="260" customWidth="1"/>
    <col min="8975" max="9216" width="9.140625" style="260"/>
    <col min="9217" max="9217" width="14.7109375" style="260" customWidth="1"/>
    <col min="9218" max="9229" width="10.85546875" style="260" customWidth="1"/>
    <col min="9230" max="9230" width="10.140625" style="260" customWidth="1"/>
    <col min="9231" max="9472" width="9.140625" style="260"/>
    <col min="9473" max="9473" width="14.7109375" style="260" customWidth="1"/>
    <col min="9474" max="9485" width="10.85546875" style="260" customWidth="1"/>
    <col min="9486" max="9486" width="10.140625" style="260" customWidth="1"/>
    <col min="9487" max="9728" width="9.140625" style="260"/>
    <col min="9729" max="9729" width="14.7109375" style="260" customWidth="1"/>
    <col min="9730" max="9741" width="10.85546875" style="260" customWidth="1"/>
    <col min="9742" max="9742" width="10.140625" style="260" customWidth="1"/>
    <col min="9743" max="9984" width="9.140625" style="260"/>
    <col min="9985" max="9985" width="14.7109375" style="260" customWidth="1"/>
    <col min="9986" max="9997" width="10.85546875" style="260" customWidth="1"/>
    <col min="9998" max="9998" width="10.140625" style="260" customWidth="1"/>
    <col min="9999" max="10240" width="9.140625" style="260"/>
    <col min="10241" max="10241" width="14.7109375" style="260" customWidth="1"/>
    <col min="10242" max="10253" width="10.85546875" style="260" customWidth="1"/>
    <col min="10254" max="10254" width="10.140625" style="260" customWidth="1"/>
    <col min="10255" max="10496" width="9.140625" style="260"/>
    <col min="10497" max="10497" width="14.7109375" style="260" customWidth="1"/>
    <col min="10498" max="10509" width="10.85546875" style="260" customWidth="1"/>
    <col min="10510" max="10510" width="10.140625" style="260" customWidth="1"/>
    <col min="10511" max="10752" width="9.140625" style="260"/>
    <col min="10753" max="10753" width="14.7109375" style="260" customWidth="1"/>
    <col min="10754" max="10765" width="10.85546875" style="260" customWidth="1"/>
    <col min="10766" max="10766" width="10.140625" style="260" customWidth="1"/>
    <col min="10767" max="11008" width="9.140625" style="260"/>
    <col min="11009" max="11009" width="14.7109375" style="260" customWidth="1"/>
    <col min="11010" max="11021" width="10.85546875" style="260" customWidth="1"/>
    <col min="11022" max="11022" width="10.140625" style="260" customWidth="1"/>
    <col min="11023" max="11264" width="9.140625" style="260"/>
    <col min="11265" max="11265" width="14.7109375" style="260" customWidth="1"/>
    <col min="11266" max="11277" width="10.85546875" style="260" customWidth="1"/>
    <col min="11278" max="11278" width="10.140625" style="260" customWidth="1"/>
    <col min="11279" max="11520" width="9.140625" style="260"/>
    <col min="11521" max="11521" width="14.7109375" style="260" customWidth="1"/>
    <col min="11522" max="11533" width="10.85546875" style="260" customWidth="1"/>
    <col min="11534" max="11534" width="10.140625" style="260" customWidth="1"/>
    <col min="11535" max="11776" width="9.140625" style="260"/>
    <col min="11777" max="11777" width="14.7109375" style="260" customWidth="1"/>
    <col min="11778" max="11789" width="10.85546875" style="260" customWidth="1"/>
    <col min="11790" max="11790" width="10.140625" style="260" customWidth="1"/>
    <col min="11791" max="12032" width="9.140625" style="260"/>
    <col min="12033" max="12033" width="14.7109375" style="260" customWidth="1"/>
    <col min="12034" max="12045" width="10.85546875" style="260" customWidth="1"/>
    <col min="12046" max="12046" width="10.140625" style="260" customWidth="1"/>
    <col min="12047" max="12288" width="9.140625" style="260"/>
    <col min="12289" max="12289" width="14.7109375" style="260" customWidth="1"/>
    <col min="12290" max="12301" width="10.85546875" style="260" customWidth="1"/>
    <col min="12302" max="12302" width="10.140625" style="260" customWidth="1"/>
    <col min="12303" max="12544" width="9.140625" style="260"/>
    <col min="12545" max="12545" width="14.7109375" style="260" customWidth="1"/>
    <col min="12546" max="12557" width="10.85546875" style="260" customWidth="1"/>
    <col min="12558" max="12558" width="10.140625" style="260" customWidth="1"/>
    <col min="12559" max="12800" width="9.140625" style="260"/>
    <col min="12801" max="12801" width="14.7109375" style="260" customWidth="1"/>
    <col min="12802" max="12813" width="10.85546875" style="260" customWidth="1"/>
    <col min="12814" max="12814" width="10.140625" style="260" customWidth="1"/>
    <col min="12815" max="13056" width="9.140625" style="260"/>
    <col min="13057" max="13057" width="14.7109375" style="260" customWidth="1"/>
    <col min="13058" max="13069" width="10.85546875" style="260" customWidth="1"/>
    <col min="13070" max="13070" width="10.140625" style="260" customWidth="1"/>
    <col min="13071" max="13312" width="9.140625" style="260"/>
    <col min="13313" max="13313" width="14.7109375" style="260" customWidth="1"/>
    <col min="13314" max="13325" width="10.85546875" style="260" customWidth="1"/>
    <col min="13326" max="13326" width="10.140625" style="260" customWidth="1"/>
    <col min="13327" max="13568" width="9.140625" style="260"/>
    <col min="13569" max="13569" width="14.7109375" style="260" customWidth="1"/>
    <col min="13570" max="13581" width="10.85546875" style="260" customWidth="1"/>
    <col min="13582" max="13582" width="10.140625" style="260" customWidth="1"/>
    <col min="13583" max="13824" width="9.140625" style="260"/>
    <col min="13825" max="13825" width="14.7109375" style="260" customWidth="1"/>
    <col min="13826" max="13837" width="10.85546875" style="260" customWidth="1"/>
    <col min="13838" max="13838" width="10.140625" style="260" customWidth="1"/>
    <col min="13839" max="14080" width="9.140625" style="260"/>
    <col min="14081" max="14081" width="14.7109375" style="260" customWidth="1"/>
    <col min="14082" max="14093" width="10.85546875" style="260" customWidth="1"/>
    <col min="14094" max="14094" width="10.140625" style="260" customWidth="1"/>
    <col min="14095" max="14336" width="9.140625" style="260"/>
    <col min="14337" max="14337" width="14.7109375" style="260" customWidth="1"/>
    <col min="14338" max="14349" width="10.85546875" style="260" customWidth="1"/>
    <col min="14350" max="14350" width="10.140625" style="260" customWidth="1"/>
    <col min="14351" max="14592" width="9.140625" style="260"/>
    <col min="14593" max="14593" width="14.7109375" style="260" customWidth="1"/>
    <col min="14594" max="14605" width="10.85546875" style="260" customWidth="1"/>
    <col min="14606" max="14606" width="10.140625" style="260" customWidth="1"/>
    <col min="14607" max="14848" width="9.140625" style="260"/>
    <col min="14849" max="14849" width="14.7109375" style="260" customWidth="1"/>
    <col min="14850" max="14861" width="10.85546875" style="260" customWidth="1"/>
    <col min="14862" max="14862" width="10.140625" style="260" customWidth="1"/>
    <col min="14863" max="15104" width="9.140625" style="260"/>
    <col min="15105" max="15105" width="14.7109375" style="260" customWidth="1"/>
    <col min="15106" max="15117" width="10.85546875" style="260" customWidth="1"/>
    <col min="15118" max="15118" width="10.140625" style="260" customWidth="1"/>
    <col min="15119" max="15360" width="9.140625" style="260"/>
    <col min="15361" max="15361" width="14.7109375" style="260" customWidth="1"/>
    <col min="15362" max="15373" width="10.85546875" style="260" customWidth="1"/>
    <col min="15374" max="15374" width="10.140625" style="260" customWidth="1"/>
    <col min="15375" max="15616" width="9.140625" style="260"/>
    <col min="15617" max="15617" width="14.7109375" style="260" customWidth="1"/>
    <col min="15618" max="15629" width="10.85546875" style="260" customWidth="1"/>
    <col min="15630" max="15630" width="10.140625" style="260" customWidth="1"/>
    <col min="15631" max="15872" width="9.140625" style="260"/>
    <col min="15873" max="15873" width="14.7109375" style="260" customWidth="1"/>
    <col min="15874" max="15885" width="10.85546875" style="260" customWidth="1"/>
    <col min="15886" max="15886" width="10.140625" style="260" customWidth="1"/>
    <col min="15887" max="16128" width="9.140625" style="260"/>
    <col min="16129" max="16129" width="14.7109375" style="260" customWidth="1"/>
    <col min="16130" max="16141" width="10.85546875" style="260" customWidth="1"/>
    <col min="16142" max="16142" width="10.140625" style="260" customWidth="1"/>
    <col min="16143" max="16384" width="9.140625" style="260"/>
  </cols>
  <sheetData>
    <row r="1" spans="1:14" x14ac:dyDescent="0.25">
      <c r="A1" s="263" t="s">
        <v>331</v>
      </c>
      <c r="B1" s="264"/>
      <c r="C1" s="264"/>
      <c r="D1" s="264"/>
      <c r="E1" s="264"/>
      <c r="F1" s="264"/>
      <c r="G1" s="264"/>
      <c r="H1" s="264"/>
      <c r="I1" s="264"/>
      <c r="J1" s="264"/>
      <c r="K1" s="264"/>
      <c r="L1" s="264"/>
      <c r="M1" s="264"/>
      <c r="N1" s="264"/>
    </row>
    <row r="2" spans="1:14" x14ac:dyDescent="0.25">
      <c r="A2" s="263" t="s">
        <v>332</v>
      </c>
      <c r="B2" s="264"/>
      <c r="C2" s="264"/>
      <c r="D2" s="264"/>
      <c r="E2" s="264"/>
      <c r="F2" s="264"/>
      <c r="G2" s="264"/>
      <c r="H2" s="264"/>
      <c r="I2" s="264"/>
      <c r="J2" s="264"/>
      <c r="K2" s="264"/>
      <c r="L2" s="264"/>
      <c r="M2" s="264"/>
      <c r="N2" s="264"/>
    </row>
    <row r="3" spans="1:14" x14ac:dyDescent="0.25">
      <c r="A3" s="259" t="s">
        <v>0</v>
      </c>
      <c r="B3" s="259" t="s">
        <v>1</v>
      </c>
      <c r="C3" s="259" t="s">
        <v>2</v>
      </c>
      <c r="D3" s="259" t="s">
        <v>3</v>
      </c>
      <c r="E3" s="259" t="s">
        <v>4</v>
      </c>
      <c r="F3" s="259" t="s">
        <v>5</v>
      </c>
      <c r="G3" s="259" t="s">
        <v>6</v>
      </c>
      <c r="H3" s="259" t="s">
        <v>7</v>
      </c>
      <c r="I3" s="259" t="s">
        <v>8</v>
      </c>
      <c r="J3" s="259" t="s">
        <v>9</v>
      </c>
      <c r="K3" s="259" t="s">
        <v>10</v>
      </c>
      <c r="L3" s="259" t="s">
        <v>11</v>
      </c>
      <c r="M3" s="259" t="s">
        <v>12</v>
      </c>
      <c r="N3" s="259" t="s">
        <v>13</v>
      </c>
    </row>
    <row r="4" spans="1:14" x14ac:dyDescent="0.25">
      <c r="A4" s="259" t="s">
        <v>14</v>
      </c>
      <c r="B4" s="29">
        <v>1573437</v>
      </c>
      <c r="C4" s="29">
        <v>2772190</v>
      </c>
      <c r="D4" s="29">
        <v>586277</v>
      </c>
      <c r="E4" s="29">
        <v>900428</v>
      </c>
      <c r="F4" s="29">
        <v>1413302</v>
      </c>
      <c r="G4" s="29">
        <v>2667435</v>
      </c>
      <c r="H4" s="29">
        <v>3359674</v>
      </c>
      <c r="I4" s="29">
        <v>9027</v>
      </c>
      <c r="J4" s="29">
        <v>500439</v>
      </c>
      <c r="K4" s="29">
        <v>923561</v>
      </c>
      <c r="L4" s="28" t="s">
        <v>15</v>
      </c>
      <c r="M4" s="28" t="s">
        <v>15</v>
      </c>
      <c r="N4" s="29">
        <v>14705769</v>
      </c>
    </row>
    <row r="5" spans="1:14" x14ac:dyDescent="0.25">
      <c r="A5" s="259" t="s">
        <v>16</v>
      </c>
      <c r="B5" s="29">
        <v>260197</v>
      </c>
      <c r="C5" s="29">
        <v>442269</v>
      </c>
      <c r="D5" s="29">
        <v>96815</v>
      </c>
      <c r="E5" s="29">
        <v>150547</v>
      </c>
      <c r="F5" s="29">
        <v>234876</v>
      </c>
      <c r="G5" s="29">
        <v>549184</v>
      </c>
      <c r="H5" s="29">
        <v>596852</v>
      </c>
      <c r="I5" s="29">
        <v>1534</v>
      </c>
      <c r="J5" s="29">
        <v>85295</v>
      </c>
      <c r="K5" s="29">
        <v>154531</v>
      </c>
      <c r="L5" s="28" t="s">
        <v>15</v>
      </c>
      <c r="M5" s="28" t="s">
        <v>15</v>
      </c>
      <c r="N5" s="29">
        <v>2572101</v>
      </c>
    </row>
    <row r="6" spans="1:14" x14ac:dyDescent="0.25">
      <c r="A6" s="259" t="s">
        <v>17</v>
      </c>
      <c r="B6" s="29">
        <v>65982</v>
      </c>
      <c r="C6" s="29">
        <v>249121</v>
      </c>
      <c r="D6" s="29">
        <v>39703</v>
      </c>
      <c r="E6" s="29">
        <v>60356</v>
      </c>
      <c r="F6" s="29">
        <v>110326</v>
      </c>
      <c r="G6" s="29">
        <v>155027</v>
      </c>
      <c r="H6" s="29">
        <v>212009</v>
      </c>
      <c r="I6" s="29">
        <v>545</v>
      </c>
      <c r="J6" s="29">
        <v>27145</v>
      </c>
      <c r="K6" s="29">
        <v>6123</v>
      </c>
      <c r="L6" s="28" t="s">
        <v>15</v>
      </c>
      <c r="M6" s="28" t="s">
        <v>15</v>
      </c>
      <c r="N6" s="29">
        <v>926336</v>
      </c>
    </row>
    <row r="7" spans="1:14" x14ac:dyDescent="0.25">
      <c r="A7" s="259" t="s">
        <v>18</v>
      </c>
      <c r="B7" s="29">
        <v>163009</v>
      </c>
      <c r="C7" s="29">
        <v>204828</v>
      </c>
      <c r="D7" s="29">
        <v>60461</v>
      </c>
      <c r="E7" s="29">
        <v>101239</v>
      </c>
      <c r="F7" s="29">
        <v>114532</v>
      </c>
      <c r="G7" s="29">
        <v>414023</v>
      </c>
      <c r="H7" s="29">
        <v>371847</v>
      </c>
      <c r="I7" s="29">
        <v>1029</v>
      </c>
      <c r="J7" s="29">
        <v>41112</v>
      </c>
      <c r="K7" s="29">
        <v>74607</v>
      </c>
      <c r="L7" s="28" t="s">
        <v>15</v>
      </c>
      <c r="M7" s="28" t="s">
        <v>15</v>
      </c>
      <c r="N7" s="29">
        <v>1546688</v>
      </c>
    </row>
    <row r="8" spans="1:14" x14ac:dyDescent="0.25">
      <c r="A8" s="259" t="s">
        <v>19</v>
      </c>
      <c r="B8" s="29">
        <v>62659</v>
      </c>
      <c r="C8" s="29">
        <v>152326</v>
      </c>
      <c r="D8" s="29">
        <v>39143</v>
      </c>
      <c r="E8" s="29">
        <v>52528</v>
      </c>
      <c r="F8" s="29">
        <v>77396</v>
      </c>
      <c r="G8" s="29">
        <v>141776</v>
      </c>
      <c r="H8" s="29">
        <v>180878</v>
      </c>
      <c r="I8" s="29">
        <v>398</v>
      </c>
      <c r="J8" s="29">
        <v>32522</v>
      </c>
      <c r="K8" s="29">
        <v>46916</v>
      </c>
      <c r="L8" s="28" t="s">
        <v>15</v>
      </c>
      <c r="M8" s="28" t="s">
        <v>15</v>
      </c>
      <c r="N8" s="29">
        <v>786543</v>
      </c>
    </row>
    <row r="9" spans="1:14" x14ac:dyDescent="0.25">
      <c r="A9" s="259" t="s">
        <v>20</v>
      </c>
      <c r="B9" s="28" t="s">
        <v>15</v>
      </c>
      <c r="C9" s="28" t="s">
        <v>15</v>
      </c>
      <c r="D9" s="28" t="s">
        <v>15</v>
      </c>
      <c r="E9" s="28" t="s">
        <v>15</v>
      </c>
      <c r="F9" s="28" t="s">
        <v>15</v>
      </c>
      <c r="G9" s="28" t="s">
        <v>15</v>
      </c>
      <c r="H9" s="28" t="s">
        <v>15</v>
      </c>
      <c r="I9" s="28" t="s">
        <v>15</v>
      </c>
      <c r="J9" s="28" t="s">
        <v>15</v>
      </c>
      <c r="K9" s="28" t="s">
        <v>15</v>
      </c>
      <c r="L9" s="29">
        <v>1632850</v>
      </c>
      <c r="M9" s="28" t="s">
        <v>15</v>
      </c>
      <c r="N9" s="29">
        <v>1632850</v>
      </c>
    </row>
    <row r="10" spans="1:14" x14ac:dyDescent="0.25">
      <c r="A10" s="259"/>
      <c r="B10" s="28"/>
      <c r="C10" s="28"/>
      <c r="D10" s="28"/>
      <c r="E10" s="28"/>
      <c r="F10" s="28"/>
      <c r="G10" s="28"/>
      <c r="H10" s="28"/>
      <c r="I10" s="28"/>
      <c r="J10" s="28"/>
      <c r="K10" s="28"/>
      <c r="L10" s="29"/>
      <c r="M10" s="28"/>
      <c r="N10" s="29"/>
    </row>
    <row r="11" spans="1:14" x14ac:dyDescent="0.25">
      <c r="A11" s="259" t="s">
        <v>21</v>
      </c>
      <c r="B11" s="29">
        <v>1687</v>
      </c>
      <c r="C11" s="29">
        <v>156</v>
      </c>
      <c r="D11" s="29">
        <v>0</v>
      </c>
      <c r="E11" s="28" t="s">
        <v>15</v>
      </c>
      <c r="F11" s="29">
        <v>2588</v>
      </c>
      <c r="G11" s="29">
        <v>710507</v>
      </c>
      <c r="H11" s="29">
        <v>307837</v>
      </c>
      <c r="I11" s="29">
        <v>580</v>
      </c>
      <c r="J11" s="28" t="s">
        <v>15</v>
      </c>
      <c r="K11" s="28" t="s">
        <v>15</v>
      </c>
      <c r="L11" s="28" t="s">
        <v>15</v>
      </c>
      <c r="M11" s="28" t="s">
        <v>15</v>
      </c>
      <c r="N11" s="29">
        <v>1023356</v>
      </c>
    </row>
    <row r="12" spans="1:14" x14ac:dyDescent="0.25">
      <c r="A12" s="259" t="s">
        <v>22</v>
      </c>
      <c r="B12" s="28" t="s">
        <v>15</v>
      </c>
      <c r="C12" s="29">
        <v>98</v>
      </c>
      <c r="D12" s="29">
        <v>415</v>
      </c>
      <c r="E12" s="29">
        <v>798</v>
      </c>
      <c r="F12" s="29">
        <v>413</v>
      </c>
      <c r="G12" s="29">
        <v>22770</v>
      </c>
      <c r="H12" s="29">
        <v>17715</v>
      </c>
      <c r="I12" s="28" t="s">
        <v>15</v>
      </c>
      <c r="J12" s="29">
        <v>147</v>
      </c>
      <c r="K12" s="28" t="s">
        <v>15</v>
      </c>
      <c r="L12" s="28" t="s">
        <v>15</v>
      </c>
      <c r="M12" s="28" t="s">
        <v>15</v>
      </c>
      <c r="N12" s="29">
        <v>42356</v>
      </c>
    </row>
    <row r="13" spans="1:14" x14ac:dyDescent="0.25">
      <c r="A13" s="259" t="s">
        <v>23</v>
      </c>
      <c r="B13" s="29">
        <v>4236</v>
      </c>
      <c r="C13" s="29">
        <v>51560</v>
      </c>
      <c r="D13" s="29">
        <v>5292</v>
      </c>
      <c r="E13" s="29">
        <v>24734</v>
      </c>
      <c r="F13" s="29">
        <v>20940</v>
      </c>
      <c r="G13" s="29">
        <v>86021</v>
      </c>
      <c r="H13" s="29">
        <v>131151</v>
      </c>
      <c r="I13" s="29">
        <v>276</v>
      </c>
      <c r="J13" s="29">
        <v>1593</v>
      </c>
      <c r="K13" s="29">
        <v>815</v>
      </c>
      <c r="L13" s="28" t="s">
        <v>15</v>
      </c>
      <c r="M13" s="28" t="s">
        <v>15</v>
      </c>
      <c r="N13" s="29">
        <v>326618</v>
      </c>
    </row>
    <row r="14" spans="1:14" x14ac:dyDescent="0.25">
      <c r="A14" s="259" t="s">
        <v>24</v>
      </c>
      <c r="B14" s="29">
        <v>6982</v>
      </c>
      <c r="C14" s="29">
        <v>288303</v>
      </c>
      <c r="D14" s="29">
        <v>9040</v>
      </c>
      <c r="E14" s="29">
        <v>22815</v>
      </c>
      <c r="F14" s="29">
        <v>39392</v>
      </c>
      <c r="G14" s="29">
        <v>153121</v>
      </c>
      <c r="H14" s="29">
        <v>141704</v>
      </c>
      <c r="I14" s="29">
        <v>182</v>
      </c>
      <c r="J14" s="29">
        <v>48857</v>
      </c>
      <c r="K14" s="29">
        <v>99573</v>
      </c>
      <c r="L14" s="28" t="s">
        <v>15</v>
      </c>
      <c r="M14" s="28" t="s">
        <v>15</v>
      </c>
      <c r="N14" s="29">
        <v>809970</v>
      </c>
    </row>
    <row r="15" spans="1:14" x14ac:dyDescent="0.25">
      <c r="A15" s="259" t="s">
        <v>25</v>
      </c>
      <c r="B15" s="29">
        <v>5197</v>
      </c>
      <c r="C15" s="29">
        <v>265</v>
      </c>
      <c r="D15" s="29">
        <v>131</v>
      </c>
      <c r="E15" s="29">
        <v>71</v>
      </c>
      <c r="F15" s="29">
        <v>65</v>
      </c>
      <c r="G15" s="29">
        <v>451</v>
      </c>
      <c r="H15" s="29">
        <v>57</v>
      </c>
      <c r="I15" s="28" t="s">
        <v>15</v>
      </c>
      <c r="J15" s="29">
        <v>5082</v>
      </c>
      <c r="K15" s="29">
        <v>98</v>
      </c>
      <c r="L15" s="28" t="s">
        <v>15</v>
      </c>
      <c r="M15" s="28" t="s">
        <v>15</v>
      </c>
      <c r="N15" s="29">
        <v>11416</v>
      </c>
    </row>
    <row r="16" spans="1:14" x14ac:dyDescent="0.25">
      <c r="A16" s="259" t="s">
        <v>26</v>
      </c>
      <c r="B16" s="29">
        <v>9183</v>
      </c>
      <c r="C16" s="29">
        <v>16046</v>
      </c>
      <c r="D16" s="29">
        <v>810</v>
      </c>
      <c r="E16" s="29">
        <v>1630</v>
      </c>
      <c r="F16" s="29">
        <v>4834</v>
      </c>
      <c r="G16" s="29">
        <v>3252</v>
      </c>
      <c r="H16" s="29">
        <v>7853</v>
      </c>
      <c r="I16" s="28" t="s">
        <v>15</v>
      </c>
      <c r="J16" s="29">
        <v>1011</v>
      </c>
      <c r="K16" s="29">
        <v>3801</v>
      </c>
      <c r="L16" s="28" t="s">
        <v>15</v>
      </c>
      <c r="M16" s="28" t="s">
        <v>15</v>
      </c>
      <c r="N16" s="29">
        <v>48421</v>
      </c>
    </row>
    <row r="17" spans="1:14" x14ac:dyDescent="0.25">
      <c r="A17" s="259" t="s">
        <v>27</v>
      </c>
      <c r="B17" s="29">
        <v>35708</v>
      </c>
      <c r="C17" s="29">
        <v>213333</v>
      </c>
      <c r="D17" s="29">
        <v>6616</v>
      </c>
      <c r="E17" s="29">
        <v>15409</v>
      </c>
      <c r="F17" s="29">
        <v>132527</v>
      </c>
      <c r="G17" s="29">
        <v>7291</v>
      </c>
      <c r="H17" s="29">
        <v>94710</v>
      </c>
      <c r="I17" s="29">
        <v>108</v>
      </c>
      <c r="J17" s="29">
        <v>6815</v>
      </c>
      <c r="K17" s="29">
        <v>106898</v>
      </c>
      <c r="L17" s="28" t="s">
        <v>15</v>
      </c>
      <c r="M17" s="28" t="s">
        <v>15</v>
      </c>
      <c r="N17" s="29">
        <v>619416</v>
      </c>
    </row>
    <row r="18" spans="1:14" x14ac:dyDescent="0.25">
      <c r="A18" s="259"/>
      <c r="B18" s="29"/>
      <c r="C18" s="29"/>
      <c r="D18" s="29"/>
      <c r="E18" s="29"/>
      <c r="F18" s="29"/>
      <c r="G18" s="29"/>
      <c r="H18" s="29"/>
      <c r="I18" s="29"/>
      <c r="J18" s="29"/>
      <c r="K18" s="29"/>
      <c r="L18" s="28"/>
      <c r="M18" s="28"/>
      <c r="N18" s="29"/>
    </row>
    <row r="19" spans="1:14" x14ac:dyDescent="0.25">
      <c r="A19" s="259" t="s">
        <v>28</v>
      </c>
      <c r="B19" s="29">
        <v>12648</v>
      </c>
      <c r="C19" s="29">
        <v>1490</v>
      </c>
      <c r="D19" s="29">
        <v>747</v>
      </c>
      <c r="E19" s="29">
        <v>287</v>
      </c>
      <c r="F19" s="29">
        <v>1685</v>
      </c>
      <c r="G19" s="29">
        <v>1613</v>
      </c>
      <c r="H19" s="29">
        <v>6865</v>
      </c>
      <c r="I19" s="28" t="s">
        <v>15</v>
      </c>
      <c r="J19" s="29">
        <v>702</v>
      </c>
      <c r="K19" s="29">
        <v>3104</v>
      </c>
      <c r="L19" s="28" t="s">
        <v>15</v>
      </c>
      <c r="M19" s="28" t="s">
        <v>15</v>
      </c>
      <c r="N19" s="29">
        <v>29140</v>
      </c>
    </row>
    <row r="20" spans="1:14" x14ac:dyDescent="0.25">
      <c r="A20" s="259" t="s">
        <v>29</v>
      </c>
      <c r="B20" s="29">
        <v>5493</v>
      </c>
      <c r="C20" s="29">
        <v>675</v>
      </c>
      <c r="D20" s="29">
        <v>472</v>
      </c>
      <c r="E20" s="29">
        <v>177</v>
      </c>
      <c r="F20" s="29">
        <v>23561</v>
      </c>
      <c r="G20" s="29">
        <v>1612</v>
      </c>
      <c r="H20" s="29">
        <v>1060</v>
      </c>
      <c r="I20" s="29">
        <v>0</v>
      </c>
      <c r="J20" s="29">
        <v>195</v>
      </c>
      <c r="K20" s="29">
        <v>421</v>
      </c>
      <c r="L20" s="28" t="s">
        <v>15</v>
      </c>
      <c r="M20" s="28" t="s">
        <v>15</v>
      </c>
      <c r="N20" s="29">
        <v>33666</v>
      </c>
    </row>
    <row r="21" spans="1:14" x14ac:dyDescent="0.25">
      <c r="A21" s="259" t="s">
        <v>30</v>
      </c>
      <c r="B21" s="29">
        <v>6322</v>
      </c>
      <c r="C21" s="29">
        <v>2388</v>
      </c>
      <c r="D21" s="29">
        <v>836</v>
      </c>
      <c r="E21" s="29">
        <v>1084</v>
      </c>
      <c r="F21" s="29">
        <v>2170</v>
      </c>
      <c r="G21" s="29">
        <v>7564</v>
      </c>
      <c r="H21" s="29">
        <v>4357</v>
      </c>
      <c r="I21" s="29">
        <v>56</v>
      </c>
      <c r="J21" s="29">
        <v>584</v>
      </c>
      <c r="K21" s="29">
        <v>1508</v>
      </c>
      <c r="L21" s="28" t="s">
        <v>15</v>
      </c>
      <c r="M21" s="28" t="s">
        <v>15</v>
      </c>
      <c r="N21" s="29">
        <v>26870</v>
      </c>
    </row>
    <row r="22" spans="1:14" x14ac:dyDescent="0.25">
      <c r="A22" s="259" t="s">
        <v>31</v>
      </c>
      <c r="B22" s="29">
        <v>68764</v>
      </c>
      <c r="C22" s="29">
        <v>33658</v>
      </c>
      <c r="D22" s="29">
        <v>585</v>
      </c>
      <c r="E22" s="29">
        <v>3886</v>
      </c>
      <c r="F22" s="29">
        <v>4405</v>
      </c>
      <c r="G22" s="29">
        <v>3707</v>
      </c>
      <c r="H22" s="29">
        <v>7611</v>
      </c>
      <c r="I22" s="28" t="s">
        <v>15</v>
      </c>
      <c r="J22" s="29">
        <v>2204</v>
      </c>
      <c r="K22" s="29">
        <v>7691</v>
      </c>
      <c r="L22" s="28" t="s">
        <v>15</v>
      </c>
      <c r="M22" s="28" t="s">
        <v>15</v>
      </c>
      <c r="N22" s="29">
        <v>132510</v>
      </c>
    </row>
    <row r="23" spans="1:14" x14ac:dyDescent="0.25">
      <c r="A23" s="259" t="s">
        <v>32</v>
      </c>
      <c r="B23" s="28" t="s">
        <v>15</v>
      </c>
      <c r="C23" s="28" t="s">
        <v>15</v>
      </c>
      <c r="D23" s="28" t="s">
        <v>15</v>
      </c>
      <c r="E23" s="28" t="s">
        <v>15</v>
      </c>
      <c r="F23" s="29">
        <v>18</v>
      </c>
      <c r="G23" s="28" t="s">
        <v>15</v>
      </c>
      <c r="H23" s="28" t="s">
        <v>15</v>
      </c>
      <c r="I23" s="28" t="s">
        <v>15</v>
      </c>
      <c r="J23" s="28" t="s">
        <v>15</v>
      </c>
      <c r="K23" s="28" t="s">
        <v>15</v>
      </c>
      <c r="L23" s="28" t="s">
        <v>15</v>
      </c>
      <c r="M23" s="28" t="s">
        <v>15</v>
      </c>
      <c r="N23" s="29">
        <v>18</v>
      </c>
    </row>
    <row r="24" spans="1:14" x14ac:dyDescent="0.25">
      <c r="A24" s="259"/>
      <c r="B24" s="28"/>
      <c r="C24" s="28"/>
      <c r="D24" s="28"/>
      <c r="E24" s="28"/>
      <c r="F24" s="29"/>
      <c r="G24" s="28"/>
      <c r="H24" s="28"/>
      <c r="I24" s="28"/>
      <c r="J24" s="28"/>
      <c r="K24" s="28"/>
      <c r="L24" s="28"/>
      <c r="M24" s="28"/>
      <c r="N24" s="29"/>
    </row>
    <row r="25" spans="1:14" x14ac:dyDescent="0.25">
      <c r="A25" s="259" t="s">
        <v>33</v>
      </c>
      <c r="B25" s="29">
        <v>4419</v>
      </c>
      <c r="C25" s="29">
        <v>389</v>
      </c>
      <c r="D25" s="29">
        <v>168</v>
      </c>
      <c r="E25" s="28" t="s">
        <v>15</v>
      </c>
      <c r="F25" s="29">
        <v>0</v>
      </c>
      <c r="G25" s="29">
        <v>557</v>
      </c>
      <c r="H25" s="29">
        <v>9723</v>
      </c>
      <c r="I25" s="28" t="s">
        <v>15</v>
      </c>
      <c r="J25" s="29">
        <v>18</v>
      </c>
      <c r="K25" s="29">
        <v>324</v>
      </c>
      <c r="L25" s="28" t="s">
        <v>15</v>
      </c>
      <c r="M25" s="28" t="s">
        <v>15</v>
      </c>
      <c r="N25" s="29">
        <v>15598</v>
      </c>
    </row>
    <row r="26" spans="1:14" x14ac:dyDescent="0.25">
      <c r="A26" s="259" t="s">
        <v>35</v>
      </c>
      <c r="B26" s="28" t="s">
        <v>15</v>
      </c>
      <c r="C26" s="29">
        <v>0</v>
      </c>
      <c r="D26" s="28" t="s">
        <v>15</v>
      </c>
      <c r="E26" s="28" t="s">
        <v>15</v>
      </c>
      <c r="F26" s="28" t="s">
        <v>15</v>
      </c>
      <c r="G26" s="29">
        <v>0</v>
      </c>
      <c r="H26" s="29">
        <v>0</v>
      </c>
      <c r="I26" s="28" t="s">
        <v>15</v>
      </c>
      <c r="J26" s="29">
        <v>767279</v>
      </c>
      <c r="K26" s="29">
        <v>0</v>
      </c>
      <c r="L26" s="28" t="s">
        <v>15</v>
      </c>
      <c r="M26" s="28" t="s">
        <v>15</v>
      </c>
      <c r="N26" s="29">
        <v>767279</v>
      </c>
    </row>
    <row r="27" spans="1:14" x14ac:dyDescent="0.25">
      <c r="A27" s="259" t="s">
        <v>36</v>
      </c>
      <c r="B27" s="28" t="s">
        <v>15</v>
      </c>
      <c r="C27" s="28" t="s">
        <v>15</v>
      </c>
      <c r="D27" s="28" t="s">
        <v>15</v>
      </c>
      <c r="E27" s="28" t="s">
        <v>15</v>
      </c>
      <c r="F27" s="28" t="s">
        <v>15</v>
      </c>
      <c r="G27" s="28" t="s">
        <v>15</v>
      </c>
      <c r="H27" s="28" t="s">
        <v>15</v>
      </c>
      <c r="I27" s="28" t="s">
        <v>15</v>
      </c>
      <c r="J27" s="29">
        <v>560950</v>
      </c>
      <c r="K27" s="28" t="s">
        <v>15</v>
      </c>
      <c r="L27" s="28" t="s">
        <v>15</v>
      </c>
      <c r="M27" s="28" t="s">
        <v>15</v>
      </c>
      <c r="N27" s="29">
        <v>560950</v>
      </c>
    </row>
    <row r="28" spans="1:14" x14ac:dyDescent="0.25">
      <c r="A28" s="259" t="s">
        <v>37</v>
      </c>
      <c r="B28" s="29">
        <v>8777</v>
      </c>
      <c r="C28" s="29">
        <v>194451</v>
      </c>
      <c r="D28" s="29">
        <v>302124</v>
      </c>
      <c r="E28" s="29">
        <v>138632</v>
      </c>
      <c r="F28" s="29">
        <v>200549</v>
      </c>
      <c r="G28" s="29">
        <v>70393</v>
      </c>
      <c r="H28" s="29">
        <v>12335</v>
      </c>
      <c r="I28" s="29">
        <v>78800</v>
      </c>
      <c r="J28" s="29">
        <v>18184</v>
      </c>
      <c r="K28" s="29">
        <v>3407</v>
      </c>
      <c r="L28" s="28" t="s">
        <v>15</v>
      </c>
      <c r="M28" s="28" t="s">
        <v>15</v>
      </c>
      <c r="N28" s="29">
        <v>1027650</v>
      </c>
    </row>
    <row r="29" spans="1:14" x14ac:dyDescent="0.25">
      <c r="A29" s="259" t="s">
        <v>38</v>
      </c>
      <c r="B29" s="29">
        <v>10189</v>
      </c>
      <c r="C29" s="29">
        <v>185843</v>
      </c>
      <c r="D29" s="29">
        <v>60733</v>
      </c>
      <c r="E29" s="29">
        <v>18247</v>
      </c>
      <c r="F29" s="29">
        <v>261423</v>
      </c>
      <c r="G29" s="29">
        <v>47088</v>
      </c>
      <c r="H29" s="29">
        <v>59991</v>
      </c>
      <c r="I29" s="29">
        <v>2</v>
      </c>
      <c r="J29" s="29">
        <v>153319</v>
      </c>
      <c r="K29" s="29">
        <v>23188</v>
      </c>
      <c r="L29" s="28" t="s">
        <v>15</v>
      </c>
      <c r="M29" s="29">
        <v>0</v>
      </c>
      <c r="N29" s="29">
        <v>820022</v>
      </c>
    </row>
    <row r="30" spans="1:14" x14ac:dyDescent="0.25">
      <c r="A30" s="259" t="s">
        <v>39</v>
      </c>
      <c r="B30" s="29">
        <v>845</v>
      </c>
      <c r="C30" s="28" t="s">
        <v>15</v>
      </c>
      <c r="D30" s="28" t="s">
        <v>15</v>
      </c>
      <c r="E30" s="29">
        <v>1355</v>
      </c>
      <c r="F30" s="28" t="s">
        <v>15</v>
      </c>
      <c r="G30" s="28" t="s">
        <v>15</v>
      </c>
      <c r="H30" s="28" t="s">
        <v>15</v>
      </c>
      <c r="I30" s="28" t="s">
        <v>15</v>
      </c>
      <c r="J30" s="29">
        <v>0</v>
      </c>
      <c r="K30" s="28" t="s">
        <v>15</v>
      </c>
      <c r="L30" s="28" t="s">
        <v>15</v>
      </c>
      <c r="M30" s="28" t="s">
        <v>15</v>
      </c>
      <c r="N30" s="29">
        <v>2200</v>
      </c>
    </row>
    <row r="31" spans="1:14" x14ac:dyDescent="0.25">
      <c r="A31" s="259" t="s">
        <v>40</v>
      </c>
      <c r="B31" s="29">
        <v>825</v>
      </c>
      <c r="C31" s="29">
        <v>0</v>
      </c>
      <c r="D31" s="28" t="s">
        <v>15</v>
      </c>
      <c r="E31" s="29">
        <v>275</v>
      </c>
      <c r="F31" s="28" t="s">
        <v>15</v>
      </c>
      <c r="G31" s="29">
        <v>495764</v>
      </c>
      <c r="H31" s="28" t="s">
        <v>15</v>
      </c>
      <c r="I31" s="29">
        <v>3523065</v>
      </c>
      <c r="J31" s="29">
        <v>98270</v>
      </c>
      <c r="K31" s="29">
        <v>165</v>
      </c>
      <c r="L31" s="28" t="s">
        <v>15</v>
      </c>
      <c r="M31" s="28" t="s">
        <v>15</v>
      </c>
      <c r="N31" s="29">
        <v>4118365</v>
      </c>
    </row>
    <row r="32" spans="1:14" x14ac:dyDescent="0.25">
      <c r="A32" s="259" t="s">
        <v>41</v>
      </c>
      <c r="B32" s="29">
        <v>-1</v>
      </c>
      <c r="C32" s="29">
        <v>96392</v>
      </c>
      <c r="D32" s="29">
        <v>140</v>
      </c>
      <c r="E32" s="28" t="s">
        <v>15</v>
      </c>
      <c r="F32" s="29">
        <v>4139</v>
      </c>
      <c r="G32" s="29">
        <v>21747</v>
      </c>
      <c r="H32" s="29">
        <v>0</v>
      </c>
      <c r="I32" s="28" t="s">
        <v>15</v>
      </c>
      <c r="J32" s="29">
        <v>2</v>
      </c>
      <c r="K32" s="29">
        <v>24</v>
      </c>
      <c r="L32" s="28" t="s">
        <v>15</v>
      </c>
      <c r="M32" s="28" t="s">
        <v>15</v>
      </c>
      <c r="N32" s="29">
        <v>122444</v>
      </c>
    </row>
    <row r="33" spans="1:14" x14ac:dyDescent="0.25">
      <c r="A33" s="259" t="s">
        <v>43</v>
      </c>
      <c r="B33" s="29">
        <v>46385</v>
      </c>
      <c r="C33" s="29">
        <v>677548</v>
      </c>
      <c r="D33" s="29">
        <v>49992</v>
      </c>
      <c r="E33" s="29">
        <v>93801</v>
      </c>
      <c r="F33" s="29">
        <v>398165</v>
      </c>
      <c r="G33" s="29">
        <v>291259</v>
      </c>
      <c r="H33" s="29">
        <v>276452</v>
      </c>
      <c r="I33" s="28" t="s">
        <v>15</v>
      </c>
      <c r="J33" s="29">
        <v>257456</v>
      </c>
      <c r="K33" s="29">
        <v>43697</v>
      </c>
      <c r="L33" s="28" t="s">
        <v>15</v>
      </c>
      <c r="M33" s="28" t="s">
        <v>15</v>
      </c>
      <c r="N33" s="29">
        <v>2134756</v>
      </c>
    </row>
    <row r="34" spans="1:14" x14ac:dyDescent="0.25">
      <c r="A34" s="259" t="s">
        <v>44</v>
      </c>
      <c r="B34" s="28" t="s">
        <v>15</v>
      </c>
      <c r="C34" s="29">
        <v>123801</v>
      </c>
      <c r="D34" s="29">
        <v>100953</v>
      </c>
      <c r="E34" s="29">
        <v>-113412</v>
      </c>
      <c r="F34" s="29">
        <v>-12625</v>
      </c>
      <c r="G34" s="29">
        <v>952</v>
      </c>
      <c r="H34" s="29">
        <v>11618844</v>
      </c>
      <c r="I34" s="28" t="s">
        <v>15</v>
      </c>
      <c r="J34" s="28" t="s">
        <v>15</v>
      </c>
      <c r="K34" s="29">
        <v>105723</v>
      </c>
      <c r="L34" s="28" t="s">
        <v>15</v>
      </c>
      <c r="M34" s="28" t="s">
        <v>15</v>
      </c>
      <c r="N34" s="29">
        <v>11824235</v>
      </c>
    </row>
    <row r="35" spans="1:14" x14ac:dyDescent="0.25">
      <c r="A35" s="259" t="s">
        <v>45</v>
      </c>
      <c r="B35" s="28" t="s">
        <v>15</v>
      </c>
      <c r="C35" s="28" t="s">
        <v>15</v>
      </c>
      <c r="D35" s="28" t="s">
        <v>15</v>
      </c>
      <c r="E35" s="29">
        <v>207514</v>
      </c>
      <c r="F35" s="29">
        <v>71846</v>
      </c>
      <c r="G35" s="28" t="s">
        <v>15</v>
      </c>
      <c r="H35" s="28" t="s">
        <v>15</v>
      </c>
      <c r="I35" s="28" t="s">
        <v>15</v>
      </c>
      <c r="J35" s="28" t="s">
        <v>15</v>
      </c>
      <c r="K35" s="28" t="s">
        <v>15</v>
      </c>
      <c r="L35" s="28" t="s">
        <v>15</v>
      </c>
      <c r="M35" s="28" t="s">
        <v>15</v>
      </c>
      <c r="N35" s="29">
        <v>279360</v>
      </c>
    </row>
    <row r="36" spans="1:14" x14ac:dyDescent="0.25">
      <c r="A36" s="259" t="s">
        <v>46</v>
      </c>
      <c r="B36" s="28" t="s">
        <v>15</v>
      </c>
      <c r="C36" s="28" t="s">
        <v>15</v>
      </c>
      <c r="D36" s="28" t="s">
        <v>15</v>
      </c>
      <c r="E36" s="29">
        <v>109174</v>
      </c>
      <c r="F36" s="29">
        <v>-3038</v>
      </c>
      <c r="G36" s="28" t="s">
        <v>15</v>
      </c>
      <c r="H36" s="28" t="s">
        <v>15</v>
      </c>
      <c r="I36" s="28" t="s">
        <v>15</v>
      </c>
      <c r="J36" s="28" t="s">
        <v>15</v>
      </c>
      <c r="K36" s="28" t="s">
        <v>15</v>
      </c>
      <c r="L36" s="28" t="s">
        <v>15</v>
      </c>
      <c r="M36" s="28" t="s">
        <v>15</v>
      </c>
      <c r="N36" s="29">
        <v>106136</v>
      </c>
    </row>
    <row r="37" spans="1:14" x14ac:dyDescent="0.25">
      <c r="A37" s="259" t="s">
        <v>47</v>
      </c>
      <c r="B37" s="28" t="s">
        <v>15</v>
      </c>
      <c r="C37" s="28" t="s">
        <v>15</v>
      </c>
      <c r="D37" s="28" t="s">
        <v>15</v>
      </c>
      <c r="E37" s="28" t="s">
        <v>15</v>
      </c>
      <c r="F37" s="28" t="s">
        <v>15</v>
      </c>
      <c r="G37" s="28" t="s">
        <v>15</v>
      </c>
      <c r="H37" s="28" t="s">
        <v>15</v>
      </c>
      <c r="I37" s="29">
        <v>624196</v>
      </c>
      <c r="J37" s="28" t="s">
        <v>15</v>
      </c>
      <c r="K37" s="28" t="s">
        <v>15</v>
      </c>
      <c r="L37" s="28" t="s">
        <v>15</v>
      </c>
      <c r="M37" s="28" t="s">
        <v>15</v>
      </c>
      <c r="N37" s="29">
        <v>624196</v>
      </c>
    </row>
    <row r="38" spans="1:14" x14ac:dyDescent="0.25">
      <c r="A38" s="259" t="s">
        <v>322</v>
      </c>
      <c r="B38" s="29">
        <v>0</v>
      </c>
      <c r="C38" s="28" t="s">
        <v>15</v>
      </c>
      <c r="D38" s="28" t="s">
        <v>15</v>
      </c>
      <c r="E38" s="28" t="s">
        <v>15</v>
      </c>
      <c r="F38" s="28" t="s">
        <v>15</v>
      </c>
      <c r="G38" s="28" t="s">
        <v>15</v>
      </c>
      <c r="H38" s="28" t="s">
        <v>15</v>
      </c>
      <c r="I38" s="28" t="s">
        <v>15</v>
      </c>
      <c r="J38" s="28" t="s">
        <v>15</v>
      </c>
      <c r="K38" s="28" t="s">
        <v>15</v>
      </c>
      <c r="L38" s="28" t="s">
        <v>15</v>
      </c>
      <c r="M38" s="28" t="s">
        <v>15</v>
      </c>
      <c r="N38" s="29">
        <v>0</v>
      </c>
    </row>
    <row r="39" spans="1:14" x14ac:dyDescent="0.25">
      <c r="A39" s="259" t="s">
        <v>48</v>
      </c>
      <c r="B39" s="29">
        <v>442</v>
      </c>
      <c r="C39" s="28" t="s">
        <v>15</v>
      </c>
      <c r="D39" s="28" t="s">
        <v>15</v>
      </c>
      <c r="E39" s="28" t="s">
        <v>15</v>
      </c>
      <c r="F39" s="28" t="s">
        <v>15</v>
      </c>
      <c r="G39" s="28" t="s">
        <v>15</v>
      </c>
      <c r="H39" s="28" t="s">
        <v>15</v>
      </c>
      <c r="I39" s="28" t="s">
        <v>15</v>
      </c>
      <c r="J39" s="28" t="s">
        <v>15</v>
      </c>
      <c r="K39" s="28" t="s">
        <v>15</v>
      </c>
      <c r="L39" s="28" t="s">
        <v>15</v>
      </c>
      <c r="M39" s="28" t="s">
        <v>15</v>
      </c>
      <c r="N39" s="29">
        <v>442</v>
      </c>
    </row>
    <row r="40" spans="1:14" x14ac:dyDescent="0.25">
      <c r="A40" s="259"/>
      <c r="B40" s="29"/>
      <c r="C40" s="28"/>
      <c r="D40" s="28"/>
      <c r="E40" s="28"/>
      <c r="F40" s="28"/>
      <c r="G40" s="28"/>
      <c r="H40" s="28"/>
      <c r="I40" s="28"/>
      <c r="J40" s="28"/>
      <c r="K40" s="28"/>
      <c r="L40" s="28"/>
      <c r="M40" s="28"/>
      <c r="N40" s="29"/>
    </row>
    <row r="41" spans="1:14" x14ac:dyDescent="0.25">
      <c r="A41" s="259" t="s">
        <v>49</v>
      </c>
      <c r="B41" s="28" t="s">
        <v>15</v>
      </c>
      <c r="C41" s="28" t="s">
        <v>15</v>
      </c>
      <c r="D41" s="28" t="s">
        <v>15</v>
      </c>
      <c r="E41" s="28" t="s">
        <v>15</v>
      </c>
      <c r="F41" s="28" t="s">
        <v>15</v>
      </c>
      <c r="G41" s="28" t="s">
        <v>15</v>
      </c>
      <c r="H41" s="28" t="s">
        <v>15</v>
      </c>
      <c r="I41" s="29">
        <v>235853</v>
      </c>
      <c r="J41" s="28" t="s">
        <v>15</v>
      </c>
      <c r="K41" s="28" t="s">
        <v>15</v>
      </c>
      <c r="L41" s="28" t="s">
        <v>15</v>
      </c>
      <c r="M41" s="28" t="s">
        <v>15</v>
      </c>
      <c r="N41" s="29">
        <v>235853</v>
      </c>
    </row>
    <row r="42" spans="1:14" x14ac:dyDescent="0.25">
      <c r="A42" s="259" t="s">
        <v>50</v>
      </c>
      <c r="B42" s="29">
        <v>4297</v>
      </c>
      <c r="C42" s="29">
        <v>8938</v>
      </c>
      <c r="D42" s="29">
        <v>370</v>
      </c>
      <c r="E42" s="29">
        <v>19</v>
      </c>
      <c r="F42" s="29">
        <v>3674</v>
      </c>
      <c r="G42" s="29">
        <v>719</v>
      </c>
      <c r="H42" s="29">
        <v>1062</v>
      </c>
      <c r="I42" s="29">
        <v>98</v>
      </c>
      <c r="J42" s="29">
        <v>73</v>
      </c>
      <c r="K42" s="29">
        <v>1320</v>
      </c>
      <c r="L42" s="28" t="s">
        <v>15</v>
      </c>
      <c r="M42" s="28" t="s">
        <v>15</v>
      </c>
      <c r="N42" s="29">
        <v>20571</v>
      </c>
    </row>
    <row r="43" spans="1:14" x14ac:dyDescent="0.25">
      <c r="A43" s="259" t="s">
        <v>51</v>
      </c>
      <c r="B43" s="29">
        <v>1378</v>
      </c>
      <c r="C43" s="29">
        <v>241</v>
      </c>
      <c r="D43" s="29">
        <v>1</v>
      </c>
      <c r="E43" s="29">
        <v>3</v>
      </c>
      <c r="F43" s="29">
        <v>184</v>
      </c>
      <c r="G43" s="29">
        <v>135</v>
      </c>
      <c r="H43" s="29">
        <v>222</v>
      </c>
      <c r="I43" s="28" t="s">
        <v>15</v>
      </c>
      <c r="J43" s="29">
        <v>5</v>
      </c>
      <c r="K43" s="29">
        <v>310</v>
      </c>
      <c r="L43" s="28" t="s">
        <v>15</v>
      </c>
      <c r="M43" s="28" t="s">
        <v>15</v>
      </c>
      <c r="N43" s="29">
        <v>2479</v>
      </c>
    </row>
    <row r="44" spans="1:14" x14ac:dyDescent="0.25">
      <c r="A44" s="259" t="s">
        <v>52</v>
      </c>
      <c r="B44" s="29">
        <v>507</v>
      </c>
      <c r="C44" s="29">
        <v>618</v>
      </c>
      <c r="D44" s="29">
        <v>1</v>
      </c>
      <c r="E44" s="29">
        <v>74</v>
      </c>
      <c r="F44" s="29">
        <v>435</v>
      </c>
      <c r="G44" s="29">
        <v>562</v>
      </c>
      <c r="H44" s="29">
        <v>365</v>
      </c>
      <c r="I44" s="28" t="s">
        <v>15</v>
      </c>
      <c r="J44" s="29">
        <v>20</v>
      </c>
      <c r="K44" s="29">
        <v>239</v>
      </c>
      <c r="L44" s="28" t="s">
        <v>15</v>
      </c>
      <c r="M44" s="28" t="s">
        <v>15</v>
      </c>
      <c r="N44" s="29">
        <v>2821</v>
      </c>
    </row>
    <row r="45" spans="1:14" x14ac:dyDescent="0.25">
      <c r="A45" s="259" t="s">
        <v>53</v>
      </c>
      <c r="B45" s="29">
        <v>7902</v>
      </c>
      <c r="C45" s="29">
        <v>288</v>
      </c>
      <c r="D45" s="28" t="s">
        <v>15</v>
      </c>
      <c r="E45" s="28" t="s">
        <v>15</v>
      </c>
      <c r="F45" s="28" t="s">
        <v>15</v>
      </c>
      <c r="G45" s="28" t="s">
        <v>15</v>
      </c>
      <c r="H45" s="29">
        <v>154</v>
      </c>
      <c r="I45" s="28" t="s">
        <v>15</v>
      </c>
      <c r="J45" s="29">
        <v>468</v>
      </c>
      <c r="K45" s="29">
        <v>1362</v>
      </c>
      <c r="L45" s="28" t="s">
        <v>15</v>
      </c>
      <c r="M45" s="28" t="s">
        <v>15</v>
      </c>
      <c r="N45" s="29">
        <v>10176</v>
      </c>
    </row>
    <row r="46" spans="1:14" x14ac:dyDescent="0.25">
      <c r="A46" s="259" t="s">
        <v>54</v>
      </c>
      <c r="B46" s="29">
        <v>7834</v>
      </c>
      <c r="C46" s="29">
        <v>1135</v>
      </c>
      <c r="D46" s="29">
        <v>7</v>
      </c>
      <c r="E46" s="29">
        <v>0</v>
      </c>
      <c r="F46" s="29">
        <v>-840</v>
      </c>
      <c r="G46" s="28" t="s">
        <v>15</v>
      </c>
      <c r="H46" s="29">
        <v>790</v>
      </c>
      <c r="I46" s="28" t="s">
        <v>15</v>
      </c>
      <c r="J46" s="29">
        <v>52</v>
      </c>
      <c r="K46" s="29">
        <v>559</v>
      </c>
      <c r="L46" s="28" t="s">
        <v>15</v>
      </c>
      <c r="M46" s="28" t="s">
        <v>15</v>
      </c>
      <c r="N46" s="29">
        <v>9537</v>
      </c>
    </row>
    <row r="47" spans="1:14" x14ac:dyDescent="0.25">
      <c r="A47" s="259" t="s">
        <v>55</v>
      </c>
      <c r="B47" s="29">
        <v>4434</v>
      </c>
      <c r="C47" s="29">
        <v>133</v>
      </c>
      <c r="D47" s="28" t="s">
        <v>15</v>
      </c>
      <c r="E47" s="29">
        <v>75</v>
      </c>
      <c r="F47" s="28" t="s">
        <v>15</v>
      </c>
      <c r="G47" s="28" t="s">
        <v>15</v>
      </c>
      <c r="H47" s="28" t="s">
        <v>15</v>
      </c>
      <c r="I47" s="28" t="s">
        <v>15</v>
      </c>
      <c r="J47" s="29">
        <v>1063</v>
      </c>
      <c r="K47" s="29">
        <v>271</v>
      </c>
      <c r="L47" s="28" t="s">
        <v>15</v>
      </c>
      <c r="M47" s="28" t="s">
        <v>15</v>
      </c>
      <c r="N47" s="29">
        <v>5976</v>
      </c>
    </row>
    <row r="48" spans="1:14" x14ac:dyDescent="0.25">
      <c r="A48" s="259" t="s">
        <v>56</v>
      </c>
      <c r="B48" s="28" t="s">
        <v>15</v>
      </c>
      <c r="C48" s="28" t="s">
        <v>15</v>
      </c>
      <c r="D48" s="28" t="s">
        <v>15</v>
      </c>
      <c r="E48" s="28" t="s">
        <v>15</v>
      </c>
      <c r="F48" s="28" t="s">
        <v>15</v>
      </c>
      <c r="G48" s="29">
        <v>0</v>
      </c>
      <c r="H48" s="28" t="s">
        <v>15</v>
      </c>
      <c r="I48" s="28" t="s">
        <v>15</v>
      </c>
      <c r="J48" s="28" t="s">
        <v>15</v>
      </c>
      <c r="K48" s="28" t="s">
        <v>15</v>
      </c>
      <c r="L48" s="28" t="s">
        <v>15</v>
      </c>
      <c r="M48" s="28" t="s">
        <v>15</v>
      </c>
      <c r="N48" s="29">
        <v>0</v>
      </c>
    </row>
    <row r="49" spans="1:14" x14ac:dyDescent="0.25">
      <c r="A49" s="259" t="s">
        <v>57</v>
      </c>
      <c r="B49" s="28" t="s">
        <v>15</v>
      </c>
      <c r="C49" s="28" t="s">
        <v>15</v>
      </c>
      <c r="D49" s="28" t="s">
        <v>15</v>
      </c>
      <c r="E49" s="28" t="s">
        <v>15</v>
      </c>
      <c r="F49" s="28" t="s">
        <v>15</v>
      </c>
      <c r="G49" s="28" t="s">
        <v>15</v>
      </c>
      <c r="H49" s="28" t="s">
        <v>15</v>
      </c>
      <c r="I49" s="29">
        <v>213801</v>
      </c>
      <c r="J49" s="28" t="s">
        <v>15</v>
      </c>
      <c r="K49" s="28" t="s">
        <v>15</v>
      </c>
      <c r="L49" s="28" t="s">
        <v>15</v>
      </c>
      <c r="M49" s="28" t="s">
        <v>15</v>
      </c>
      <c r="N49" s="29">
        <v>213801</v>
      </c>
    </row>
    <row r="50" spans="1:14" x14ac:dyDescent="0.25">
      <c r="A50" s="259" t="s">
        <v>58</v>
      </c>
      <c r="B50" s="28" t="s">
        <v>15</v>
      </c>
      <c r="C50" s="28" t="s">
        <v>15</v>
      </c>
      <c r="D50" s="28" t="s">
        <v>15</v>
      </c>
      <c r="E50" s="28" t="s">
        <v>15</v>
      </c>
      <c r="F50" s="28" t="s">
        <v>15</v>
      </c>
      <c r="G50" s="28" t="s">
        <v>15</v>
      </c>
      <c r="H50" s="28" t="s">
        <v>15</v>
      </c>
      <c r="I50" s="29">
        <v>305550</v>
      </c>
      <c r="J50" s="28" t="s">
        <v>15</v>
      </c>
      <c r="K50" s="28" t="s">
        <v>15</v>
      </c>
      <c r="L50" s="28" t="s">
        <v>15</v>
      </c>
      <c r="M50" s="28" t="s">
        <v>15</v>
      </c>
      <c r="N50" s="29">
        <v>305550</v>
      </c>
    </row>
    <row r="51" spans="1:14" x14ac:dyDescent="0.25">
      <c r="A51" s="259" t="s">
        <v>59</v>
      </c>
      <c r="B51" s="28" t="s">
        <v>15</v>
      </c>
      <c r="C51" s="28" t="s">
        <v>15</v>
      </c>
      <c r="D51" s="29">
        <v>98871</v>
      </c>
      <c r="E51" s="29">
        <v>729121</v>
      </c>
      <c r="F51" s="28" t="s">
        <v>15</v>
      </c>
      <c r="G51" s="28" t="s">
        <v>15</v>
      </c>
      <c r="H51" s="28" t="s">
        <v>15</v>
      </c>
      <c r="I51" s="28" t="s">
        <v>15</v>
      </c>
      <c r="J51" s="28" t="s">
        <v>15</v>
      </c>
      <c r="K51" s="28" t="s">
        <v>15</v>
      </c>
      <c r="L51" s="28" t="s">
        <v>15</v>
      </c>
      <c r="M51" s="28" t="s">
        <v>15</v>
      </c>
      <c r="N51" s="29">
        <v>827991</v>
      </c>
    </row>
    <row r="52" spans="1:14" x14ac:dyDescent="0.25">
      <c r="A52" s="259" t="s">
        <v>60</v>
      </c>
      <c r="B52" s="29">
        <v>10</v>
      </c>
      <c r="C52" s="28" t="s">
        <v>15</v>
      </c>
      <c r="D52" s="29">
        <v>181325</v>
      </c>
      <c r="E52" s="29">
        <v>400949</v>
      </c>
      <c r="F52" s="28" t="s">
        <v>15</v>
      </c>
      <c r="G52" s="28" t="s">
        <v>15</v>
      </c>
      <c r="H52" s="28" t="s">
        <v>15</v>
      </c>
      <c r="I52" s="28" t="s">
        <v>15</v>
      </c>
      <c r="J52" s="28" t="s">
        <v>15</v>
      </c>
      <c r="K52" s="28" t="s">
        <v>15</v>
      </c>
      <c r="L52" s="28" t="s">
        <v>15</v>
      </c>
      <c r="M52" s="28" t="s">
        <v>15</v>
      </c>
      <c r="N52" s="29">
        <v>582284</v>
      </c>
    </row>
    <row r="53" spans="1:14" x14ac:dyDescent="0.25">
      <c r="A53" s="259" t="s">
        <v>61</v>
      </c>
      <c r="B53" s="29">
        <v>5413</v>
      </c>
      <c r="C53" s="29">
        <v>27776</v>
      </c>
      <c r="D53" s="29">
        <v>2028</v>
      </c>
      <c r="E53" s="29">
        <v>2320</v>
      </c>
      <c r="F53" s="29">
        <v>18373</v>
      </c>
      <c r="G53" s="29">
        <v>15553</v>
      </c>
      <c r="H53" s="29">
        <v>10635</v>
      </c>
      <c r="I53" s="28" t="s">
        <v>15</v>
      </c>
      <c r="J53" s="29">
        <v>22135</v>
      </c>
      <c r="K53" s="29">
        <v>3771</v>
      </c>
      <c r="L53" s="28" t="s">
        <v>15</v>
      </c>
      <c r="M53" s="28" t="s">
        <v>15</v>
      </c>
      <c r="N53" s="29">
        <v>108003</v>
      </c>
    </row>
    <row r="54" spans="1:14" x14ac:dyDescent="0.25">
      <c r="A54" s="259" t="s">
        <v>62</v>
      </c>
      <c r="B54" s="29">
        <v>5413</v>
      </c>
      <c r="C54" s="29">
        <v>27856</v>
      </c>
      <c r="D54" s="29">
        <v>2028</v>
      </c>
      <c r="E54" s="29">
        <v>2320</v>
      </c>
      <c r="F54" s="29">
        <v>18356</v>
      </c>
      <c r="G54" s="29">
        <v>15553</v>
      </c>
      <c r="H54" s="29">
        <v>10635</v>
      </c>
      <c r="I54" s="28" t="s">
        <v>15</v>
      </c>
      <c r="J54" s="29">
        <v>22137</v>
      </c>
      <c r="K54" s="29">
        <v>3771</v>
      </c>
      <c r="L54" s="28" t="s">
        <v>15</v>
      </c>
      <c r="M54" s="28" t="s">
        <v>15</v>
      </c>
      <c r="N54" s="29">
        <v>108070</v>
      </c>
    </row>
    <row r="55" spans="1:14" x14ac:dyDescent="0.25">
      <c r="A55" s="259" t="s">
        <v>321</v>
      </c>
      <c r="B55" s="29">
        <v>0</v>
      </c>
      <c r="C55" s="28" t="s">
        <v>15</v>
      </c>
      <c r="D55" s="29">
        <v>0</v>
      </c>
      <c r="E55" s="28" t="s">
        <v>15</v>
      </c>
      <c r="F55" s="28" t="s">
        <v>15</v>
      </c>
      <c r="G55" s="28" t="s">
        <v>15</v>
      </c>
      <c r="H55" s="28" t="s">
        <v>15</v>
      </c>
      <c r="I55" s="28" t="s">
        <v>15</v>
      </c>
      <c r="J55" s="29">
        <v>8</v>
      </c>
      <c r="K55" s="28" t="s">
        <v>15</v>
      </c>
      <c r="L55" s="28" t="s">
        <v>15</v>
      </c>
      <c r="M55" s="28" t="s">
        <v>15</v>
      </c>
      <c r="N55" s="29">
        <v>8</v>
      </c>
    </row>
    <row r="56" spans="1:14" x14ac:dyDescent="0.25">
      <c r="A56" s="259" t="s">
        <v>63</v>
      </c>
      <c r="B56" s="29">
        <v>1740</v>
      </c>
      <c r="C56" s="29">
        <v>7353</v>
      </c>
      <c r="D56" s="29">
        <v>8919</v>
      </c>
      <c r="E56" s="29">
        <v>8820</v>
      </c>
      <c r="F56" s="29">
        <v>40511</v>
      </c>
      <c r="G56" s="29">
        <v>15388</v>
      </c>
      <c r="H56" s="29">
        <v>12100</v>
      </c>
      <c r="I56" s="29">
        <v>0</v>
      </c>
      <c r="J56" s="29">
        <v>2396</v>
      </c>
      <c r="K56" s="29">
        <v>1045</v>
      </c>
      <c r="L56" s="28" t="s">
        <v>15</v>
      </c>
      <c r="M56" s="28" t="s">
        <v>15</v>
      </c>
      <c r="N56" s="29">
        <v>98272</v>
      </c>
    </row>
    <row r="57" spans="1:14" x14ac:dyDescent="0.25">
      <c r="A57" s="259"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59" t="s">
        <v>65</v>
      </c>
      <c r="B58" s="29">
        <v>25322</v>
      </c>
      <c r="C58" s="29">
        <v>8697</v>
      </c>
      <c r="D58" s="29">
        <v>61</v>
      </c>
      <c r="E58" s="29">
        <v>72</v>
      </c>
      <c r="F58" s="29">
        <v>279148</v>
      </c>
      <c r="G58" s="29">
        <v>158</v>
      </c>
      <c r="H58" s="29">
        <v>3167</v>
      </c>
      <c r="I58" s="29">
        <v>40939</v>
      </c>
      <c r="J58" s="29">
        <v>-47441</v>
      </c>
      <c r="K58" s="29">
        <v>816703</v>
      </c>
      <c r="L58" s="29">
        <v>41186266</v>
      </c>
      <c r="M58" s="29">
        <v>17085833</v>
      </c>
      <c r="N58" s="29">
        <v>59398924</v>
      </c>
    </row>
    <row r="59" spans="1:14" x14ac:dyDescent="0.25">
      <c r="A59" s="259" t="s">
        <v>66</v>
      </c>
      <c r="B59" s="29">
        <v>2417635</v>
      </c>
      <c r="C59" s="29">
        <v>5790166</v>
      </c>
      <c r="D59" s="29">
        <v>1655063</v>
      </c>
      <c r="E59" s="29">
        <v>2935348</v>
      </c>
      <c r="F59" s="29">
        <v>3463331</v>
      </c>
      <c r="G59" s="29">
        <v>5901181</v>
      </c>
      <c r="H59" s="29">
        <v>17458678</v>
      </c>
      <c r="I59" s="29">
        <v>5036042</v>
      </c>
      <c r="J59" s="29">
        <v>2610098</v>
      </c>
      <c r="K59" s="29">
        <v>2435529</v>
      </c>
      <c r="L59" s="29">
        <v>42819116</v>
      </c>
      <c r="M59" s="29">
        <v>17085833</v>
      </c>
      <c r="N59" s="29">
        <v>109608019</v>
      </c>
    </row>
    <row r="60" spans="1:14" x14ac:dyDescent="0.25">
      <c r="A60" s="259" t="s">
        <v>67</v>
      </c>
      <c r="B60" s="29">
        <v>842</v>
      </c>
      <c r="C60" s="29">
        <v>3578</v>
      </c>
      <c r="D60" s="29">
        <v>-7038</v>
      </c>
      <c r="E60" s="29">
        <v>3791</v>
      </c>
      <c r="F60" s="29">
        <v>15608</v>
      </c>
      <c r="G60" s="29">
        <v>9408</v>
      </c>
      <c r="H60" s="29">
        <v>42</v>
      </c>
      <c r="I60" s="29">
        <v>18232</v>
      </c>
      <c r="J60" s="29">
        <v>11</v>
      </c>
      <c r="K60" s="29">
        <v>0</v>
      </c>
      <c r="L60" s="29">
        <v>41181152</v>
      </c>
      <c r="M60" s="29">
        <v>0</v>
      </c>
      <c r="N60" s="29">
        <v>41225626</v>
      </c>
    </row>
    <row r="61" spans="1:14" x14ac:dyDescent="0.25">
      <c r="A61" s="259" t="s">
        <v>68</v>
      </c>
      <c r="B61" s="29">
        <v>2416793</v>
      </c>
      <c r="C61" s="29">
        <v>5786588</v>
      </c>
      <c r="D61" s="29">
        <v>1662100</v>
      </c>
      <c r="E61" s="29">
        <v>2931557</v>
      </c>
      <c r="F61" s="29">
        <v>3447722</v>
      </c>
      <c r="G61" s="29">
        <v>5891773</v>
      </c>
      <c r="H61" s="29">
        <v>17458636</v>
      </c>
      <c r="I61" s="29">
        <v>5017810</v>
      </c>
      <c r="J61" s="29">
        <v>2610087</v>
      </c>
      <c r="K61" s="29">
        <v>2435529</v>
      </c>
      <c r="L61" s="29">
        <v>1637963</v>
      </c>
      <c r="M61" s="29">
        <v>17085833</v>
      </c>
      <c r="N61" s="29">
        <v>68382393</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workbookViewId="0">
      <selection activeCell="O21" sqref="O21"/>
    </sheetView>
  </sheetViews>
  <sheetFormatPr defaultRowHeight="15" x14ac:dyDescent="0.25"/>
  <cols>
    <col min="1" max="1" width="14.7109375" style="262" customWidth="1"/>
    <col min="2" max="13" width="10.85546875" style="262" customWidth="1"/>
    <col min="14" max="14" width="10.140625" style="262" customWidth="1"/>
    <col min="15" max="256" width="9.140625" style="262"/>
    <col min="257" max="257" width="14.7109375" style="262" customWidth="1"/>
    <col min="258" max="269" width="10.85546875" style="262" customWidth="1"/>
    <col min="270" max="270" width="10.140625" style="262" customWidth="1"/>
    <col min="271" max="512" width="9.140625" style="262"/>
    <col min="513" max="513" width="14.7109375" style="262" customWidth="1"/>
    <col min="514" max="525" width="10.85546875" style="262" customWidth="1"/>
    <col min="526" max="526" width="10.140625" style="262" customWidth="1"/>
    <col min="527" max="768" width="9.140625" style="262"/>
    <col min="769" max="769" width="14.7109375" style="262" customWidth="1"/>
    <col min="770" max="781" width="10.85546875" style="262" customWidth="1"/>
    <col min="782" max="782" width="10.140625" style="262" customWidth="1"/>
    <col min="783" max="1024" width="9.140625" style="262"/>
    <col min="1025" max="1025" width="14.7109375" style="262" customWidth="1"/>
    <col min="1026" max="1037" width="10.85546875" style="262" customWidth="1"/>
    <col min="1038" max="1038" width="10.140625" style="262" customWidth="1"/>
    <col min="1039" max="1280" width="9.140625" style="262"/>
    <col min="1281" max="1281" width="14.7109375" style="262" customWidth="1"/>
    <col min="1282" max="1293" width="10.85546875" style="262" customWidth="1"/>
    <col min="1294" max="1294" width="10.140625" style="262" customWidth="1"/>
    <col min="1295" max="1536" width="9.140625" style="262"/>
    <col min="1537" max="1537" width="14.7109375" style="262" customWidth="1"/>
    <col min="1538" max="1549" width="10.85546875" style="262" customWidth="1"/>
    <col min="1550" max="1550" width="10.140625" style="262" customWidth="1"/>
    <col min="1551" max="1792" width="9.140625" style="262"/>
    <col min="1793" max="1793" width="14.7109375" style="262" customWidth="1"/>
    <col min="1794" max="1805" width="10.85546875" style="262" customWidth="1"/>
    <col min="1806" max="1806" width="10.140625" style="262" customWidth="1"/>
    <col min="1807" max="2048" width="9.140625" style="262"/>
    <col min="2049" max="2049" width="14.7109375" style="262" customWidth="1"/>
    <col min="2050" max="2061" width="10.85546875" style="262" customWidth="1"/>
    <col min="2062" max="2062" width="10.140625" style="262" customWidth="1"/>
    <col min="2063" max="2304" width="9.140625" style="262"/>
    <col min="2305" max="2305" width="14.7109375" style="262" customWidth="1"/>
    <col min="2306" max="2317" width="10.85546875" style="262" customWidth="1"/>
    <col min="2318" max="2318" width="10.140625" style="262" customWidth="1"/>
    <col min="2319" max="2560" width="9.140625" style="262"/>
    <col min="2561" max="2561" width="14.7109375" style="262" customWidth="1"/>
    <col min="2562" max="2573" width="10.85546875" style="262" customWidth="1"/>
    <col min="2574" max="2574" width="10.140625" style="262" customWidth="1"/>
    <col min="2575" max="2816" width="9.140625" style="262"/>
    <col min="2817" max="2817" width="14.7109375" style="262" customWidth="1"/>
    <col min="2818" max="2829" width="10.85546875" style="262" customWidth="1"/>
    <col min="2830" max="2830" width="10.140625" style="262" customWidth="1"/>
    <col min="2831" max="3072" width="9.140625" style="262"/>
    <col min="3073" max="3073" width="14.7109375" style="262" customWidth="1"/>
    <col min="3074" max="3085" width="10.85546875" style="262" customWidth="1"/>
    <col min="3086" max="3086" width="10.140625" style="262" customWidth="1"/>
    <col min="3087" max="3328" width="9.140625" style="262"/>
    <col min="3329" max="3329" width="14.7109375" style="262" customWidth="1"/>
    <col min="3330" max="3341" width="10.85546875" style="262" customWidth="1"/>
    <col min="3342" max="3342" width="10.140625" style="262" customWidth="1"/>
    <col min="3343" max="3584" width="9.140625" style="262"/>
    <col min="3585" max="3585" width="14.7109375" style="262" customWidth="1"/>
    <col min="3586" max="3597" width="10.85546875" style="262" customWidth="1"/>
    <col min="3598" max="3598" width="10.140625" style="262" customWidth="1"/>
    <col min="3599" max="3840" width="9.140625" style="262"/>
    <col min="3841" max="3841" width="14.7109375" style="262" customWidth="1"/>
    <col min="3842" max="3853" width="10.85546875" style="262" customWidth="1"/>
    <col min="3854" max="3854" width="10.140625" style="262" customWidth="1"/>
    <col min="3855" max="4096" width="9.140625" style="262"/>
    <col min="4097" max="4097" width="14.7109375" style="262" customWidth="1"/>
    <col min="4098" max="4109" width="10.85546875" style="262" customWidth="1"/>
    <col min="4110" max="4110" width="10.140625" style="262" customWidth="1"/>
    <col min="4111" max="4352" width="9.140625" style="262"/>
    <col min="4353" max="4353" width="14.7109375" style="262" customWidth="1"/>
    <col min="4354" max="4365" width="10.85546875" style="262" customWidth="1"/>
    <col min="4366" max="4366" width="10.140625" style="262" customWidth="1"/>
    <col min="4367" max="4608" width="9.140625" style="262"/>
    <col min="4609" max="4609" width="14.7109375" style="262" customWidth="1"/>
    <col min="4610" max="4621" width="10.85546875" style="262" customWidth="1"/>
    <col min="4622" max="4622" width="10.140625" style="262" customWidth="1"/>
    <col min="4623" max="4864" width="9.140625" style="262"/>
    <col min="4865" max="4865" width="14.7109375" style="262" customWidth="1"/>
    <col min="4866" max="4877" width="10.85546875" style="262" customWidth="1"/>
    <col min="4878" max="4878" width="10.140625" style="262" customWidth="1"/>
    <col min="4879" max="5120" width="9.140625" style="262"/>
    <col min="5121" max="5121" width="14.7109375" style="262" customWidth="1"/>
    <col min="5122" max="5133" width="10.85546875" style="262" customWidth="1"/>
    <col min="5134" max="5134" width="10.140625" style="262" customWidth="1"/>
    <col min="5135" max="5376" width="9.140625" style="262"/>
    <col min="5377" max="5377" width="14.7109375" style="262" customWidth="1"/>
    <col min="5378" max="5389" width="10.85546875" style="262" customWidth="1"/>
    <col min="5390" max="5390" width="10.140625" style="262" customWidth="1"/>
    <col min="5391" max="5632" width="9.140625" style="262"/>
    <col min="5633" max="5633" width="14.7109375" style="262" customWidth="1"/>
    <col min="5634" max="5645" width="10.85546875" style="262" customWidth="1"/>
    <col min="5646" max="5646" width="10.140625" style="262" customWidth="1"/>
    <col min="5647" max="5888" width="9.140625" style="262"/>
    <col min="5889" max="5889" width="14.7109375" style="262" customWidth="1"/>
    <col min="5890" max="5901" width="10.85546875" style="262" customWidth="1"/>
    <col min="5902" max="5902" width="10.140625" style="262" customWidth="1"/>
    <col min="5903" max="6144" width="9.140625" style="262"/>
    <col min="6145" max="6145" width="14.7109375" style="262" customWidth="1"/>
    <col min="6146" max="6157" width="10.85546875" style="262" customWidth="1"/>
    <col min="6158" max="6158" width="10.140625" style="262" customWidth="1"/>
    <col min="6159" max="6400" width="9.140625" style="262"/>
    <col min="6401" max="6401" width="14.7109375" style="262" customWidth="1"/>
    <col min="6402" max="6413" width="10.85546875" style="262" customWidth="1"/>
    <col min="6414" max="6414" width="10.140625" style="262" customWidth="1"/>
    <col min="6415" max="6656" width="9.140625" style="262"/>
    <col min="6657" max="6657" width="14.7109375" style="262" customWidth="1"/>
    <col min="6658" max="6669" width="10.85546875" style="262" customWidth="1"/>
    <col min="6670" max="6670" width="10.140625" style="262" customWidth="1"/>
    <col min="6671" max="6912" width="9.140625" style="262"/>
    <col min="6913" max="6913" width="14.7109375" style="262" customWidth="1"/>
    <col min="6914" max="6925" width="10.85546875" style="262" customWidth="1"/>
    <col min="6926" max="6926" width="10.140625" style="262" customWidth="1"/>
    <col min="6927" max="7168" width="9.140625" style="262"/>
    <col min="7169" max="7169" width="14.7109375" style="262" customWidth="1"/>
    <col min="7170" max="7181" width="10.85546875" style="262" customWidth="1"/>
    <col min="7182" max="7182" width="10.140625" style="262" customWidth="1"/>
    <col min="7183" max="7424" width="9.140625" style="262"/>
    <col min="7425" max="7425" width="14.7109375" style="262" customWidth="1"/>
    <col min="7426" max="7437" width="10.85546875" style="262" customWidth="1"/>
    <col min="7438" max="7438" width="10.140625" style="262" customWidth="1"/>
    <col min="7439" max="7680" width="9.140625" style="262"/>
    <col min="7681" max="7681" width="14.7109375" style="262" customWidth="1"/>
    <col min="7682" max="7693" width="10.85546875" style="262" customWidth="1"/>
    <col min="7694" max="7694" width="10.140625" style="262" customWidth="1"/>
    <col min="7695" max="7936" width="9.140625" style="262"/>
    <col min="7937" max="7937" width="14.7109375" style="262" customWidth="1"/>
    <col min="7938" max="7949" width="10.85546875" style="262" customWidth="1"/>
    <col min="7950" max="7950" width="10.140625" style="262" customWidth="1"/>
    <col min="7951" max="8192" width="9.140625" style="262"/>
    <col min="8193" max="8193" width="14.7109375" style="262" customWidth="1"/>
    <col min="8194" max="8205" width="10.85546875" style="262" customWidth="1"/>
    <col min="8206" max="8206" width="10.140625" style="262" customWidth="1"/>
    <col min="8207" max="8448" width="9.140625" style="262"/>
    <col min="8449" max="8449" width="14.7109375" style="262" customWidth="1"/>
    <col min="8450" max="8461" width="10.85546875" style="262" customWidth="1"/>
    <col min="8462" max="8462" width="10.140625" style="262" customWidth="1"/>
    <col min="8463" max="8704" width="9.140625" style="262"/>
    <col min="8705" max="8705" width="14.7109375" style="262" customWidth="1"/>
    <col min="8706" max="8717" width="10.85546875" style="262" customWidth="1"/>
    <col min="8718" max="8718" width="10.140625" style="262" customWidth="1"/>
    <col min="8719" max="8960" width="9.140625" style="262"/>
    <col min="8961" max="8961" width="14.7109375" style="262" customWidth="1"/>
    <col min="8962" max="8973" width="10.85546875" style="262" customWidth="1"/>
    <col min="8974" max="8974" width="10.140625" style="262" customWidth="1"/>
    <col min="8975" max="9216" width="9.140625" style="262"/>
    <col min="9217" max="9217" width="14.7109375" style="262" customWidth="1"/>
    <col min="9218" max="9229" width="10.85546875" style="262" customWidth="1"/>
    <col min="9230" max="9230" width="10.140625" style="262" customWidth="1"/>
    <col min="9231" max="9472" width="9.140625" style="262"/>
    <col min="9473" max="9473" width="14.7109375" style="262" customWidth="1"/>
    <col min="9474" max="9485" width="10.85546875" style="262" customWidth="1"/>
    <col min="9486" max="9486" width="10.140625" style="262" customWidth="1"/>
    <col min="9487" max="9728" width="9.140625" style="262"/>
    <col min="9729" max="9729" width="14.7109375" style="262" customWidth="1"/>
    <col min="9730" max="9741" width="10.85546875" style="262" customWidth="1"/>
    <col min="9742" max="9742" width="10.140625" style="262" customWidth="1"/>
    <col min="9743" max="9984" width="9.140625" style="262"/>
    <col min="9985" max="9985" width="14.7109375" style="262" customWidth="1"/>
    <col min="9986" max="9997" width="10.85546875" style="262" customWidth="1"/>
    <col min="9998" max="9998" width="10.140625" style="262" customWidth="1"/>
    <col min="9999" max="10240" width="9.140625" style="262"/>
    <col min="10241" max="10241" width="14.7109375" style="262" customWidth="1"/>
    <col min="10242" max="10253" width="10.85546875" style="262" customWidth="1"/>
    <col min="10254" max="10254" width="10.140625" style="262" customWidth="1"/>
    <col min="10255" max="10496" width="9.140625" style="262"/>
    <col min="10497" max="10497" width="14.7109375" style="262" customWidth="1"/>
    <col min="10498" max="10509" width="10.85546875" style="262" customWidth="1"/>
    <col min="10510" max="10510" width="10.140625" style="262" customWidth="1"/>
    <col min="10511" max="10752" width="9.140625" style="262"/>
    <col min="10753" max="10753" width="14.7109375" style="262" customWidth="1"/>
    <col min="10754" max="10765" width="10.85546875" style="262" customWidth="1"/>
    <col min="10766" max="10766" width="10.140625" style="262" customWidth="1"/>
    <col min="10767" max="11008" width="9.140625" style="262"/>
    <col min="11009" max="11009" width="14.7109375" style="262" customWidth="1"/>
    <col min="11010" max="11021" width="10.85546875" style="262" customWidth="1"/>
    <col min="11022" max="11022" width="10.140625" style="262" customWidth="1"/>
    <col min="11023" max="11264" width="9.140625" style="262"/>
    <col min="11265" max="11265" width="14.7109375" style="262" customWidth="1"/>
    <col min="11266" max="11277" width="10.85546875" style="262" customWidth="1"/>
    <col min="11278" max="11278" width="10.140625" style="262" customWidth="1"/>
    <col min="11279" max="11520" width="9.140625" style="262"/>
    <col min="11521" max="11521" width="14.7109375" style="262" customWidth="1"/>
    <col min="11522" max="11533" width="10.85546875" style="262" customWidth="1"/>
    <col min="11534" max="11534" width="10.140625" style="262" customWidth="1"/>
    <col min="11535" max="11776" width="9.140625" style="262"/>
    <col min="11777" max="11777" width="14.7109375" style="262" customWidth="1"/>
    <col min="11778" max="11789" width="10.85546875" style="262" customWidth="1"/>
    <col min="11790" max="11790" width="10.140625" style="262" customWidth="1"/>
    <col min="11791" max="12032" width="9.140625" style="262"/>
    <col min="12033" max="12033" width="14.7109375" style="262" customWidth="1"/>
    <col min="12034" max="12045" width="10.85546875" style="262" customWidth="1"/>
    <col min="12046" max="12046" width="10.140625" style="262" customWidth="1"/>
    <col min="12047" max="12288" width="9.140625" style="262"/>
    <col min="12289" max="12289" width="14.7109375" style="262" customWidth="1"/>
    <col min="12290" max="12301" width="10.85546875" style="262" customWidth="1"/>
    <col min="12302" max="12302" width="10.140625" style="262" customWidth="1"/>
    <col min="12303" max="12544" width="9.140625" style="262"/>
    <col min="12545" max="12545" width="14.7109375" style="262" customWidth="1"/>
    <col min="12546" max="12557" width="10.85546875" style="262" customWidth="1"/>
    <col min="12558" max="12558" width="10.140625" style="262" customWidth="1"/>
    <col min="12559" max="12800" width="9.140625" style="262"/>
    <col min="12801" max="12801" width="14.7109375" style="262" customWidth="1"/>
    <col min="12802" max="12813" width="10.85546875" style="262" customWidth="1"/>
    <col min="12814" max="12814" width="10.140625" style="262" customWidth="1"/>
    <col min="12815" max="13056" width="9.140625" style="262"/>
    <col min="13057" max="13057" width="14.7109375" style="262" customWidth="1"/>
    <col min="13058" max="13069" width="10.85546875" style="262" customWidth="1"/>
    <col min="13070" max="13070" width="10.140625" style="262" customWidth="1"/>
    <col min="13071" max="13312" width="9.140625" style="262"/>
    <col min="13313" max="13313" width="14.7109375" style="262" customWidth="1"/>
    <col min="13314" max="13325" width="10.85546875" style="262" customWidth="1"/>
    <col min="13326" max="13326" width="10.140625" style="262" customWidth="1"/>
    <col min="13327" max="13568" width="9.140625" style="262"/>
    <col min="13569" max="13569" width="14.7109375" style="262" customWidth="1"/>
    <col min="13570" max="13581" width="10.85546875" style="262" customWidth="1"/>
    <col min="13582" max="13582" width="10.140625" style="262" customWidth="1"/>
    <col min="13583" max="13824" width="9.140625" style="262"/>
    <col min="13825" max="13825" width="14.7109375" style="262" customWidth="1"/>
    <col min="13826" max="13837" width="10.85546875" style="262" customWidth="1"/>
    <col min="13838" max="13838" width="10.140625" style="262" customWidth="1"/>
    <col min="13839" max="14080" width="9.140625" style="262"/>
    <col min="14081" max="14081" width="14.7109375" style="262" customWidth="1"/>
    <col min="14082" max="14093" width="10.85546875" style="262" customWidth="1"/>
    <col min="14094" max="14094" width="10.140625" style="262" customWidth="1"/>
    <col min="14095" max="14336" width="9.140625" style="262"/>
    <col min="14337" max="14337" width="14.7109375" style="262" customWidth="1"/>
    <col min="14338" max="14349" width="10.85546875" style="262" customWidth="1"/>
    <col min="14350" max="14350" width="10.140625" style="262" customWidth="1"/>
    <col min="14351" max="14592" width="9.140625" style="262"/>
    <col min="14593" max="14593" width="14.7109375" style="262" customWidth="1"/>
    <col min="14594" max="14605" width="10.85546875" style="262" customWidth="1"/>
    <col min="14606" max="14606" width="10.140625" style="262" customWidth="1"/>
    <col min="14607" max="14848" width="9.140625" style="262"/>
    <col min="14849" max="14849" width="14.7109375" style="262" customWidth="1"/>
    <col min="14850" max="14861" width="10.85546875" style="262" customWidth="1"/>
    <col min="14862" max="14862" width="10.140625" style="262" customWidth="1"/>
    <col min="14863" max="15104" width="9.140625" style="262"/>
    <col min="15105" max="15105" width="14.7109375" style="262" customWidth="1"/>
    <col min="15106" max="15117" width="10.85546875" style="262" customWidth="1"/>
    <col min="15118" max="15118" width="10.140625" style="262" customWidth="1"/>
    <col min="15119" max="15360" width="9.140625" style="262"/>
    <col min="15361" max="15361" width="14.7109375" style="262" customWidth="1"/>
    <col min="15362" max="15373" width="10.85546875" style="262" customWidth="1"/>
    <col min="15374" max="15374" width="10.140625" style="262" customWidth="1"/>
    <col min="15375" max="15616" width="9.140625" style="262"/>
    <col min="15617" max="15617" width="14.7109375" style="262" customWidth="1"/>
    <col min="15618" max="15629" width="10.85546875" style="262" customWidth="1"/>
    <col min="15630" max="15630" width="10.140625" style="262" customWidth="1"/>
    <col min="15631" max="15872" width="9.140625" style="262"/>
    <col min="15873" max="15873" width="14.7109375" style="262" customWidth="1"/>
    <col min="15874" max="15885" width="10.85546875" style="262" customWidth="1"/>
    <col min="15886" max="15886" width="10.140625" style="262" customWidth="1"/>
    <col min="15887" max="16128" width="9.140625" style="262"/>
    <col min="16129" max="16129" width="14.7109375" style="262" customWidth="1"/>
    <col min="16130" max="16141" width="10.85546875" style="262" customWidth="1"/>
    <col min="16142" max="16142" width="10.140625" style="262" customWidth="1"/>
    <col min="16143" max="16384" width="9.140625" style="262"/>
  </cols>
  <sheetData>
    <row r="1" spans="1:14" x14ac:dyDescent="0.25">
      <c r="A1" s="263" t="s">
        <v>333</v>
      </c>
      <c r="B1" s="264"/>
      <c r="C1" s="264"/>
      <c r="D1" s="264"/>
      <c r="E1" s="264"/>
      <c r="F1" s="264"/>
      <c r="G1" s="264"/>
      <c r="H1" s="264"/>
      <c r="I1" s="264"/>
      <c r="J1" s="264"/>
      <c r="K1" s="264"/>
      <c r="L1" s="264"/>
      <c r="M1" s="264"/>
      <c r="N1" s="264"/>
    </row>
    <row r="2" spans="1:14" x14ac:dyDescent="0.25">
      <c r="A2" s="263" t="s">
        <v>334</v>
      </c>
      <c r="B2" s="264"/>
      <c r="C2" s="264"/>
      <c r="D2" s="264"/>
      <c r="E2" s="264"/>
      <c r="F2" s="264"/>
      <c r="G2" s="264"/>
      <c r="H2" s="264"/>
      <c r="I2" s="264"/>
      <c r="J2" s="264"/>
      <c r="K2" s="264"/>
      <c r="L2" s="264"/>
      <c r="M2" s="264"/>
      <c r="N2" s="264"/>
    </row>
    <row r="3" spans="1:14" x14ac:dyDescent="0.25">
      <c r="A3" s="261" t="s">
        <v>0</v>
      </c>
      <c r="B3" s="261" t="s">
        <v>1</v>
      </c>
      <c r="C3" s="261" t="s">
        <v>2</v>
      </c>
      <c r="D3" s="261" t="s">
        <v>3</v>
      </c>
      <c r="E3" s="261" t="s">
        <v>4</v>
      </c>
      <c r="F3" s="261" t="s">
        <v>5</v>
      </c>
      <c r="G3" s="261" t="s">
        <v>6</v>
      </c>
      <c r="H3" s="261" t="s">
        <v>7</v>
      </c>
      <c r="I3" s="261" t="s">
        <v>8</v>
      </c>
      <c r="J3" s="261" t="s">
        <v>9</v>
      </c>
      <c r="K3" s="261" t="s">
        <v>10</v>
      </c>
      <c r="L3" s="261" t="s">
        <v>11</v>
      </c>
      <c r="M3" s="261" t="s">
        <v>12</v>
      </c>
      <c r="N3" s="261" t="s">
        <v>13</v>
      </c>
    </row>
    <row r="4" spans="1:14" x14ac:dyDescent="0.25">
      <c r="A4" s="261" t="s">
        <v>14</v>
      </c>
      <c r="B4" s="29">
        <v>1553531</v>
      </c>
      <c r="C4" s="29">
        <v>2836478</v>
      </c>
      <c r="D4" s="29">
        <v>597655</v>
      </c>
      <c r="E4" s="29">
        <v>933279</v>
      </c>
      <c r="F4" s="29">
        <v>1403536</v>
      </c>
      <c r="G4" s="29">
        <v>2934243</v>
      </c>
      <c r="H4" s="29">
        <v>3319194</v>
      </c>
      <c r="I4" s="29">
        <v>8361</v>
      </c>
      <c r="J4" s="29">
        <v>500806</v>
      </c>
      <c r="K4" s="29">
        <v>983365</v>
      </c>
      <c r="L4" s="29">
        <v>0</v>
      </c>
      <c r="M4" s="28" t="s">
        <v>15</v>
      </c>
      <c r="N4" s="29">
        <v>15070448</v>
      </c>
    </row>
    <row r="5" spans="1:14" x14ac:dyDescent="0.25">
      <c r="A5" s="261" t="s">
        <v>16</v>
      </c>
      <c r="B5" s="29">
        <v>377764</v>
      </c>
      <c r="C5" s="29">
        <v>664715</v>
      </c>
      <c r="D5" s="29">
        <v>148195</v>
      </c>
      <c r="E5" s="29">
        <v>230386</v>
      </c>
      <c r="F5" s="29">
        <v>350122</v>
      </c>
      <c r="G5" s="29">
        <v>902940</v>
      </c>
      <c r="H5" s="29">
        <v>872564</v>
      </c>
      <c r="I5" s="29">
        <v>2067</v>
      </c>
      <c r="J5" s="29">
        <v>122175</v>
      </c>
      <c r="K5" s="29">
        <v>239967</v>
      </c>
      <c r="L5" s="28" t="s">
        <v>15</v>
      </c>
      <c r="M5" s="28" t="s">
        <v>15</v>
      </c>
      <c r="N5" s="29">
        <v>3910895</v>
      </c>
    </row>
    <row r="6" spans="1:14" x14ac:dyDescent="0.25">
      <c r="A6" s="261" t="s">
        <v>17</v>
      </c>
      <c r="B6" s="29">
        <v>65580</v>
      </c>
      <c r="C6" s="29">
        <v>253603</v>
      </c>
      <c r="D6" s="29">
        <v>38446</v>
      </c>
      <c r="E6" s="29">
        <v>61802</v>
      </c>
      <c r="F6" s="29">
        <v>111381</v>
      </c>
      <c r="G6" s="29">
        <v>162648</v>
      </c>
      <c r="H6" s="29">
        <v>210433</v>
      </c>
      <c r="I6" s="29">
        <v>479</v>
      </c>
      <c r="J6" s="29">
        <v>27184</v>
      </c>
      <c r="K6" s="29">
        <v>7091</v>
      </c>
      <c r="L6" s="28" t="s">
        <v>15</v>
      </c>
      <c r="M6" s="28" t="s">
        <v>15</v>
      </c>
      <c r="N6" s="29">
        <v>938647</v>
      </c>
    </row>
    <row r="7" spans="1:14" x14ac:dyDescent="0.25">
      <c r="A7" s="261" t="s">
        <v>18</v>
      </c>
      <c r="B7" s="29">
        <v>168972</v>
      </c>
      <c r="C7" s="29">
        <v>216366</v>
      </c>
      <c r="D7" s="29">
        <v>71331</v>
      </c>
      <c r="E7" s="29">
        <v>110383</v>
      </c>
      <c r="F7" s="29">
        <v>121816</v>
      </c>
      <c r="G7" s="29">
        <v>489155</v>
      </c>
      <c r="H7" s="29">
        <v>396580</v>
      </c>
      <c r="I7" s="29">
        <v>916</v>
      </c>
      <c r="J7" s="29">
        <v>44271</v>
      </c>
      <c r="K7" s="29">
        <v>94222</v>
      </c>
      <c r="L7" s="28" t="s">
        <v>15</v>
      </c>
      <c r="M7" s="28" t="s">
        <v>15</v>
      </c>
      <c r="N7" s="29">
        <v>1714013</v>
      </c>
    </row>
    <row r="8" spans="1:14" x14ac:dyDescent="0.25">
      <c r="A8" s="261" t="s">
        <v>19</v>
      </c>
      <c r="B8" s="29">
        <v>67744</v>
      </c>
      <c r="C8" s="29">
        <v>169501</v>
      </c>
      <c r="D8" s="29">
        <v>46273</v>
      </c>
      <c r="E8" s="29">
        <v>58590</v>
      </c>
      <c r="F8" s="29">
        <v>84986</v>
      </c>
      <c r="G8" s="29">
        <v>164370</v>
      </c>
      <c r="H8" s="29">
        <v>192431</v>
      </c>
      <c r="I8" s="29">
        <v>406</v>
      </c>
      <c r="J8" s="29">
        <v>30913</v>
      </c>
      <c r="K8" s="29">
        <v>56393</v>
      </c>
      <c r="L8" s="28" t="s">
        <v>15</v>
      </c>
      <c r="M8" s="28" t="s">
        <v>15</v>
      </c>
      <c r="N8" s="29">
        <v>871606</v>
      </c>
    </row>
    <row r="9" spans="1:14" x14ac:dyDescent="0.25">
      <c r="A9" s="261" t="s">
        <v>20</v>
      </c>
      <c r="B9" s="28" t="s">
        <v>15</v>
      </c>
      <c r="C9" s="28" t="s">
        <v>15</v>
      </c>
      <c r="D9" s="28" t="s">
        <v>15</v>
      </c>
      <c r="E9" s="28" t="s">
        <v>15</v>
      </c>
      <c r="F9" s="28" t="s">
        <v>15</v>
      </c>
      <c r="G9" s="28" t="s">
        <v>15</v>
      </c>
      <c r="H9" s="28" t="s">
        <v>15</v>
      </c>
      <c r="I9" s="28" t="s">
        <v>15</v>
      </c>
      <c r="J9" s="28" t="s">
        <v>15</v>
      </c>
      <c r="K9" s="28" t="s">
        <v>15</v>
      </c>
      <c r="L9" s="29">
        <v>1838346</v>
      </c>
      <c r="M9" s="28" t="s">
        <v>15</v>
      </c>
      <c r="N9" s="29">
        <v>1838346</v>
      </c>
    </row>
    <row r="10" spans="1:14" x14ac:dyDescent="0.25">
      <c r="A10" s="261"/>
      <c r="B10" s="28"/>
      <c r="C10" s="28"/>
      <c r="D10" s="28"/>
      <c r="E10" s="28"/>
      <c r="F10" s="28"/>
      <c r="G10" s="28"/>
      <c r="H10" s="28"/>
      <c r="I10" s="28"/>
      <c r="J10" s="28"/>
      <c r="K10" s="28"/>
      <c r="L10" s="28"/>
      <c r="M10" s="28"/>
      <c r="N10" s="28"/>
    </row>
    <row r="11" spans="1:14" x14ac:dyDescent="0.25">
      <c r="A11" s="261" t="s">
        <v>21</v>
      </c>
      <c r="B11" s="29">
        <v>1466</v>
      </c>
      <c r="C11" s="28" t="s">
        <v>15</v>
      </c>
      <c r="D11" s="29">
        <v>7</v>
      </c>
      <c r="E11" s="28" t="s">
        <v>15</v>
      </c>
      <c r="F11" s="29">
        <v>1511</v>
      </c>
      <c r="G11" s="29">
        <v>936238</v>
      </c>
      <c r="H11" s="29">
        <v>376764</v>
      </c>
      <c r="I11" s="29">
        <v>249</v>
      </c>
      <c r="J11" s="28" t="s">
        <v>15</v>
      </c>
      <c r="K11" s="29">
        <v>33</v>
      </c>
      <c r="L11" s="28" t="s">
        <v>15</v>
      </c>
      <c r="M11" s="28" t="s">
        <v>15</v>
      </c>
      <c r="N11" s="29">
        <v>1316268</v>
      </c>
    </row>
    <row r="12" spans="1:14" x14ac:dyDescent="0.25">
      <c r="A12" s="261" t="s">
        <v>22</v>
      </c>
      <c r="B12" s="28" t="s">
        <v>15</v>
      </c>
      <c r="C12" s="29">
        <v>0</v>
      </c>
      <c r="D12" s="29">
        <v>607</v>
      </c>
      <c r="E12" s="29">
        <v>483</v>
      </c>
      <c r="F12" s="29">
        <v>389</v>
      </c>
      <c r="G12" s="29">
        <v>1542</v>
      </c>
      <c r="H12" s="29">
        <v>5859</v>
      </c>
      <c r="I12" s="28" t="s">
        <v>15</v>
      </c>
      <c r="J12" s="29">
        <v>1017</v>
      </c>
      <c r="K12" s="28" t="s">
        <v>15</v>
      </c>
      <c r="L12" s="28" t="s">
        <v>15</v>
      </c>
      <c r="M12" s="28" t="s">
        <v>15</v>
      </c>
      <c r="N12" s="29">
        <v>9897</v>
      </c>
    </row>
    <row r="13" spans="1:14" x14ac:dyDescent="0.25">
      <c r="A13" s="261" t="s">
        <v>23</v>
      </c>
      <c r="B13" s="29">
        <v>753</v>
      </c>
      <c r="C13" s="29">
        <v>41114</v>
      </c>
      <c r="D13" s="29">
        <v>4319</v>
      </c>
      <c r="E13" s="29">
        <v>18169</v>
      </c>
      <c r="F13" s="29">
        <v>16902</v>
      </c>
      <c r="G13" s="29">
        <v>55976</v>
      </c>
      <c r="H13" s="29">
        <v>91239</v>
      </c>
      <c r="I13" s="29">
        <v>189</v>
      </c>
      <c r="J13" s="29">
        <v>1230</v>
      </c>
      <c r="K13" s="29">
        <v>281</v>
      </c>
      <c r="L13" s="28" t="s">
        <v>15</v>
      </c>
      <c r="M13" s="28" t="s">
        <v>15</v>
      </c>
      <c r="N13" s="29">
        <v>230173</v>
      </c>
    </row>
    <row r="14" spans="1:14" x14ac:dyDescent="0.25">
      <c r="A14" s="261" t="s">
        <v>24</v>
      </c>
      <c r="B14" s="29">
        <v>7016</v>
      </c>
      <c r="C14" s="29">
        <v>310599</v>
      </c>
      <c r="D14" s="29">
        <v>9621</v>
      </c>
      <c r="E14" s="29">
        <v>24459</v>
      </c>
      <c r="F14" s="29">
        <v>36327</v>
      </c>
      <c r="G14" s="29">
        <v>190080</v>
      </c>
      <c r="H14" s="29">
        <v>153389</v>
      </c>
      <c r="I14" s="29">
        <v>173</v>
      </c>
      <c r="J14" s="29">
        <v>45757</v>
      </c>
      <c r="K14" s="29">
        <v>103462</v>
      </c>
      <c r="L14" s="28" t="s">
        <v>15</v>
      </c>
      <c r="M14" s="28" t="s">
        <v>15</v>
      </c>
      <c r="N14" s="29">
        <v>880883</v>
      </c>
    </row>
    <row r="15" spans="1:14" x14ac:dyDescent="0.25">
      <c r="A15" s="261" t="s">
        <v>25</v>
      </c>
      <c r="B15" s="29">
        <v>5999</v>
      </c>
      <c r="C15" s="29">
        <v>565</v>
      </c>
      <c r="D15" s="29">
        <v>100</v>
      </c>
      <c r="E15" s="29">
        <v>104</v>
      </c>
      <c r="F15" s="29">
        <v>61</v>
      </c>
      <c r="G15" s="29">
        <v>416</v>
      </c>
      <c r="H15" s="29">
        <v>243</v>
      </c>
      <c r="I15" s="28" t="s">
        <v>15</v>
      </c>
      <c r="J15" s="29">
        <v>6570</v>
      </c>
      <c r="K15" s="29">
        <v>154</v>
      </c>
      <c r="L15" s="28" t="s">
        <v>15</v>
      </c>
      <c r="M15" s="28" t="s">
        <v>15</v>
      </c>
      <c r="N15" s="29">
        <v>14211</v>
      </c>
    </row>
    <row r="16" spans="1:14" x14ac:dyDescent="0.25">
      <c r="A16" s="261" t="s">
        <v>26</v>
      </c>
      <c r="B16" s="29">
        <v>9478</v>
      </c>
      <c r="C16" s="29">
        <v>3299</v>
      </c>
      <c r="D16" s="29">
        <v>1104</v>
      </c>
      <c r="E16" s="29">
        <v>1485</v>
      </c>
      <c r="F16" s="29">
        <v>3222</v>
      </c>
      <c r="G16" s="29">
        <v>4613</v>
      </c>
      <c r="H16" s="29">
        <v>8173</v>
      </c>
      <c r="I16" s="28" t="s">
        <v>15</v>
      </c>
      <c r="J16" s="29">
        <v>748</v>
      </c>
      <c r="K16" s="29">
        <v>8268</v>
      </c>
      <c r="L16" s="28" t="s">
        <v>15</v>
      </c>
      <c r="M16" s="28" t="s">
        <v>15</v>
      </c>
      <c r="N16" s="29">
        <v>40390</v>
      </c>
    </row>
    <row r="17" spans="1:14" x14ac:dyDescent="0.25">
      <c r="A17" s="261" t="s">
        <v>27</v>
      </c>
      <c r="B17" s="29">
        <v>43836</v>
      </c>
      <c r="C17" s="29">
        <v>189838</v>
      </c>
      <c r="D17" s="29">
        <v>5658</v>
      </c>
      <c r="E17" s="29">
        <v>20433</v>
      </c>
      <c r="F17" s="29">
        <v>131978</v>
      </c>
      <c r="G17" s="29">
        <v>8646</v>
      </c>
      <c r="H17" s="29">
        <v>136280</v>
      </c>
      <c r="I17" s="29">
        <v>38</v>
      </c>
      <c r="J17" s="29">
        <v>6562</v>
      </c>
      <c r="K17" s="29">
        <v>123530</v>
      </c>
      <c r="L17" s="28" t="s">
        <v>15</v>
      </c>
      <c r="M17" s="28" t="s">
        <v>15</v>
      </c>
      <c r="N17" s="29">
        <v>666797</v>
      </c>
    </row>
    <row r="18" spans="1:14" x14ac:dyDescent="0.25">
      <c r="A18" s="261"/>
      <c r="B18" s="28"/>
      <c r="C18" s="28"/>
      <c r="D18" s="28"/>
      <c r="E18" s="28"/>
      <c r="F18" s="28"/>
      <c r="G18" s="28"/>
      <c r="H18" s="28"/>
      <c r="I18" s="28"/>
      <c r="J18" s="28"/>
      <c r="K18" s="28"/>
      <c r="L18" s="28"/>
      <c r="M18" s="28"/>
      <c r="N18" s="28"/>
    </row>
    <row r="19" spans="1:14" x14ac:dyDescent="0.25">
      <c r="A19" s="261" t="s">
        <v>28</v>
      </c>
      <c r="B19" s="29">
        <v>8797</v>
      </c>
      <c r="C19" s="29">
        <v>1930</v>
      </c>
      <c r="D19" s="29">
        <v>541</v>
      </c>
      <c r="E19" s="29">
        <v>287</v>
      </c>
      <c r="F19" s="29">
        <v>1924</v>
      </c>
      <c r="G19" s="29">
        <v>2157</v>
      </c>
      <c r="H19" s="29">
        <v>8612</v>
      </c>
      <c r="I19" s="28" t="s">
        <v>15</v>
      </c>
      <c r="J19" s="29">
        <v>645</v>
      </c>
      <c r="K19" s="29">
        <v>2745</v>
      </c>
      <c r="L19" s="28" t="s">
        <v>15</v>
      </c>
      <c r="M19" s="28" t="s">
        <v>15</v>
      </c>
      <c r="N19" s="29">
        <v>27638</v>
      </c>
    </row>
    <row r="20" spans="1:14" x14ac:dyDescent="0.25">
      <c r="A20" s="261" t="s">
        <v>29</v>
      </c>
      <c r="B20" s="29">
        <v>4667</v>
      </c>
      <c r="C20" s="29">
        <v>502</v>
      </c>
      <c r="D20" s="29">
        <v>532</v>
      </c>
      <c r="E20" s="29">
        <v>150</v>
      </c>
      <c r="F20" s="29">
        <v>8424</v>
      </c>
      <c r="G20" s="29">
        <v>1262</v>
      </c>
      <c r="H20" s="29">
        <v>1235</v>
      </c>
      <c r="I20" s="29">
        <v>1</v>
      </c>
      <c r="J20" s="29">
        <v>160</v>
      </c>
      <c r="K20" s="29">
        <v>393</v>
      </c>
      <c r="L20" s="28" t="s">
        <v>15</v>
      </c>
      <c r="M20" s="28" t="s">
        <v>15</v>
      </c>
      <c r="N20" s="29">
        <v>17326</v>
      </c>
    </row>
    <row r="21" spans="1:14" x14ac:dyDescent="0.25">
      <c r="A21" s="261" t="s">
        <v>30</v>
      </c>
      <c r="B21" s="29">
        <v>7505</v>
      </c>
      <c r="C21" s="29">
        <v>3767</v>
      </c>
      <c r="D21" s="29">
        <v>1086</v>
      </c>
      <c r="E21" s="29">
        <v>2435</v>
      </c>
      <c r="F21" s="29">
        <v>4228</v>
      </c>
      <c r="G21" s="29">
        <v>5760</v>
      </c>
      <c r="H21" s="29">
        <v>7120</v>
      </c>
      <c r="I21" s="28" t="s">
        <v>15</v>
      </c>
      <c r="J21" s="29">
        <v>1218</v>
      </c>
      <c r="K21" s="29">
        <v>2086</v>
      </c>
      <c r="L21" s="28" t="s">
        <v>15</v>
      </c>
      <c r="M21" s="28" t="s">
        <v>15</v>
      </c>
      <c r="N21" s="29">
        <v>35205</v>
      </c>
    </row>
    <row r="22" spans="1:14" x14ac:dyDescent="0.25">
      <c r="A22" s="261" t="s">
        <v>31</v>
      </c>
      <c r="B22" s="29">
        <v>53835</v>
      </c>
      <c r="C22" s="29">
        <v>20255</v>
      </c>
      <c r="D22" s="29">
        <v>85</v>
      </c>
      <c r="E22" s="28" t="s">
        <v>15</v>
      </c>
      <c r="F22" s="29">
        <v>1687</v>
      </c>
      <c r="G22" s="29">
        <v>3781</v>
      </c>
      <c r="H22" s="29">
        <v>5981</v>
      </c>
      <c r="I22" s="28" t="s">
        <v>15</v>
      </c>
      <c r="J22" s="29">
        <v>1743</v>
      </c>
      <c r="K22" s="29">
        <v>193</v>
      </c>
      <c r="L22" s="28" t="s">
        <v>15</v>
      </c>
      <c r="M22" s="28" t="s">
        <v>15</v>
      </c>
      <c r="N22" s="29">
        <v>87562</v>
      </c>
    </row>
    <row r="23" spans="1:14" x14ac:dyDescent="0.25">
      <c r="A23" s="261" t="s">
        <v>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x14ac:dyDescent="0.25">
      <c r="A24" s="261"/>
      <c r="B24" s="28"/>
      <c r="C24" s="28"/>
      <c r="D24" s="28"/>
      <c r="E24" s="28"/>
      <c r="F24" s="28"/>
      <c r="G24" s="28"/>
      <c r="H24" s="28"/>
      <c r="I24" s="28"/>
      <c r="J24" s="28"/>
      <c r="K24" s="28"/>
      <c r="L24" s="28"/>
      <c r="M24" s="28"/>
      <c r="N24" s="28"/>
    </row>
    <row r="25" spans="1:14" x14ac:dyDescent="0.25">
      <c r="A25" s="261" t="s">
        <v>33</v>
      </c>
      <c r="B25" s="29">
        <v>3396</v>
      </c>
      <c r="C25" s="29">
        <v>76</v>
      </c>
      <c r="D25" s="29">
        <v>87</v>
      </c>
      <c r="E25" s="28" t="s">
        <v>15</v>
      </c>
      <c r="F25" s="29">
        <v>222</v>
      </c>
      <c r="G25" s="29">
        <v>13</v>
      </c>
      <c r="H25" s="29">
        <v>9523</v>
      </c>
      <c r="I25" s="28" t="s">
        <v>15</v>
      </c>
      <c r="J25" s="29">
        <v>117</v>
      </c>
      <c r="K25" s="29">
        <v>62</v>
      </c>
      <c r="L25" s="28" t="s">
        <v>15</v>
      </c>
      <c r="M25" s="28" t="s">
        <v>15</v>
      </c>
      <c r="N25" s="29">
        <v>13496</v>
      </c>
    </row>
    <row r="26" spans="1:14" x14ac:dyDescent="0.25">
      <c r="A26" s="261" t="s">
        <v>35</v>
      </c>
      <c r="B26" s="28" t="s">
        <v>15</v>
      </c>
      <c r="C26" s="29">
        <v>0</v>
      </c>
      <c r="D26" s="28" t="s">
        <v>15</v>
      </c>
      <c r="E26" s="28" t="s">
        <v>15</v>
      </c>
      <c r="F26" s="28" t="s">
        <v>15</v>
      </c>
      <c r="G26" s="28" t="s">
        <v>15</v>
      </c>
      <c r="H26" s="28" t="s">
        <v>15</v>
      </c>
      <c r="I26" s="28" t="s">
        <v>15</v>
      </c>
      <c r="J26" s="29">
        <v>797946</v>
      </c>
      <c r="K26" s="28" t="s">
        <v>15</v>
      </c>
      <c r="L26" s="28" t="s">
        <v>15</v>
      </c>
      <c r="M26" s="28" t="s">
        <v>15</v>
      </c>
      <c r="N26" s="29">
        <v>797946</v>
      </c>
    </row>
    <row r="27" spans="1:14" x14ac:dyDescent="0.25">
      <c r="A27" s="261" t="s">
        <v>36</v>
      </c>
      <c r="B27" s="28" t="s">
        <v>15</v>
      </c>
      <c r="C27" s="28" t="s">
        <v>15</v>
      </c>
      <c r="D27" s="28" t="s">
        <v>15</v>
      </c>
      <c r="E27" s="28" t="s">
        <v>15</v>
      </c>
      <c r="F27" s="28" t="s">
        <v>15</v>
      </c>
      <c r="G27" s="28" t="s">
        <v>15</v>
      </c>
      <c r="H27" s="28" t="s">
        <v>15</v>
      </c>
      <c r="I27" s="28" t="s">
        <v>15</v>
      </c>
      <c r="J27" s="29">
        <v>723284</v>
      </c>
      <c r="K27" s="28" t="s">
        <v>15</v>
      </c>
      <c r="L27" s="28" t="s">
        <v>15</v>
      </c>
      <c r="M27" s="28" t="s">
        <v>15</v>
      </c>
      <c r="N27" s="29">
        <v>723284</v>
      </c>
    </row>
    <row r="28" spans="1:14" x14ac:dyDescent="0.25">
      <c r="A28" s="261" t="s">
        <v>37</v>
      </c>
      <c r="B28" s="29">
        <v>-243</v>
      </c>
      <c r="C28" s="29">
        <v>72216</v>
      </c>
      <c r="D28" s="29">
        <v>211804</v>
      </c>
      <c r="E28" s="29">
        <v>136657</v>
      </c>
      <c r="F28" s="29">
        <v>126394</v>
      </c>
      <c r="G28" s="29">
        <v>99811</v>
      </c>
      <c r="H28" s="29">
        <v>10734</v>
      </c>
      <c r="I28" s="29">
        <v>281857</v>
      </c>
      <c r="J28" s="29">
        <v>846</v>
      </c>
      <c r="K28" s="29">
        <v>4650</v>
      </c>
      <c r="L28" s="28" t="s">
        <v>15</v>
      </c>
      <c r="M28" s="28" t="s">
        <v>15</v>
      </c>
      <c r="N28" s="29">
        <v>944726</v>
      </c>
    </row>
    <row r="29" spans="1:14" x14ac:dyDescent="0.25">
      <c r="A29" s="261" t="s">
        <v>38</v>
      </c>
      <c r="B29" s="29">
        <v>3255</v>
      </c>
      <c r="C29" s="29">
        <v>146009</v>
      </c>
      <c r="D29" s="29">
        <v>25423</v>
      </c>
      <c r="E29" s="29">
        <v>10064</v>
      </c>
      <c r="F29" s="29">
        <v>144580</v>
      </c>
      <c r="G29" s="29">
        <v>11692</v>
      </c>
      <c r="H29" s="29">
        <v>13570</v>
      </c>
      <c r="I29" s="28" t="s">
        <v>15</v>
      </c>
      <c r="J29" s="29">
        <v>163340</v>
      </c>
      <c r="K29" s="29">
        <v>10633</v>
      </c>
      <c r="L29" s="28" t="s">
        <v>15</v>
      </c>
      <c r="M29" s="28" t="s">
        <v>15</v>
      </c>
      <c r="N29" s="29">
        <v>528567</v>
      </c>
    </row>
    <row r="30" spans="1:14" x14ac:dyDescent="0.25">
      <c r="A30" s="261"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61" t="s">
        <v>40</v>
      </c>
      <c r="B31" s="29">
        <v>251</v>
      </c>
      <c r="C31" s="28" t="s">
        <v>15</v>
      </c>
      <c r="D31" s="28" t="s">
        <v>15</v>
      </c>
      <c r="E31" s="29">
        <v>82</v>
      </c>
      <c r="F31" s="28" t="s">
        <v>15</v>
      </c>
      <c r="G31" s="29">
        <v>524814</v>
      </c>
      <c r="H31" s="28" t="s">
        <v>15</v>
      </c>
      <c r="I31" s="29">
        <v>5826311</v>
      </c>
      <c r="J31" s="29">
        <v>70969</v>
      </c>
      <c r="K31" s="29">
        <v>42</v>
      </c>
      <c r="L31" s="28" t="s">
        <v>15</v>
      </c>
      <c r="M31" s="28" t="s">
        <v>15</v>
      </c>
      <c r="N31" s="29">
        <v>6422468</v>
      </c>
    </row>
    <row r="32" spans="1:14" x14ac:dyDescent="0.25">
      <c r="A32" s="261" t="s">
        <v>41</v>
      </c>
      <c r="B32" s="28" t="s">
        <v>15</v>
      </c>
      <c r="C32" s="29">
        <v>102191</v>
      </c>
      <c r="D32" s="29">
        <v>140</v>
      </c>
      <c r="E32" s="28" t="s">
        <v>15</v>
      </c>
      <c r="F32" s="29">
        <v>2116</v>
      </c>
      <c r="G32" s="29">
        <v>21870</v>
      </c>
      <c r="H32" s="28" t="s">
        <v>15</v>
      </c>
      <c r="I32" s="28" t="s">
        <v>15</v>
      </c>
      <c r="J32" s="29">
        <v>10</v>
      </c>
      <c r="K32" s="29">
        <v>107</v>
      </c>
      <c r="L32" s="28" t="s">
        <v>15</v>
      </c>
      <c r="M32" s="28" t="s">
        <v>15</v>
      </c>
      <c r="N32" s="29">
        <v>126435</v>
      </c>
    </row>
    <row r="33" spans="1:14" x14ac:dyDescent="0.25">
      <c r="A33" s="261" t="s">
        <v>43</v>
      </c>
      <c r="B33" s="29">
        <v>41592</v>
      </c>
      <c r="C33" s="29">
        <v>548383</v>
      </c>
      <c r="D33" s="29">
        <v>53784</v>
      </c>
      <c r="E33" s="29">
        <v>71184</v>
      </c>
      <c r="F33" s="29">
        <v>449368</v>
      </c>
      <c r="G33" s="29">
        <v>422625</v>
      </c>
      <c r="H33" s="29">
        <v>230412</v>
      </c>
      <c r="I33" s="28" t="s">
        <v>15</v>
      </c>
      <c r="J33" s="29">
        <v>220076</v>
      </c>
      <c r="K33" s="29">
        <v>58180</v>
      </c>
      <c r="L33" s="28" t="s">
        <v>15</v>
      </c>
      <c r="M33" s="28" t="s">
        <v>15</v>
      </c>
      <c r="N33" s="29">
        <v>2095604</v>
      </c>
    </row>
    <row r="34" spans="1:14" x14ac:dyDescent="0.25">
      <c r="A34" s="261" t="s">
        <v>44</v>
      </c>
      <c r="B34" s="28" t="s">
        <v>15</v>
      </c>
      <c r="C34" s="29">
        <v>347332</v>
      </c>
      <c r="D34" s="29">
        <v>39916</v>
      </c>
      <c r="E34" s="29">
        <v>-160695</v>
      </c>
      <c r="F34" s="29">
        <v>31126</v>
      </c>
      <c r="G34" s="29">
        <v>921</v>
      </c>
      <c r="H34" s="29">
        <v>11520530</v>
      </c>
      <c r="I34" s="29">
        <v>727093</v>
      </c>
      <c r="J34" s="29">
        <v>0</v>
      </c>
      <c r="K34" s="29">
        <v>110690</v>
      </c>
      <c r="L34" s="28" t="s">
        <v>15</v>
      </c>
      <c r="M34" s="28" t="s">
        <v>15</v>
      </c>
      <c r="N34" s="29">
        <v>12616914</v>
      </c>
    </row>
    <row r="35" spans="1:14" x14ac:dyDescent="0.25">
      <c r="A35" s="261" t="s">
        <v>45</v>
      </c>
      <c r="B35" s="28" t="s">
        <v>15</v>
      </c>
      <c r="C35" s="28" t="s">
        <v>15</v>
      </c>
      <c r="D35" s="28" t="s">
        <v>15</v>
      </c>
      <c r="E35" s="29">
        <v>280361</v>
      </c>
      <c r="F35" s="29">
        <v>6715</v>
      </c>
      <c r="G35" s="28" t="s">
        <v>15</v>
      </c>
      <c r="H35" s="28" t="s">
        <v>15</v>
      </c>
      <c r="I35" s="28" t="s">
        <v>15</v>
      </c>
      <c r="J35" s="28" t="s">
        <v>15</v>
      </c>
      <c r="K35" s="28" t="s">
        <v>15</v>
      </c>
      <c r="L35" s="28" t="s">
        <v>15</v>
      </c>
      <c r="M35" s="28" t="s">
        <v>15</v>
      </c>
      <c r="N35" s="29">
        <v>287076</v>
      </c>
    </row>
    <row r="36" spans="1:14" x14ac:dyDescent="0.25">
      <c r="A36" s="261" t="s">
        <v>46</v>
      </c>
      <c r="B36" s="28" t="s">
        <v>15</v>
      </c>
      <c r="C36" s="28" t="s">
        <v>15</v>
      </c>
      <c r="D36" s="28" t="s">
        <v>15</v>
      </c>
      <c r="E36" s="29">
        <v>205683</v>
      </c>
      <c r="F36" s="29">
        <v>14767</v>
      </c>
      <c r="G36" s="28" t="s">
        <v>15</v>
      </c>
      <c r="H36" s="28" t="s">
        <v>15</v>
      </c>
      <c r="I36" s="28" t="s">
        <v>15</v>
      </c>
      <c r="J36" s="28" t="s">
        <v>15</v>
      </c>
      <c r="K36" s="28" t="s">
        <v>15</v>
      </c>
      <c r="L36" s="28" t="s">
        <v>15</v>
      </c>
      <c r="M36" s="28" t="s">
        <v>15</v>
      </c>
      <c r="N36" s="29">
        <v>220449</v>
      </c>
    </row>
    <row r="37" spans="1:14" x14ac:dyDescent="0.25">
      <c r="A37" s="261" t="s">
        <v>47</v>
      </c>
      <c r="B37" s="28" t="s">
        <v>15</v>
      </c>
      <c r="C37" s="28" t="s">
        <v>15</v>
      </c>
      <c r="D37" s="28" t="s">
        <v>15</v>
      </c>
      <c r="E37" s="28" t="s">
        <v>15</v>
      </c>
      <c r="F37" s="28" t="s">
        <v>15</v>
      </c>
      <c r="G37" s="28" t="s">
        <v>15</v>
      </c>
      <c r="H37" s="28" t="s">
        <v>15</v>
      </c>
      <c r="I37" s="29">
        <v>261281</v>
      </c>
      <c r="J37" s="28" t="s">
        <v>15</v>
      </c>
      <c r="K37" s="28" t="s">
        <v>15</v>
      </c>
      <c r="L37" s="28" t="s">
        <v>15</v>
      </c>
      <c r="M37" s="28" t="s">
        <v>15</v>
      </c>
      <c r="N37" s="29">
        <v>261281</v>
      </c>
    </row>
    <row r="38" spans="1:14" x14ac:dyDescent="0.25">
      <c r="A38" s="261"/>
      <c r="B38" s="28"/>
      <c r="C38" s="28"/>
      <c r="D38" s="28"/>
      <c r="E38" s="28"/>
      <c r="F38" s="28"/>
      <c r="G38" s="28"/>
      <c r="H38" s="28"/>
      <c r="I38" s="28"/>
      <c r="J38" s="28"/>
      <c r="K38" s="28"/>
      <c r="L38" s="28"/>
      <c r="M38" s="28"/>
      <c r="N38" s="28"/>
    </row>
    <row r="39" spans="1:14" x14ac:dyDescent="0.25">
      <c r="A39" s="261"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61"/>
      <c r="B40" s="28"/>
      <c r="C40" s="28"/>
      <c r="D40" s="28"/>
      <c r="E40" s="28"/>
      <c r="F40" s="28"/>
      <c r="G40" s="28"/>
      <c r="H40" s="28"/>
      <c r="I40" s="28"/>
      <c r="J40" s="28"/>
      <c r="K40" s="28"/>
      <c r="L40" s="28"/>
      <c r="M40" s="28"/>
      <c r="N40" s="28"/>
    </row>
    <row r="41" spans="1:14" x14ac:dyDescent="0.25">
      <c r="A41" s="261" t="s">
        <v>49</v>
      </c>
      <c r="B41" s="28" t="s">
        <v>15</v>
      </c>
      <c r="C41" s="28" t="s">
        <v>15</v>
      </c>
      <c r="D41" s="28" t="s">
        <v>15</v>
      </c>
      <c r="E41" s="28" t="s">
        <v>15</v>
      </c>
      <c r="F41" s="28" t="s">
        <v>15</v>
      </c>
      <c r="G41" s="28" t="s">
        <v>15</v>
      </c>
      <c r="H41" s="28" t="s">
        <v>15</v>
      </c>
      <c r="I41" s="29">
        <v>109108</v>
      </c>
      <c r="J41" s="28" t="s">
        <v>15</v>
      </c>
      <c r="K41" s="28" t="s">
        <v>15</v>
      </c>
      <c r="L41" s="28" t="s">
        <v>15</v>
      </c>
      <c r="M41" s="28" t="s">
        <v>15</v>
      </c>
      <c r="N41" s="29">
        <v>109108</v>
      </c>
    </row>
    <row r="42" spans="1:14" x14ac:dyDescent="0.25">
      <c r="A42" s="261" t="s">
        <v>50</v>
      </c>
      <c r="B42" s="29">
        <v>10316</v>
      </c>
      <c r="C42" s="29">
        <v>27483</v>
      </c>
      <c r="D42" s="29">
        <v>582</v>
      </c>
      <c r="E42" s="29">
        <v>13136</v>
      </c>
      <c r="F42" s="29">
        <v>17890</v>
      </c>
      <c r="G42" s="29">
        <v>6123</v>
      </c>
      <c r="H42" s="29">
        <v>23634</v>
      </c>
      <c r="I42" s="29">
        <v>2</v>
      </c>
      <c r="J42" s="29">
        <v>2601</v>
      </c>
      <c r="K42" s="29">
        <v>2719</v>
      </c>
      <c r="L42" s="28" t="s">
        <v>15</v>
      </c>
      <c r="M42" s="28" t="s">
        <v>15</v>
      </c>
      <c r="N42" s="29">
        <v>104486</v>
      </c>
    </row>
    <row r="43" spans="1:14" x14ac:dyDescent="0.25">
      <c r="A43" s="261" t="s">
        <v>51</v>
      </c>
      <c r="B43" s="29">
        <v>1345</v>
      </c>
      <c r="C43" s="29">
        <v>2452</v>
      </c>
      <c r="D43" s="29">
        <v>38</v>
      </c>
      <c r="E43" s="29">
        <v>1244</v>
      </c>
      <c r="F43" s="29">
        <v>1881</v>
      </c>
      <c r="G43" s="29">
        <v>794</v>
      </c>
      <c r="H43" s="29">
        <v>3102</v>
      </c>
      <c r="I43" s="29">
        <v>0</v>
      </c>
      <c r="J43" s="29">
        <v>314</v>
      </c>
      <c r="K43" s="29">
        <v>420</v>
      </c>
      <c r="L43" s="28" t="s">
        <v>15</v>
      </c>
      <c r="M43" s="28" t="s">
        <v>15</v>
      </c>
      <c r="N43" s="29">
        <v>11591</v>
      </c>
    </row>
    <row r="44" spans="1:14" x14ac:dyDescent="0.25">
      <c r="A44" s="261" t="s">
        <v>52</v>
      </c>
      <c r="B44" s="29">
        <v>4018</v>
      </c>
      <c r="C44" s="29">
        <v>1331</v>
      </c>
      <c r="D44" s="29">
        <v>56</v>
      </c>
      <c r="E44" s="29">
        <v>766</v>
      </c>
      <c r="F44" s="29">
        <v>1431</v>
      </c>
      <c r="G44" s="29">
        <v>1077</v>
      </c>
      <c r="H44" s="29">
        <v>5616</v>
      </c>
      <c r="I44" s="29">
        <v>0</v>
      </c>
      <c r="J44" s="29">
        <v>780</v>
      </c>
      <c r="K44" s="29">
        <v>1182</v>
      </c>
      <c r="L44" s="28" t="s">
        <v>15</v>
      </c>
      <c r="M44" s="28" t="s">
        <v>15</v>
      </c>
      <c r="N44" s="29">
        <v>16257</v>
      </c>
    </row>
    <row r="45" spans="1:14" x14ac:dyDescent="0.25">
      <c r="A45" s="261" t="s">
        <v>53</v>
      </c>
      <c r="B45" s="29">
        <v>5759</v>
      </c>
      <c r="C45" s="29">
        <v>212</v>
      </c>
      <c r="D45" s="29">
        <v>114</v>
      </c>
      <c r="E45" s="28" t="s">
        <v>15</v>
      </c>
      <c r="F45" s="29">
        <v>12</v>
      </c>
      <c r="G45" s="28" t="s">
        <v>15</v>
      </c>
      <c r="H45" s="29">
        <v>72</v>
      </c>
      <c r="I45" s="28" t="s">
        <v>15</v>
      </c>
      <c r="J45" s="29">
        <v>310</v>
      </c>
      <c r="K45" s="29">
        <v>2127</v>
      </c>
      <c r="L45" s="28" t="s">
        <v>15</v>
      </c>
      <c r="M45" s="28" t="s">
        <v>15</v>
      </c>
      <c r="N45" s="29">
        <v>8604</v>
      </c>
    </row>
    <row r="46" spans="1:14" x14ac:dyDescent="0.25">
      <c r="A46" s="261" t="s">
        <v>54</v>
      </c>
      <c r="B46" s="29">
        <v>6558</v>
      </c>
      <c r="C46" s="29">
        <v>659</v>
      </c>
      <c r="D46" s="28" t="s">
        <v>15</v>
      </c>
      <c r="E46" s="28" t="s">
        <v>15</v>
      </c>
      <c r="F46" s="28" t="s">
        <v>15</v>
      </c>
      <c r="G46" s="28" t="s">
        <v>15</v>
      </c>
      <c r="H46" s="29">
        <v>2302</v>
      </c>
      <c r="I46" s="28" t="s">
        <v>15</v>
      </c>
      <c r="J46" s="29">
        <v>273</v>
      </c>
      <c r="K46" s="29">
        <v>1089</v>
      </c>
      <c r="L46" s="28" t="s">
        <v>15</v>
      </c>
      <c r="M46" s="28" t="s">
        <v>15</v>
      </c>
      <c r="N46" s="29">
        <v>10881</v>
      </c>
    </row>
    <row r="47" spans="1:14" x14ac:dyDescent="0.25">
      <c r="A47" s="261" t="s">
        <v>55</v>
      </c>
      <c r="B47" s="29">
        <v>3809</v>
      </c>
      <c r="C47" s="29">
        <v>120</v>
      </c>
      <c r="D47" s="29">
        <v>153</v>
      </c>
      <c r="E47" s="29">
        <v>186</v>
      </c>
      <c r="F47" s="28" t="s">
        <v>15</v>
      </c>
      <c r="G47" s="28" t="s">
        <v>15</v>
      </c>
      <c r="H47" s="28" t="s">
        <v>15</v>
      </c>
      <c r="I47" s="28" t="s">
        <v>15</v>
      </c>
      <c r="J47" s="29">
        <v>429</v>
      </c>
      <c r="K47" s="28" t="s">
        <v>15</v>
      </c>
      <c r="L47" s="28" t="s">
        <v>15</v>
      </c>
      <c r="M47" s="28" t="s">
        <v>15</v>
      </c>
      <c r="N47" s="29">
        <v>4698</v>
      </c>
    </row>
    <row r="48" spans="1:14" x14ac:dyDescent="0.25">
      <c r="A48" s="261" t="s">
        <v>56</v>
      </c>
      <c r="B48" s="29">
        <v>2098</v>
      </c>
      <c r="C48" s="28" t="s">
        <v>15</v>
      </c>
      <c r="D48" s="28" t="s">
        <v>15</v>
      </c>
      <c r="E48" s="29">
        <v>54</v>
      </c>
      <c r="F48" s="29">
        <v>40</v>
      </c>
      <c r="G48" s="29">
        <v>151</v>
      </c>
      <c r="H48" s="29">
        <v>30</v>
      </c>
      <c r="I48" s="28" t="s">
        <v>15</v>
      </c>
      <c r="J48" s="29">
        <v>74</v>
      </c>
      <c r="K48" s="28" t="s">
        <v>15</v>
      </c>
      <c r="L48" s="28" t="s">
        <v>15</v>
      </c>
      <c r="M48" s="28" t="s">
        <v>15</v>
      </c>
      <c r="N48" s="29">
        <v>2446</v>
      </c>
    </row>
    <row r="49" spans="1:14" x14ac:dyDescent="0.25">
      <c r="A49" s="261" t="s">
        <v>57</v>
      </c>
      <c r="B49" s="28" t="s">
        <v>15</v>
      </c>
      <c r="C49" s="28" t="s">
        <v>15</v>
      </c>
      <c r="D49" s="28" t="s">
        <v>15</v>
      </c>
      <c r="E49" s="28" t="s">
        <v>15</v>
      </c>
      <c r="F49" s="28" t="s">
        <v>15</v>
      </c>
      <c r="G49" s="28" t="s">
        <v>15</v>
      </c>
      <c r="H49" s="28" t="s">
        <v>15</v>
      </c>
      <c r="I49" s="29">
        <v>643143</v>
      </c>
      <c r="J49" s="28" t="s">
        <v>15</v>
      </c>
      <c r="K49" s="28" t="s">
        <v>15</v>
      </c>
      <c r="L49" s="28" t="s">
        <v>15</v>
      </c>
      <c r="M49" s="28" t="s">
        <v>15</v>
      </c>
      <c r="N49" s="29">
        <v>643143</v>
      </c>
    </row>
    <row r="50" spans="1:14" x14ac:dyDescent="0.25">
      <c r="A50" s="261" t="s">
        <v>58</v>
      </c>
      <c r="B50" s="28" t="s">
        <v>15</v>
      </c>
      <c r="C50" s="28" t="s">
        <v>15</v>
      </c>
      <c r="D50" s="28" t="s">
        <v>15</v>
      </c>
      <c r="E50" s="28" t="s">
        <v>15</v>
      </c>
      <c r="F50" s="28" t="s">
        <v>15</v>
      </c>
      <c r="G50" s="28" t="s">
        <v>15</v>
      </c>
      <c r="H50" s="28" t="s">
        <v>15</v>
      </c>
      <c r="I50" s="29">
        <v>1181724</v>
      </c>
      <c r="J50" s="28" t="s">
        <v>15</v>
      </c>
      <c r="K50" s="28" t="s">
        <v>15</v>
      </c>
      <c r="L50" s="28" t="s">
        <v>15</v>
      </c>
      <c r="M50" s="28" t="s">
        <v>15</v>
      </c>
      <c r="N50" s="29">
        <v>1181724</v>
      </c>
    </row>
    <row r="51" spans="1:14" x14ac:dyDescent="0.25">
      <c r="A51" s="261" t="s">
        <v>59</v>
      </c>
      <c r="B51" s="28" t="s">
        <v>15</v>
      </c>
      <c r="C51" s="28" t="s">
        <v>15</v>
      </c>
      <c r="D51" s="29">
        <v>130195</v>
      </c>
      <c r="E51" s="29">
        <v>696034</v>
      </c>
      <c r="F51" s="28" t="s">
        <v>15</v>
      </c>
      <c r="G51" s="28" t="s">
        <v>15</v>
      </c>
      <c r="H51" s="28" t="s">
        <v>15</v>
      </c>
      <c r="I51" s="28" t="s">
        <v>15</v>
      </c>
      <c r="J51" s="28" t="s">
        <v>15</v>
      </c>
      <c r="K51" s="28" t="s">
        <v>15</v>
      </c>
      <c r="L51" s="28" t="s">
        <v>15</v>
      </c>
      <c r="M51" s="28" t="s">
        <v>15</v>
      </c>
      <c r="N51" s="29">
        <v>826229</v>
      </c>
    </row>
    <row r="52" spans="1:14" x14ac:dyDescent="0.25">
      <c r="A52" s="261" t="s">
        <v>60</v>
      </c>
      <c r="B52" s="29">
        <v>0</v>
      </c>
      <c r="C52" s="28" t="s">
        <v>15</v>
      </c>
      <c r="D52" s="29">
        <v>186487</v>
      </c>
      <c r="E52" s="29">
        <v>610282</v>
      </c>
      <c r="F52" s="28" t="s">
        <v>15</v>
      </c>
      <c r="G52" s="28" t="s">
        <v>15</v>
      </c>
      <c r="H52" s="28" t="s">
        <v>15</v>
      </c>
      <c r="I52" s="28" t="s">
        <v>15</v>
      </c>
      <c r="J52" s="28" t="s">
        <v>15</v>
      </c>
      <c r="K52" s="28" t="s">
        <v>15</v>
      </c>
      <c r="L52" s="28" t="s">
        <v>15</v>
      </c>
      <c r="M52" s="28" t="s">
        <v>15</v>
      </c>
      <c r="N52" s="29">
        <v>796769</v>
      </c>
    </row>
    <row r="53" spans="1:14" x14ac:dyDescent="0.25">
      <c r="A53" s="261" t="s">
        <v>61</v>
      </c>
      <c r="B53" s="29">
        <v>4136</v>
      </c>
      <c r="C53" s="29">
        <v>26170</v>
      </c>
      <c r="D53" s="29">
        <v>1933</v>
      </c>
      <c r="E53" s="29">
        <v>1387</v>
      </c>
      <c r="F53" s="29">
        <v>14939</v>
      </c>
      <c r="G53" s="29">
        <v>21812</v>
      </c>
      <c r="H53" s="29">
        <v>12916</v>
      </c>
      <c r="I53" s="28" t="s">
        <v>15</v>
      </c>
      <c r="J53" s="29">
        <v>20338</v>
      </c>
      <c r="K53" s="29">
        <v>1739</v>
      </c>
      <c r="L53" s="28" t="s">
        <v>15</v>
      </c>
      <c r="M53" s="28" t="s">
        <v>15</v>
      </c>
      <c r="N53" s="29">
        <v>105370</v>
      </c>
    </row>
    <row r="54" spans="1:14" x14ac:dyDescent="0.25">
      <c r="A54" s="261" t="s">
        <v>62</v>
      </c>
      <c r="B54" s="29">
        <v>4136</v>
      </c>
      <c r="C54" s="29">
        <v>25480</v>
      </c>
      <c r="D54" s="29">
        <v>1933</v>
      </c>
      <c r="E54" s="29">
        <v>1387</v>
      </c>
      <c r="F54" s="29">
        <v>14939</v>
      </c>
      <c r="G54" s="29">
        <v>21812</v>
      </c>
      <c r="H54" s="29">
        <v>12916</v>
      </c>
      <c r="I54" s="28" t="s">
        <v>15</v>
      </c>
      <c r="J54" s="29">
        <v>20082</v>
      </c>
      <c r="K54" s="29">
        <v>1739</v>
      </c>
      <c r="L54" s="28" t="s">
        <v>15</v>
      </c>
      <c r="M54" s="28" t="s">
        <v>15</v>
      </c>
      <c r="N54" s="29">
        <v>104423</v>
      </c>
    </row>
    <row r="55" spans="1:14" x14ac:dyDescent="0.25">
      <c r="A55" s="261" t="s">
        <v>321</v>
      </c>
      <c r="B55" s="29">
        <v>1</v>
      </c>
      <c r="C55" s="28" t="s">
        <v>15</v>
      </c>
      <c r="D55" s="28" t="s">
        <v>15</v>
      </c>
      <c r="E55" s="28" t="s">
        <v>15</v>
      </c>
      <c r="F55" s="28" t="s">
        <v>15</v>
      </c>
      <c r="G55" s="28" t="s">
        <v>15</v>
      </c>
      <c r="H55" s="28" t="s">
        <v>15</v>
      </c>
      <c r="I55" s="28" t="s">
        <v>15</v>
      </c>
      <c r="J55" s="29">
        <v>2</v>
      </c>
      <c r="K55" s="28" t="s">
        <v>15</v>
      </c>
      <c r="L55" s="28" t="s">
        <v>15</v>
      </c>
      <c r="M55" s="28" t="s">
        <v>15</v>
      </c>
      <c r="N55" s="29">
        <v>2</v>
      </c>
    </row>
    <row r="56" spans="1:14" x14ac:dyDescent="0.25">
      <c r="A56" s="261" t="s">
        <v>63</v>
      </c>
      <c r="B56" s="29">
        <v>962</v>
      </c>
      <c r="C56" s="29">
        <v>6753</v>
      </c>
      <c r="D56" s="29">
        <v>4663</v>
      </c>
      <c r="E56" s="29">
        <v>8711</v>
      </c>
      <c r="F56" s="29">
        <v>42022</v>
      </c>
      <c r="G56" s="29">
        <v>23786</v>
      </c>
      <c r="H56" s="29">
        <v>7066</v>
      </c>
      <c r="I56" s="28" t="s">
        <v>15</v>
      </c>
      <c r="J56" s="29">
        <v>2831</v>
      </c>
      <c r="K56" s="29">
        <v>2832</v>
      </c>
      <c r="L56" s="28" t="s">
        <v>15</v>
      </c>
      <c r="M56" s="28" t="s">
        <v>15</v>
      </c>
      <c r="N56" s="29">
        <v>99626</v>
      </c>
    </row>
    <row r="57" spans="1:14" x14ac:dyDescent="0.25">
      <c r="A57" s="261"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61" t="s">
        <v>65</v>
      </c>
      <c r="B58" s="29">
        <v>12328</v>
      </c>
      <c r="C58" s="29">
        <v>5219</v>
      </c>
      <c r="D58" s="29">
        <v>210</v>
      </c>
      <c r="E58" s="29">
        <v>-1</v>
      </c>
      <c r="F58" s="29">
        <v>296096</v>
      </c>
      <c r="G58" s="29">
        <v>61</v>
      </c>
      <c r="H58" s="29">
        <v>5829</v>
      </c>
      <c r="I58" s="29">
        <v>3316</v>
      </c>
      <c r="J58" s="29">
        <v>-25958</v>
      </c>
      <c r="K58" s="29">
        <v>880624</v>
      </c>
      <c r="L58" s="29">
        <v>41874955</v>
      </c>
      <c r="M58" s="29">
        <v>16753333</v>
      </c>
      <c r="N58" s="29">
        <v>59806013</v>
      </c>
    </row>
    <row r="59" spans="1:14" x14ac:dyDescent="0.25">
      <c r="A59" s="261" t="s">
        <v>66</v>
      </c>
      <c r="B59" s="29">
        <v>2480699</v>
      </c>
      <c r="C59" s="29">
        <v>6024619</v>
      </c>
      <c r="D59" s="29">
        <v>1583079</v>
      </c>
      <c r="E59" s="29">
        <v>3338967</v>
      </c>
      <c r="F59" s="29">
        <v>3443031</v>
      </c>
      <c r="G59" s="29">
        <v>7021188</v>
      </c>
      <c r="H59" s="29">
        <v>17644348</v>
      </c>
      <c r="I59" s="29">
        <v>9046714</v>
      </c>
      <c r="J59" s="29">
        <v>2789668</v>
      </c>
      <c r="K59" s="29">
        <v>2701018</v>
      </c>
      <c r="L59" s="29">
        <v>43713301</v>
      </c>
      <c r="M59" s="29">
        <v>16753333</v>
      </c>
      <c r="N59" s="29">
        <v>116539965</v>
      </c>
    </row>
    <row r="60" spans="1:14" x14ac:dyDescent="0.25">
      <c r="A60" s="261" t="s">
        <v>67</v>
      </c>
      <c r="B60" s="29">
        <v>6657</v>
      </c>
      <c r="C60" s="29">
        <v>68749</v>
      </c>
      <c r="D60" s="29">
        <v>23771</v>
      </c>
      <c r="E60" s="29">
        <v>46524</v>
      </c>
      <c r="F60" s="29">
        <v>35781</v>
      </c>
      <c r="G60" s="29">
        <v>10562</v>
      </c>
      <c r="H60" s="29">
        <v>176</v>
      </c>
      <c r="I60" s="29">
        <v>176584</v>
      </c>
      <c r="J60" s="29">
        <v>0</v>
      </c>
      <c r="K60" s="29">
        <v>0</v>
      </c>
      <c r="L60" s="29">
        <v>41859397</v>
      </c>
      <c r="M60" s="29">
        <v>0</v>
      </c>
      <c r="N60" s="29">
        <v>42228200</v>
      </c>
    </row>
    <row r="61" spans="1:14" x14ac:dyDescent="0.25">
      <c r="A61" s="261" t="s">
        <v>68</v>
      </c>
      <c r="B61" s="29">
        <v>2474041</v>
      </c>
      <c r="C61" s="29">
        <v>5955870</v>
      </c>
      <c r="D61" s="29">
        <v>1559308</v>
      </c>
      <c r="E61" s="29">
        <v>3292443</v>
      </c>
      <c r="F61" s="29">
        <v>3407250</v>
      </c>
      <c r="G61" s="29">
        <v>7010626</v>
      </c>
      <c r="H61" s="29">
        <v>17644172</v>
      </c>
      <c r="I61" s="29">
        <v>8870130</v>
      </c>
      <c r="J61" s="29">
        <v>2789668</v>
      </c>
      <c r="K61" s="29">
        <v>2701018</v>
      </c>
      <c r="L61" s="29">
        <v>1853904</v>
      </c>
      <c r="M61" s="29">
        <v>16753333</v>
      </c>
      <c r="N61" s="29">
        <v>74311764</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tabSelected="1" view="pageBreakPreview" zoomScale="106" zoomScaleSheetLayoutView="106" workbookViewId="0">
      <pane xSplit="2" ySplit="4" topLeftCell="AA13" activePane="bottomRight" state="frozen"/>
      <selection pane="topRight" activeCell="C1" sqref="C1"/>
      <selection pane="bottomLeft" activeCell="A6" sqref="A6"/>
      <selection pane="bottomRight" activeCell="B15" sqref="B15"/>
    </sheetView>
  </sheetViews>
  <sheetFormatPr defaultRowHeight="15" x14ac:dyDescent="0.25"/>
  <cols>
    <col min="1" max="1" width="10.5703125" style="130"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8" customWidth="1"/>
    <col min="23" max="23" width="12" bestFit="1" customWidth="1"/>
    <col min="24" max="24" width="10.140625" customWidth="1"/>
    <col min="25" max="25" width="13.7109375" bestFit="1" customWidth="1"/>
    <col min="26" max="27" width="10.28515625" customWidth="1"/>
    <col min="28" max="28" width="10.28515625" style="183" customWidth="1"/>
    <col min="29" max="29" width="12.7109375" style="41" customWidth="1"/>
    <col min="30" max="30" width="14.85546875" style="228"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8"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8" customWidth="1"/>
    <col min="61" max="61" width="16.28515625" style="228" customWidth="1"/>
    <col min="62" max="62" width="13.28515625" customWidth="1"/>
    <col min="63" max="63" width="13.5703125" style="51" customWidth="1"/>
    <col min="64" max="64" width="11.28515625" customWidth="1"/>
    <col min="65" max="65" width="11.42578125" customWidth="1"/>
  </cols>
  <sheetData>
    <row r="1" spans="1:67" ht="15.75" x14ac:dyDescent="0.25">
      <c r="A1" s="119"/>
      <c r="B1" s="190"/>
      <c r="C1" s="265" t="s">
        <v>324</v>
      </c>
      <c r="D1" s="265"/>
      <c r="E1" s="265"/>
      <c r="F1" s="265"/>
      <c r="G1" s="265"/>
      <c r="H1" s="265"/>
      <c r="I1" s="265"/>
      <c r="J1" s="265"/>
      <c r="K1" s="265"/>
      <c r="L1" s="1"/>
      <c r="M1" s="1"/>
      <c r="N1" s="1"/>
      <c r="O1" s="1"/>
      <c r="P1" s="1"/>
      <c r="Q1" s="1"/>
      <c r="R1" s="1"/>
      <c r="S1" s="1"/>
      <c r="T1" s="1"/>
      <c r="U1" s="1"/>
      <c r="V1" s="176"/>
      <c r="W1" s="1"/>
      <c r="X1" s="1"/>
      <c r="Y1" s="1"/>
      <c r="Z1" s="1"/>
      <c r="AA1" s="1"/>
      <c r="AB1" s="1"/>
      <c r="AC1" s="2"/>
      <c r="AD1" s="219"/>
      <c r="AE1" s="1"/>
      <c r="AF1" s="1"/>
      <c r="AG1" s="1"/>
      <c r="AH1" s="1"/>
      <c r="AI1" s="1"/>
      <c r="AJ1" s="1"/>
      <c r="AK1" s="1"/>
      <c r="AL1" s="1"/>
      <c r="AM1" s="1"/>
      <c r="AN1" s="1"/>
      <c r="AO1" s="176"/>
      <c r="AP1" s="1"/>
      <c r="AQ1" s="2"/>
      <c r="AR1" s="1"/>
      <c r="AS1" s="1"/>
      <c r="AT1" s="1"/>
      <c r="AU1" s="1"/>
      <c r="AV1" s="1"/>
      <c r="AW1" s="2"/>
      <c r="AX1" s="1"/>
      <c r="AY1" s="1"/>
      <c r="AZ1" s="1"/>
      <c r="BA1" s="1"/>
      <c r="BB1" s="2"/>
      <c r="BD1" s="1"/>
      <c r="BE1" s="1"/>
      <c r="BF1" s="1"/>
      <c r="BG1" s="1"/>
      <c r="BH1" s="176"/>
      <c r="BI1" s="219"/>
      <c r="BJ1" s="1"/>
      <c r="BK1" s="46"/>
    </row>
    <row r="2" spans="1:67" ht="15.75" x14ac:dyDescent="0.25">
      <c r="A2" s="119"/>
      <c r="B2" s="1"/>
      <c r="C2" s="1"/>
      <c r="D2" s="1"/>
      <c r="E2" s="1"/>
      <c r="F2" s="1"/>
      <c r="G2" s="1"/>
      <c r="H2" s="1"/>
      <c r="I2" s="1"/>
      <c r="J2" s="1"/>
      <c r="K2" s="1"/>
      <c r="L2" s="1"/>
      <c r="M2" s="266" t="s">
        <v>69</v>
      </c>
      <c r="N2" s="266"/>
      <c r="O2" s="266"/>
      <c r="P2" s="1"/>
      <c r="Q2" s="1"/>
      <c r="R2" s="1"/>
      <c r="S2" s="1"/>
      <c r="T2" s="1"/>
      <c r="U2" s="1"/>
      <c r="V2" s="176"/>
      <c r="W2" s="1"/>
      <c r="X2" s="1"/>
      <c r="Y2" s="1"/>
      <c r="Z2" s="1"/>
      <c r="AA2" s="1"/>
      <c r="AB2" s="1"/>
      <c r="AC2" s="2"/>
      <c r="AD2" s="219"/>
      <c r="AE2" s="1"/>
      <c r="AF2" s="1"/>
      <c r="AG2" s="1"/>
      <c r="AH2" s="1"/>
      <c r="AI2" s="1"/>
      <c r="AJ2" s="1"/>
      <c r="AK2" s="1"/>
      <c r="AL2" s="1"/>
      <c r="AM2" s="1"/>
      <c r="AN2" s="1"/>
      <c r="AO2" s="176"/>
      <c r="AP2" s="1"/>
      <c r="AQ2" s="266" t="s">
        <v>69</v>
      </c>
      <c r="AR2" s="266"/>
      <c r="AS2" s="266"/>
      <c r="AT2" s="1"/>
      <c r="AU2" s="1"/>
      <c r="AV2" s="1"/>
      <c r="AW2" s="2"/>
      <c r="AX2" s="1"/>
      <c r="AY2" s="1"/>
      <c r="AZ2" s="1"/>
      <c r="BA2" s="1"/>
      <c r="BB2" s="2"/>
      <c r="BC2" s="1"/>
      <c r="BD2" s="1"/>
      <c r="BE2" s="1"/>
      <c r="BF2" s="1"/>
      <c r="BG2" s="1"/>
      <c r="BH2" s="176"/>
      <c r="BI2" s="266" t="s">
        <v>69</v>
      </c>
      <c r="BJ2" s="266"/>
      <c r="BK2" s="266"/>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305</v>
      </c>
      <c r="AC3" s="4" t="s">
        <v>119</v>
      </c>
      <c r="AD3" s="220"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220" t="s">
        <v>126</v>
      </c>
      <c r="BJ3" s="3" t="s">
        <v>127</v>
      </c>
      <c r="BK3" s="47" t="s">
        <v>128</v>
      </c>
    </row>
    <row r="4" spans="1:67" s="130" customFormat="1" ht="15.75" x14ac:dyDescent="0.25">
      <c r="A4" s="128" t="s">
        <v>208</v>
      </c>
      <c r="B4" s="128" t="s">
        <v>129</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221"/>
      <c r="AE4" s="128">
        <v>18</v>
      </c>
      <c r="AF4" s="128">
        <v>19</v>
      </c>
      <c r="AG4" s="128">
        <v>21</v>
      </c>
      <c r="AH4" s="128">
        <v>22</v>
      </c>
      <c r="AI4" s="128">
        <v>23</v>
      </c>
      <c r="AJ4" s="128">
        <v>24</v>
      </c>
      <c r="AK4" s="128">
        <v>27</v>
      </c>
      <c r="AL4" s="128">
        <v>28</v>
      </c>
      <c r="AM4" s="129">
        <v>30</v>
      </c>
      <c r="AN4" s="128">
        <v>31</v>
      </c>
      <c r="AO4" s="129">
        <v>32</v>
      </c>
      <c r="AP4" s="128">
        <v>33</v>
      </c>
      <c r="AQ4" s="134">
        <v>35</v>
      </c>
      <c r="AR4" s="128">
        <v>36</v>
      </c>
      <c r="AS4" s="128">
        <v>37</v>
      </c>
      <c r="AT4" s="128">
        <v>38</v>
      </c>
      <c r="AU4" s="129">
        <v>41</v>
      </c>
      <c r="AV4" s="129">
        <v>48</v>
      </c>
      <c r="AW4" s="129">
        <v>50</v>
      </c>
      <c r="AX4" s="128">
        <v>51</v>
      </c>
      <c r="AY4" s="128">
        <v>52</v>
      </c>
      <c r="AZ4" s="128">
        <v>60</v>
      </c>
      <c r="BA4" s="128">
        <v>61</v>
      </c>
      <c r="BB4" s="134">
        <v>64</v>
      </c>
      <c r="BC4" s="128">
        <v>72</v>
      </c>
      <c r="BD4" s="128">
        <v>73</v>
      </c>
      <c r="BE4" s="128">
        <v>74</v>
      </c>
      <c r="BF4" s="128">
        <v>75</v>
      </c>
      <c r="BG4" s="128">
        <v>99</v>
      </c>
      <c r="BH4" s="129"/>
      <c r="BI4" s="221" t="s">
        <v>130</v>
      </c>
      <c r="BJ4" s="128">
        <v>98</v>
      </c>
      <c r="BK4" s="135"/>
    </row>
    <row r="5" spans="1:67" ht="15.75" x14ac:dyDescent="0.25">
      <c r="A5" s="8" t="s">
        <v>131</v>
      </c>
      <c r="B5" s="11" t="s">
        <v>300</v>
      </c>
      <c r="C5" s="127">
        <v>2657920</v>
      </c>
      <c r="D5" s="120">
        <v>756706</v>
      </c>
      <c r="E5" s="120">
        <v>72518</v>
      </c>
      <c r="F5" s="120">
        <v>283742</v>
      </c>
      <c r="G5" s="120">
        <v>117806</v>
      </c>
      <c r="H5" s="120">
        <v>0</v>
      </c>
      <c r="I5" s="120">
        <v>0</v>
      </c>
      <c r="J5" s="120">
        <v>3825</v>
      </c>
      <c r="K5" s="120">
        <v>6</v>
      </c>
      <c r="L5" s="120">
        <v>9201</v>
      </c>
      <c r="M5" s="120">
        <v>14513</v>
      </c>
      <c r="N5" s="120">
        <v>10309</v>
      </c>
      <c r="O5" s="120">
        <v>16164</v>
      </c>
      <c r="P5" s="120">
        <v>63417</v>
      </c>
      <c r="Q5" s="120">
        <v>0</v>
      </c>
      <c r="R5" s="120">
        <v>20273</v>
      </c>
      <c r="S5" s="120">
        <v>0</v>
      </c>
      <c r="T5" s="120">
        <v>0</v>
      </c>
      <c r="U5" s="120"/>
      <c r="V5" s="189">
        <v>0</v>
      </c>
      <c r="W5" s="120">
        <v>1004</v>
      </c>
      <c r="X5" s="120">
        <v>406</v>
      </c>
      <c r="Y5" s="120">
        <v>3715</v>
      </c>
      <c r="Z5" s="120">
        <v>157</v>
      </c>
      <c r="AA5" s="120">
        <v>165</v>
      </c>
      <c r="AB5" s="120">
        <v>4844</v>
      </c>
      <c r="AC5" s="151">
        <v>0</v>
      </c>
      <c r="AD5" s="229">
        <f t="shared" ref="AD5:AD6" si="0">SUM(C5:AC5)</f>
        <v>4036691</v>
      </c>
      <c r="AE5" s="120">
        <v>25030</v>
      </c>
      <c r="AF5" s="120">
        <v>11866</v>
      </c>
      <c r="AG5" s="120">
        <v>35768</v>
      </c>
      <c r="AH5" s="120">
        <v>0</v>
      </c>
      <c r="AI5" s="120">
        <v>0</v>
      </c>
      <c r="AJ5" s="120">
        <v>7219</v>
      </c>
      <c r="AK5" s="120">
        <v>13871</v>
      </c>
      <c r="AL5" s="120">
        <v>17753</v>
      </c>
      <c r="AM5" s="120">
        <v>1348</v>
      </c>
      <c r="AN5" s="120">
        <v>19</v>
      </c>
      <c r="AO5" s="189">
        <v>70995</v>
      </c>
      <c r="AP5" s="120">
        <v>2</v>
      </c>
      <c r="AQ5" s="151">
        <v>0</v>
      </c>
      <c r="AR5" s="120">
        <v>0</v>
      </c>
      <c r="AS5" s="120"/>
      <c r="AT5" s="120"/>
      <c r="AU5" s="120">
        <v>0</v>
      </c>
      <c r="AV5" s="120"/>
      <c r="AW5" s="120">
        <v>15265</v>
      </c>
      <c r="AX5" s="120">
        <v>10723</v>
      </c>
      <c r="AY5" s="120">
        <v>4239</v>
      </c>
      <c r="AZ5" s="120">
        <v>0</v>
      </c>
      <c r="BA5" s="120">
        <v>0</v>
      </c>
      <c r="BB5" s="151">
        <v>0</v>
      </c>
      <c r="BC5" s="120">
        <v>8666</v>
      </c>
      <c r="BD5" s="120">
        <v>8666</v>
      </c>
      <c r="BE5" s="120">
        <v>14</v>
      </c>
      <c r="BF5" s="120">
        <v>2068</v>
      </c>
      <c r="BG5" s="120">
        <v>56958</v>
      </c>
      <c r="BH5" s="9">
        <f>SUM(AE5:BG5)</f>
        <v>290470</v>
      </c>
      <c r="BI5" s="222">
        <f>AD5+BH5</f>
        <v>4327161</v>
      </c>
      <c r="BJ5" s="95">
        <v>1439</v>
      </c>
      <c r="BK5" s="49">
        <f t="shared" ref="BK5:BK6" si="1">BI5-BJ5</f>
        <v>4325722</v>
      </c>
      <c r="BL5">
        <v>1</v>
      </c>
      <c r="BM5" s="30"/>
    </row>
    <row r="6" spans="1:67" s="41" customFormat="1" ht="15.75" x14ac:dyDescent="0.25">
      <c r="A6" s="134" t="s">
        <v>131</v>
      </c>
      <c r="B6" s="216" t="s">
        <v>325</v>
      </c>
      <c r="C6" s="10">
        <v>1594752</v>
      </c>
      <c r="D6" s="10">
        <v>408379</v>
      </c>
      <c r="E6" s="10">
        <v>72518</v>
      </c>
      <c r="F6" s="10">
        <v>170243</v>
      </c>
      <c r="G6" s="10">
        <v>70679</v>
      </c>
      <c r="H6" s="10">
        <v>0</v>
      </c>
      <c r="I6" s="10">
        <v>0</v>
      </c>
      <c r="J6" s="10">
        <v>2296</v>
      </c>
      <c r="K6" s="10">
        <v>1.08</v>
      </c>
      <c r="L6" s="10">
        <v>5520</v>
      </c>
      <c r="M6" s="10">
        <v>8709</v>
      </c>
      <c r="N6" s="10">
        <v>6188</v>
      </c>
      <c r="O6" s="10">
        <v>9697</v>
      </c>
      <c r="P6" s="10">
        <v>38050</v>
      </c>
      <c r="Q6" s="10">
        <v>0</v>
      </c>
      <c r="R6" s="10">
        <v>12164</v>
      </c>
      <c r="S6" s="10">
        <v>0</v>
      </c>
      <c r="T6" s="10">
        <v>0</v>
      </c>
      <c r="U6" s="10"/>
      <c r="V6" s="10">
        <v>0</v>
      </c>
      <c r="W6" s="10">
        <v>601</v>
      </c>
      <c r="X6" s="10">
        <v>242</v>
      </c>
      <c r="Y6" s="10">
        <v>2230</v>
      </c>
      <c r="Z6" s="10">
        <v>96</v>
      </c>
      <c r="AA6" s="10">
        <v>98</v>
      </c>
      <c r="AB6" s="10">
        <v>2909</v>
      </c>
      <c r="AC6" s="10">
        <v>0</v>
      </c>
      <c r="AD6" s="229">
        <f t="shared" si="0"/>
        <v>2405372.08</v>
      </c>
      <c r="AE6" s="10">
        <v>15018</v>
      </c>
      <c r="AF6" s="10">
        <v>7120</v>
      </c>
      <c r="AG6" s="10">
        <v>21458</v>
      </c>
      <c r="AH6" s="10">
        <v>0</v>
      </c>
      <c r="AI6" s="10">
        <v>0</v>
      </c>
      <c r="AJ6" s="10">
        <v>4335</v>
      </c>
      <c r="AK6" s="10">
        <v>8324</v>
      </c>
      <c r="AL6" s="10">
        <v>10650</v>
      </c>
      <c r="AM6" s="10">
        <v>810</v>
      </c>
      <c r="AN6" s="10">
        <v>11</v>
      </c>
      <c r="AO6" s="10">
        <v>42596</v>
      </c>
      <c r="AP6" s="10">
        <v>0.36</v>
      </c>
      <c r="AQ6" s="10">
        <v>0</v>
      </c>
      <c r="AR6" s="10">
        <v>0</v>
      </c>
      <c r="AS6" s="10"/>
      <c r="AT6" s="10"/>
      <c r="AU6" s="10">
        <v>0</v>
      </c>
      <c r="AV6" s="10"/>
      <c r="AW6" s="10">
        <v>9159</v>
      </c>
      <c r="AX6" s="10">
        <v>6434</v>
      </c>
      <c r="AY6" s="10">
        <v>2543</v>
      </c>
      <c r="AZ6" s="10">
        <v>0</v>
      </c>
      <c r="BA6" s="10">
        <v>0</v>
      </c>
      <c r="BB6" s="10">
        <v>0</v>
      </c>
      <c r="BC6" s="10">
        <v>5200</v>
      </c>
      <c r="BD6" s="10">
        <v>5200</v>
      </c>
      <c r="BE6" s="10">
        <v>8</v>
      </c>
      <c r="BF6" s="10">
        <v>1239</v>
      </c>
      <c r="BG6" s="10">
        <v>34183</v>
      </c>
      <c r="BH6" s="10">
        <f>SUM(AE6:BG6)</f>
        <v>174288.36</v>
      </c>
      <c r="BI6" s="222">
        <f>AD6+BH6</f>
        <v>2579660.44</v>
      </c>
      <c r="BJ6" s="10">
        <v>840</v>
      </c>
      <c r="BK6" s="10">
        <f t="shared" si="1"/>
        <v>2578820.44</v>
      </c>
      <c r="BL6" s="41">
        <v>0</v>
      </c>
      <c r="BM6" s="217"/>
    </row>
    <row r="7" spans="1:67" ht="15.75" x14ac:dyDescent="0.25">
      <c r="A7" s="128"/>
      <c r="B7" s="12" t="s">
        <v>326</v>
      </c>
      <c r="C7" s="9">
        <f>IF('Upto Month COPPY'!$B$4="",0,'Upto Month COPPY'!$B$4)</f>
        <v>1573437</v>
      </c>
      <c r="D7" s="9">
        <f>IF('Upto Month COPPY'!$B$5="",0,'Upto Month COPPY'!$B$5)</f>
        <v>260197</v>
      </c>
      <c r="E7" s="9">
        <f>IF('Upto Month COPPY'!$B$6="",0,'Upto Month COPPY'!$B$6)</f>
        <v>65982</v>
      </c>
      <c r="F7" s="9">
        <f>IF('Upto Month COPPY'!$B$7="",0,'Upto Month COPPY'!$B$7)</f>
        <v>163009</v>
      </c>
      <c r="G7" s="9">
        <f>IF('Upto Month COPPY'!$B$8="",0,'Upto Month COPPY'!$B$8)</f>
        <v>62659</v>
      </c>
      <c r="H7" s="9">
        <f>IF('Upto Month COPPY'!$B$9="",0,'Upto Month COPPY'!$B$9)</f>
        <v>0</v>
      </c>
      <c r="I7" s="9">
        <f>IF('Upto Month COPPY'!$B$10="",0,'Upto Month COPPY'!$B$10)</f>
        <v>0</v>
      </c>
      <c r="J7" s="9">
        <f>IF('Upto Month COPPY'!$B$11="",0,'Upto Month COPPY'!$B$11)</f>
        <v>1687</v>
      </c>
      <c r="K7" s="9">
        <f>IF('Upto Month COPPY'!$B$12="",0,'Upto Month COPPY'!$B$12)</f>
        <v>0</v>
      </c>
      <c r="L7" s="9">
        <f>IF('Upto Month COPPY'!$B$13="",0,'Upto Month COPPY'!$B$13)</f>
        <v>4236</v>
      </c>
      <c r="M7" s="9">
        <f>IF('Upto Month COPPY'!$B$14="",0,'Upto Month COPPY'!$B$14)</f>
        <v>6982</v>
      </c>
      <c r="N7" s="9">
        <f>IF('Upto Month COPPY'!$B$15="",0,'Upto Month COPPY'!$B$15)</f>
        <v>5197</v>
      </c>
      <c r="O7" s="9">
        <f>IF('Upto Month COPPY'!$B$16="",0,'Upto Month COPPY'!$B$16)</f>
        <v>9183</v>
      </c>
      <c r="P7" s="9">
        <f>IF('Upto Month COPPY'!$B$17="",0,'Upto Month COPPY'!$B$17)</f>
        <v>35708</v>
      </c>
      <c r="Q7" s="9">
        <f>IF('Upto Month COPPY'!$B$18="",0,'Upto Month COPPY'!$B$18)</f>
        <v>0</v>
      </c>
      <c r="R7" s="9">
        <f>IF('Upto Month COPPY'!$B$21="",0,'Upto Month COPPY'!$B$21)</f>
        <v>6322</v>
      </c>
      <c r="S7" s="9">
        <f>IF('Upto Month COPPY'!$B$26="",0,'Upto Month COPPY'!$B$26)</f>
        <v>0</v>
      </c>
      <c r="T7" s="9">
        <f>IF('Upto Month COPPY'!$B$27="",0,'Upto Month COPPY'!$B$27)</f>
        <v>0</v>
      </c>
      <c r="U7" s="9">
        <f>IF('Upto Month COPPY'!$B$30="",0,'Upto Month COPPY'!$B$30)</f>
        <v>845</v>
      </c>
      <c r="V7" s="9">
        <f>IF('Upto Month COPPY'!$B$35="",0,'Upto Month COPPY'!$B$35)</f>
        <v>0</v>
      </c>
      <c r="W7" s="9">
        <f>IF('Upto Month COPPY'!$B$39="",0,'Upto Month COPPY'!$B$39)</f>
        <v>442</v>
      </c>
      <c r="X7" s="9">
        <f>IF('Upto Month COPPY'!$B$40="",0,'Upto Month COPPY'!$B$40)</f>
        <v>0</v>
      </c>
      <c r="Y7" s="9">
        <f>IF('Upto Month COPPY'!$B$42="",0,'Upto Month COPPY'!$B$42)</f>
        <v>4297</v>
      </c>
      <c r="Z7" s="9">
        <f>IF('Upto Month COPPY'!$B$43="",0,'Upto Month COPPY'!$B$43)</f>
        <v>1378</v>
      </c>
      <c r="AA7" s="9">
        <f>IF('Upto Month COPPY'!$B$44="",0,'Upto Month COPPY'!$B$44)</f>
        <v>507</v>
      </c>
      <c r="AB7" s="9">
        <f>IF('Upto Month COPPY'!$B$48="",0,'Upto Month COPPY'!$B$48)</f>
        <v>0</v>
      </c>
      <c r="AC7" s="10">
        <f>IF('Upto Month COPPY'!$B$51="",0,'Upto Month COPPY'!$B$51)</f>
        <v>0</v>
      </c>
      <c r="AD7" s="229">
        <f t="shared" ref="AD7:AD8" si="2">SUM(C7:AC7)</f>
        <v>2202068</v>
      </c>
      <c r="AE7" s="9">
        <f>IF('Upto Month COPPY'!$B$19="",0,'Upto Month COPPY'!$B$19)</f>
        <v>12648</v>
      </c>
      <c r="AF7" s="9">
        <f>IF('Upto Month COPPY'!$B$20="",0,'Upto Month COPPY'!$B$20)</f>
        <v>5493</v>
      </c>
      <c r="AG7" s="9">
        <f>IF('Upto Month COPPY'!$B$22="",0,'Upto Month COPPY'!$B$22)</f>
        <v>68764</v>
      </c>
      <c r="AH7" s="9">
        <f>IF('Upto Month COPPY'!$B$23="",0,'Upto Month COPPY'!$B$23)</f>
        <v>0</v>
      </c>
      <c r="AI7" s="9">
        <f>IF('Upto Month COPPY'!$B$24="",0,'Upto Month COPPY'!$B$24)</f>
        <v>0</v>
      </c>
      <c r="AJ7" s="9">
        <f>IF('Upto Month COPPY'!$B$25="",0,'Upto Month COPPY'!$B$25)</f>
        <v>4419</v>
      </c>
      <c r="AK7" s="9">
        <f>IF('Upto Month COPPY'!$B$28="",0,'Upto Month COPPY'!$B$28)</f>
        <v>8777</v>
      </c>
      <c r="AL7" s="9">
        <f>IF('Upto Month COPPY'!$B$29="",0,'Upto Month COPPY'!$B$29)</f>
        <v>10189</v>
      </c>
      <c r="AM7" s="9">
        <f>IF('Upto Month COPPY'!$B$31="",0,'Upto Month COPPY'!$B$31)</f>
        <v>825</v>
      </c>
      <c r="AN7" s="9">
        <f>IF('Upto Month COPPY'!$B$32="",0,'Upto Month COPPY'!$B$32)</f>
        <v>-1</v>
      </c>
      <c r="AO7" s="9">
        <f>IF('Upto Month COPPY'!$B$33="",0,'Upto Month COPPY'!$B$33)</f>
        <v>46385</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7902</v>
      </c>
      <c r="AX7" s="9">
        <f>IF('Upto Month COPPY'!$B$46="",0,'Upto Month COPPY'!$B$46)</f>
        <v>7834</v>
      </c>
      <c r="AY7" s="9">
        <f>IF('Upto Month COPPY'!$B$47="",0,'Upto Month COPPY'!$B$47)</f>
        <v>4434</v>
      </c>
      <c r="AZ7" s="9">
        <f>IF('Upto Month COPPY'!$B$49="",0,'Upto Month COPPY'!$B$49)</f>
        <v>0</v>
      </c>
      <c r="BA7" s="9">
        <f>IF('Upto Month COPPY'!$B$50="",0,'Upto Month COPPY'!$B$50)</f>
        <v>0</v>
      </c>
      <c r="BB7" s="10">
        <f>IF('Upto Month COPPY'!$B$52="",0,'Upto Month COPPY'!$B$52)</f>
        <v>10</v>
      </c>
      <c r="BC7" s="9">
        <f>IF('Upto Month COPPY'!$B$53="",0,'Upto Month COPPY'!$B$53)</f>
        <v>5413</v>
      </c>
      <c r="BD7" s="9">
        <f>IF('Upto Month COPPY'!$B$54="",0,'Upto Month COPPY'!$B$54)</f>
        <v>5413</v>
      </c>
      <c r="BE7" s="9">
        <f>IF('Upto Month COPPY'!$B$55="",0,'Upto Month COPPY'!$B$55)</f>
        <v>0</v>
      </c>
      <c r="BF7" s="9">
        <f>IF('Upto Month COPPY'!$B$56="",0,'Upto Month COPPY'!$B$56)</f>
        <v>1740</v>
      </c>
      <c r="BG7" s="9">
        <f>IF('Upto Month COPPY'!$B$58="",0,'Upto Month COPPY'!$B$58)</f>
        <v>25322</v>
      </c>
      <c r="BH7" s="9">
        <f>SUM(AE7:BG7)</f>
        <v>215567</v>
      </c>
      <c r="BI7" s="222">
        <f>AD7+BH7</f>
        <v>2417635</v>
      </c>
      <c r="BJ7" s="9">
        <f>IF('Upto Month COPPY'!$B$60="",0,'Upto Month COPPY'!$B$60)</f>
        <v>842</v>
      </c>
      <c r="BK7" s="49">
        <f t="shared" ref="BK7" si="3">BI7-BJ7</f>
        <v>2416793</v>
      </c>
      <c r="BL7">
        <f>'Upto Month COPPY'!$B$61</f>
        <v>2416793</v>
      </c>
      <c r="BM7" s="30">
        <f t="shared" ref="BM7:BM11" si="4">BK7-AD7</f>
        <v>214725</v>
      </c>
    </row>
    <row r="8" spans="1:67" ht="15.75" x14ac:dyDescent="0.25">
      <c r="A8" s="128"/>
      <c r="B8" s="182" t="s">
        <v>327</v>
      </c>
      <c r="C8" s="9">
        <f>IF('Upto Month Current'!$B$4="",0,'Upto Month Current'!$B$4)</f>
        <v>1553531</v>
      </c>
      <c r="D8" s="9">
        <f>IF('Upto Month Current'!$B$5="",0,'Upto Month Current'!$B$5)</f>
        <v>377764</v>
      </c>
      <c r="E8" s="9">
        <f>IF('Upto Month Current'!$B$6="",0,'Upto Month Current'!$B$6)</f>
        <v>65580</v>
      </c>
      <c r="F8" s="9">
        <f>IF('Upto Month Current'!$B$7="",0,'Upto Month Current'!$B$7)</f>
        <v>168972</v>
      </c>
      <c r="G8" s="9">
        <f>IF('Upto Month Current'!$B$8="",0,'Upto Month Current'!$B$8)</f>
        <v>67744</v>
      </c>
      <c r="H8" s="9">
        <f>IF('Upto Month Current'!$B$9="",0,'Upto Month Current'!$B$9)</f>
        <v>0</v>
      </c>
      <c r="I8" s="9">
        <f>IF('Upto Month Current'!$B$10="",0,'Upto Month Current'!$B$10)</f>
        <v>0</v>
      </c>
      <c r="J8" s="9">
        <f>IF('Upto Month Current'!$B$11="",0,'Upto Month Current'!$B$11)</f>
        <v>1466</v>
      </c>
      <c r="K8" s="9">
        <f>IF('Upto Month Current'!$B$12="",0,'Upto Month Current'!$B$12)</f>
        <v>0</v>
      </c>
      <c r="L8" s="9">
        <f>IF('Upto Month Current'!$B$13="",0,'Upto Month Current'!$B$13)</f>
        <v>753</v>
      </c>
      <c r="M8" s="9">
        <f>IF('Upto Month Current'!$B$14="",0,'Upto Month Current'!$B$14)</f>
        <v>7016</v>
      </c>
      <c r="N8" s="9">
        <f>IF('Upto Month Current'!$B$15="",0,'Upto Month Current'!$B$15)</f>
        <v>5999</v>
      </c>
      <c r="O8" s="9">
        <f>IF('Upto Month Current'!$B$16="",0,'Upto Month Current'!$B$16)</f>
        <v>9478</v>
      </c>
      <c r="P8" s="9">
        <f>IF('Upto Month Current'!$B$17="",0,'Upto Month Current'!$B$17)</f>
        <v>43836</v>
      </c>
      <c r="Q8" s="9">
        <f>IF('Upto Month Current'!$B$18="",0,'Upto Month Current'!$B$18)</f>
        <v>0</v>
      </c>
      <c r="R8" s="9">
        <f>IF('Upto Month Current'!$B$21="",0,'Upto Month Current'!$B$21)</f>
        <v>7505</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10316</v>
      </c>
      <c r="Z8" s="9">
        <f>IF('Upto Month Current'!$B$43="",0,'Upto Month Current'!$B$43)</f>
        <v>1345</v>
      </c>
      <c r="AA8" s="9">
        <f>IF('Upto Month Current'!$B$44="",0,'Upto Month Current'!$B$44)</f>
        <v>4018</v>
      </c>
      <c r="AB8" s="9">
        <f>IF('Upto Month Current'!$B$48="",0,'Upto Month Current'!$B$48)</f>
        <v>2098</v>
      </c>
      <c r="AC8" s="10">
        <f>IF('Upto Month Current'!$B$51="",0,'Upto Month Current'!$B$51)</f>
        <v>0</v>
      </c>
      <c r="AD8" s="229">
        <f t="shared" si="2"/>
        <v>2327421</v>
      </c>
      <c r="AE8" s="9">
        <f>IF('Upto Month Current'!$B$19="",0,'Upto Month Current'!$B$19)</f>
        <v>8797</v>
      </c>
      <c r="AF8" s="9">
        <f>IF('Upto Month Current'!$B$20="",0,'Upto Month Current'!$B$20)</f>
        <v>4667</v>
      </c>
      <c r="AG8" s="9">
        <f>IF('Upto Month Current'!$B$22="",0,'Upto Month Current'!$B$22)</f>
        <v>53835</v>
      </c>
      <c r="AH8" s="9">
        <f>IF('Upto Month Current'!$B$23="",0,'Upto Month Current'!$B$23)</f>
        <v>41</v>
      </c>
      <c r="AI8" s="9">
        <f>IF('Upto Month Current'!$B$24="",0,'Upto Month Current'!$B$24)</f>
        <v>0</v>
      </c>
      <c r="AJ8" s="9">
        <f>IF('Upto Month Current'!$B$25="",0,'Upto Month Current'!$B$25)</f>
        <v>3396</v>
      </c>
      <c r="AK8" s="9">
        <f>IF('Upto Month Current'!$B$28="",0,'Upto Month Current'!$B$28)</f>
        <v>-243</v>
      </c>
      <c r="AL8" s="9">
        <f>IF('Upto Month Current'!$B$29="",0,'Upto Month Current'!$B$29)</f>
        <v>3255</v>
      </c>
      <c r="AM8" s="9">
        <f>IF('Upto Month Current'!$B$31="",0,'Upto Month Current'!$B$31)</f>
        <v>251</v>
      </c>
      <c r="AN8" s="9">
        <f>IF('Upto Month Current'!$B$32="",0,'Upto Month Current'!$B$32)</f>
        <v>0</v>
      </c>
      <c r="AO8" s="9">
        <f>IF('Upto Month Current'!$B$33="",0,'Upto Month Current'!$B$33)</f>
        <v>41592</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5759</v>
      </c>
      <c r="AX8" s="9">
        <f>IF('Upto Month Current'!$B$46="",0,'Upto Month Current'!$B$46)</f>
        <v>6558</v>
      </c>
      <c r="AY8" s="9">
        <f>IF('Upto Month Current'!$B$47="",0,'Upto Month Current'!$B$47)</f>
        <v>3809</v>
      </c>
      <c r="AZ8" s="9">
        <f>IF('Upto Month Current'!$B$49="",0,'Upto Month Current'!$B$49)</f>
        <v>0</v>
      </c>
      <c r="BA8" s="9">
        <f>IF('Upto Month Current'!$B$50="",0,'Upto Month Current'!$B$50)</f>
        <v>0</v>
      </c>
      <c r="BB8" s="10">
        <f>IF('Upto Month Current'!$B$52="",0,'Upto Month Current'!$B$52)</f>
        <v>0</v>
      </c>
      <c r="BC8" s="9">
        <f>IF('Upto Month Current'!$B$53="",0,'Upto Month Current'!$B$53)</f>
        <v>4136</v>
      </c>
      <c r="BD8" s="9">
        <f>IF('Upto Month Current'!$B$54="",0,'Upto Month Current'!$B$54)</f>
        <v>4136</v>
      </c>
      <c r="BE8" s="9">
        <f>IF('Upto Month Current'!$B$55="",0,'Upto Month Current'!$B$55)</f>
        <v>1</v>
      </c>
      <c r="BF8" s="9">
        <f>IF('Upto Month Current'!$B$56="",0,'Upto Month Current'!$B$56)</f>
        <v>962</v>
      </c>
      <c r="BG8" s="9">
        <f>IF('Upto Month Current'!$B$58="",0,'Upto Month Current'!$B$58)</f>
        <v>12328</v>
      </c>
      <c r="BH8" s="9">
        <f>SUM(AE8:BG8)</f>
        <v>153280</v>
      </c>
      <c r="BI8" s="222">
        <f>AD8+BH8</f>
        <v>2480701</v>
      </c>
      <c r="BJ8" s="9">
        <f>IF('Upto Month Current'!$B$60="",0,'Upto Month Current'!$B$60)</f>
        <v>6657</v>
      </c>
      <c r="BK8" s="49">
        <f t="shared" ref="BK8" si="5">BI8-BJ8</f>
        <v>2474044</v>
      </c>
      <c r="BL8">
        <f>'Upto Month Current'!$B$61</f>
        <v>2474041</v>
      </c>
      <c r="BM8" s="30">
        <f t="shared" si="4"/>
        <v>146623</v>
      </c>
    </row>
    <row r="9" spans="1:67" ht="15.75" x14ac:dyDescent="0.25">
      <c r="A9" s="128"/>
      <c r="B9" s="5" t="s">
        <v>132</v>
      </c>
      <c r="C9" s="11">
        <f>C8-C6</f>
        <v>-41221</v>
      </c>
      <c r="D9" s="11">
        <f t="shared" ref="D9:BK9" si="6">D8-D6</f>
        <v>-30615</v>
      </c>
      <c r="E9" s="11">
        <f t="shared" si="6"/>
        <v>-6938</v>
      </c>
      <c r="F9" s="11">
        <f t="shared" si="6"/>
        <v>-1271</v>
      </c>
      <c r="G9" s="11">
        <f t="shared" si="6"/>
        <v>-2935</v>
      </c>
      <c r="H9" s="11">
        <f t="shared" si="6"/>
        <v>0</v>
      </c>
      <c r="I9" s="11">
        <f t="shared" si="6"/>
        <v>0</v>
      </c>
      <c r="J9" s="11">
        <f t="shared" si="6"/>
        <v>-830</v>
      </c>
      <c r="K9" s="11">
        <f t="shared" si="6"/>
        <v>-1.08</v>
      </c>
      <c r="L9" s="11">
        <f t="shared" si="6"/>
        <v>-4767</v>
      </c>
      <c r="M9" s="11">
        <f t="shared" si="6"/>
        <v>-1693</v>
      </c>
      <c r="N9" s="11">
        <f t="shared" si="6"/>
        <v>-189</v>
      </c>
      <c r="O9" s="11">
        <f t="shared" si="6"/>
        <v>-219</v>
      </c>
      <c r="P9" s="11">
        <f t="shared" si="6"/>
        <v>5786</v>
      </c>
      <c r="Q9" s="11">
        <f t="shared" si="6"/>
        <v>0</v>
      </c>
      <c r="R9" s="11">
        <f t="shared" si="6"/>
        <v>-4659</v>
      </c>
      <c r="S9" s="11">
        <f t="shared" si="6"/>
        <v>0</v>
      </c>
      <c r="T9" s="11">
        <f t="shared" si="6"/>
        <v>0</v>
      </c>
      <c r="U9" s="11">
        <f t="shared" ref="U9" si="7">U8-U6</f>
        <v>0</v>
      </c>
      <c r="V9" s="9">
        <f t="shared" si="6"/>
        <v>0</v>
      </c>
      <c r="W9" s="11">
        <f t="shared" si="6"/>
        <v>-601</v>
      </c>
      <c r="X9" s="11">
        <f t="shared" si="6"/>
        <v>-242</v>
      </c>
      <c r="Y9" s="11">
        <f t="shared" si="6"/>
        <v>8086</v>
      </c>
      <c r="Z9" s="11">
        <f t="shared" si="6"/>
        <v>1249</v>
      </c>
      <c r="AA9" s="11">
        <f t="shared" si="6"/>
        <v>3920</v>
      </c>
      <c r="AB9" s="11">
        <f t="shared" ref="AB9" si="8">AB8-AB6</f>
        <v>-811</v>
      </c>
      <c r="AC9" s="10">
        <f t="shared" ref="AC9" si="9">AC8-AC6</f>
        <v>0</v>
      </c>
      <c r="AD9" s="223">
        <f t="shared" si="6"/>
        <v>-77951.080000000075</v>
      </c>
      <c r="AE9" s="11">
        <f t="shared" si="6"/>
        <v>-6221</v>
      </c>
      <c r="AF9" s="11">
        <f t="shared" si="6"/>
        <v>-2453</v>
      </c>
      <c r="AG9" s="11">
        <f t="shared" si="6"/>
        <v>32377</v>
      </c>
      <c r="AH9" s="11">
        <f t="shared" si="6"/>
        <v>41</v>
      </c>
      <c r="AI9" s="11">
        <f t="shared" si="6"/>
        <v>0</v>
      </c>
      <c r="AJ9" s="11">
        <f t="shared" si="6"/>
        <v>-939</v>
      </c>
      <c r="AK9" s="11">
        <f t="shared" si="6"/>
        <v>-8567</v>
      </c>
      <c r="AL9" s="11">
        <f t="shared" si="6"/>
        <v>-7395</v>
      </c>
      <c r="AM9" s="11">
        <f t="shared" si="6"/>
        <v>-559</v>
      </c>
      <c r="AN9" s="11">
        <f t="shared" si="6"/>
        <v>-11</v>
      </c>
      <c r="AO9" s="9">
        <f t="shared" si="6"/>
        <v>-1004</v>
      </c>
      <c r="AP9" s="11">
        <f t="shared" si="6"/>
        <v>-0.36</v>
      </c>
      <c r="AQ9" s="10">
        <f t="shared" si="6"/>
        <v>0</v>
      </c>
      <c r="AR9" s="11">
        <f t="shared" si="6"/>
        <v>0</v>
      </c>
      <c r="AS9" s="11">
        <f t="shared" si="6"/>
        <v>0</v>
      </c>
      <c r="AT9" s="11">
        <f t="shared" si="6"/>
        <v>0</v>
      </c>
      <c r="AU9" s="11">
        <f t="shared" si="6"/>
        <v>0</v>
      </c>
      <c r="AV9" s="11">
        <f t="shared" si="6"/>
        <v>0</v>
      </c>
      <c r="AW9" s="11">
        <f t="shared" si="6"/>
        <v>-3400</v>
      </c>
      <c r="AX9" s="11">
        <f t="shared" si="6"/>
        <v>124</v>
      </c>
      <c r="AY9" s="11">
        <f t="shared" si="6"/>
        <v>1266</v>
      </c>
      <c r="AZ9" s="11">
        <f t="shared" si="6"/>
        <v>0</v>
      </c>
      <c r="BA9" s="11">
        <f t="shared" si="6"/>
        <v>0</v>
      </c>
      <c r="BB9" s="10">
        <f t="shared" si="6"/>
        <v>0</v>
      </c>
      <c r="BC9" s="11">
        <f t="shared" si="6"/>
        <v>-1064</v>
      </c>
      <c r="BD9" s="11">
        <f t="shared" si="6"/>
        <v>-1064</v>
      </c>
      <c r="BE9" s="11">
        <f t="shared" si="6"/>
        <v>-7</v>
      </c>
      <c r="BF9" s="11">
        <f t="shared" si="6"/>
        <v>-277</v>
      </c>
      <c r="BG9" s="11">
        <f t="shared" si="6"/>
        <v>-21855</v>
      </c>
      <c r="BH9" s="9">
        <f t="shared" si="6"/>
        <v>-21008.359999999986</v>
      </c>
      <c r="BI9" s="223">
        <f t="shared" si="6"/>
        <v>-98959.439999999944</v>
      </c>
      <c r="BJ9" s="11">
        <f t="shared" si="6"/>
        <v>5817</v>
      </c>
      <c r="BK9" s="49">
        <f t="shared" si="6"/>
        <v>-104776.43999999994</v>
      </c>
      <c r="BM9" s="30">
        <f t="shared" si="4"/>
        <v>-26825.35999999987</v>
      </c>
    </row>
    <row r="10" spans="1:67" ht="15.75" x14ac:dyDescent="0.25">
      <c r="A10" s="128"/>
      <c r="B10" s="5" t="s">
        <v>133</v>
      </c>
      <c r="C10" s="13">
        <f>C9/C6</f>
        <v>-2.5847906132113331E-2</v>
      </c>
      <c r="D10" s="13">
        <f t="shared" ref="D10:BM10" si="10">D9/D6</f>
        <v>-7.496712612548638E-2</v>
      </c>
      <c r="E10" s="13">
        <f t="shared" si="10"/>
        <v>-9.567279847761935E-2</v>
      </c>
      <c r="F10" s="13">
        <f t="shared" si="10"/>
        <v>-7.4657988874726128E-3</v>
      </c>
      <c r="G10" s="13">
        <f t="shared" si="10"/>
        <v>-4.15257714455496E-2</v>
      </c>
      <c r="H10" s="13" t="e">
        <f t="shared" si="10"/>
        <v>#DIV/0!</v>
      </c>
      <c r="I10" s="13" t="e">
        <f t="shared" si="10"/>
        <v>#DIV/0!</v>
      </c>
      <c r="J10" s="13">
        <f t="shared" si="10"/>
        <v>-0.36149825783972128</v>
      </c>
      <c r="K10" s="13">
        <f t="shared" si="10"/>
        <v>-1</v>
      </c>
      <c r="L10" s="13">
        <f t="shared" si="10"/>
        <v>-0.86358695652173911</v>
      </c>
      <c r="M10" s="13">
        <f t="shared" si="10"/>
        <v>-0.1943966012171317</v>
      </c>
      <c r="N10" s="13">
        <f t="shared" si="10"/>
        <v>-3.0542986425339366E-2</v>
      </c>
      <c r="O10" s="13">
        <f t="shared" si="10"/>
        <v>-2.2584304424048674E-2</v>
      </c>
      <c r="P10" s="13">
        <f t="shared" si="10"/>
        <v>0.15206307490144547</v>
      </c>
      <c r="Q10" s="13" t="e">
        <f t="shared" si="10"/>
        <v>#DIV/0!</v>
      </c>
      <c r="R10" s="13">
        <f t="shared" si="10"/>
        <v>-0.38301545544228871</v>
      </c>
      <c r="S10" s="13" t="e">
        <f t="shared" si="10"/>
        <v>#DIV/0!</v>
      </c>
      <c r="T10" s="13" t="e">
        <f t="shared" si="10"/>
        <v>#DIV/0!</v>
      </c>
      <c r="U10" s="13" t="e">
        <f t="shared" ref="U10" si="11">U9/U6</f>
        <v>#DIV/0!</v>
      </c>
      <c r="V10" s="162" t="e">
        <f t="shared" si="10"/>
        <v>#DIV/0!</v>
      </c>
      <c r="W10" s="13">
        <f t="shared" si="10"/>
        <v>-1</v>
      </c>
      <c r="X10" s="13">
        <f t="shared" si="10"/>
        <v>-1</v>
      </c>
      <c r="Y10" s="13">
        <f t="shared" si="10"/>
        <v>3.6260089686098653</v>
      </c>
      <c r="Z10" s="13">
        <f t="shared" si="10"/>
        <v>13.010416666666666</v>
      </c>
      <c r="AA10" s="13">
        <f t="shared" si="10"/>
        <v>40</v>
      </c>
      <c r="AB10" s="13">
        <f t="shared" ref="AB10" si="12">AB9/AB6</f>
        <v>-0.2787899621863183</v>
      </c>
      <c r="AC10" s="14" t="e">
        <f t="shared" ref="AC10" si="13">AC9/AC6</f>
        <v>#DIV/0!</v>
      </c>
      <c r="AD10" s="224">
        <f t="shared" si="10"/>
        <v>-3.2407077744080269E-2</v>
      </c>
      <c r="AE10" s="13">
        <f t="shared" si="10"/>
        <v>-0.41423624983353308</v>
      </c>
      <c r="AF10" s="13">
        <f t="shared" si="10"/>
        <v>-0.34452247191011237</v>
      </c>
      <c r="AG10" s="13">
        <f t="shared" si="10"/>
        <v>1.5088545064777705</v>
      </c>
      <c r="AH10" s="13" t="e">
        <f t="shared" si="10"/>
        <v>#DIV/0!</v>
      </c>
      <c r="AI10" s="13" t="e">
        <f t="shared" si="10"/>
        <v>#DIV/0!</v>
      </c>
      <c r="AJ10" s="13">
        <f t="shared" si="10"/>
        <v>-0.21660899653979238</v>
      </c>
      <c r="AK10" s="13">
        <f t="shared" si="10"/>
        <v>-1.0291926958193176</v>
      </c>
      <c r="AL10" s="13">
        <f t="shared" si="10"/>
        <v>-0.69436619718309855</v>
      </c>
      <c r="AM10" s="13">
        <f t="shared" si="10"/>
        <v>-0.69012345679012344</v>
      </c>
      <c r="AN10" s="13">
        <f t="shared" si="10"/>
        <v>-1</v>
      </c>
      <c r="AO10" s="162">
        <f t="shared" si="10"/>
        <v>-2.3570288289980281E-2</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-0.37121956545474399</v>
      </c>
      <c r="AX10" s="13">
        <f t="shared" si="10"/>
        <v>1.9272614236866645E-2</v>
      </c>
      <c r="AY10" s="13">
        <f t="shared" si="10"/>
        <v>0.49783720015729455</v>
      </c>
      <c r="AZ10" s="13" t="e">
        <f t="shared" si="10"/>
        <v>#DIV/0!</v>
      </c>
      <c r="BA10" s="13" t="e">
        <f t="shared" si="10"/>
        <v>#DIV/0!</v>
      </c>
      <c r="BB10" s="14" t="e">
        <f t="shared" si="10"/>
        <v>#DIV/0!</v>
      </c>
      <c r="BC10" s="13">
        <f t="shared" si="10"/>
        <v>-0.20461538461538462</v>
      </c>
      <c r="BD10" s="13">
        <f t="shared" si="10"/>
        <v>-0.20461538461538462</v>
      </c>
      <c r="BE10" s="13">
        <f t="shared" si="10"/>
        <v>-0.875</v>
      </c>
      <c r="BF10" s="13">
        <f t="shared" si="10"/>
        <v>-0.22356739305891848</v>
      </c>
      <c r="BG10" s="13">
        <f t="shared" si="10"/>
        <v>-0.63935289471374657</v>
      </c>
      <c r="BH10" s="162">
        <f t="shared" si="10"/>
        <v>-0.12053794068634295</v>
      </c>
      <c r="BI10" s="224">
        <f t="shared" si="10"/>
        <v>-3.8361420931818435E-2</v>
      </c>
      <c r="BJ10" s="13">
        <f t="shared" si="10"/>
        <v>6.9249999999999998</v>
      </c>
      <c r="BK10" s="50">
        <f t="shared" si="10"/>
        <v>-4.0629598856444592E-2</v>
      </c>
      <c r="BM10" s="162" t="e">
        <f t="shared" si="10"/>
        <v>#DIV/0!</v>
      </c>
    </row>
    <row r="11" spans="1:67" ht="15.75" x14ac:dyDescent="0.25">
      <c r="A11" s="128"/>
      <c r="B11" s="5" t="s">
        <v>134</v>
      </c>
      <c r="C11" s="11">
        <f>C8-C7</f>
        <v>-19906</v>
      </c>
      <c r="D11" s="11">
        <f t="shared" ref="D11:BK11" si="14">D8-D7</f>
        <v>117567</v>
      </c>
      <c r="E11" s="11">
        <f t="shared" si="14"/>
        <v>-402</v>
      </c>
      <c r="F11" s="11">
        <f t="shared" si="14"/>
        <v>5963</v>
      </c>
      <c r="G11" s="11">
        <f t="shared" si="14"/>
        <v>5085</v>
      </c>
      <c r="H11" s="11">
        <f t="shared" si="14"/>
        <v>0</v>
      </c>
      <c r="I11" s="11">
        <f t="shared" si="14"/>
        <v>0</v>
      </c>
      <c r="J11" s="11">
        <f t="shared" si="14"/>
        <v>-221</v>
      </c>
      <c r="K11" s="11">
        <f t="shared" si="14"/>
        <v>0</v>
      </c>
      <c r="L11" s="11">
        <f t="shared" si="14"/>
        <v>-3483</v>
      </c>
      <c r="M11" s="11">
        <f t="shared" si="14"/>
        <v>34</v>
      </c>
      <c r="N11" s="11">
        <f t="shared" si="14"/>
        <v>802</v>
      </c>
      <c r="O11" s="11">
        <f t="shared" si="14"/>
        <v>295</v>
      </c>
      <c r="P11" s="11">
        <f t="shared" si="14"/>
        <v>8128</v>
      </c>
      <c r="Q11" s="11">
        <f t="shared" si="14"/>
        <v>0</v>
      </c>
      <c r="R11" s="11">
        <f t="shared" si="14"/>
        <v>1183</v>
      </c>
      <c r="S11" s="11">
        <f t="shared" si="14"/>
        <v>0</v>
      </c>
      <c r="T11" s="11">
        <f t="shared" si="14"/>
        <v>0</v>
      </c>
      <c r="U11" s="11">
        <f t="shared" ref="U11" si="15">U8-U7</f>
        <v>-845</v>
      </c>
      <c r="V11" s="9">
        <f t="shared" si="14"/>
        <v>0</v>
      </c>
      <c r="W11" s="11">
        <f t="shared" si="14"/>
        <v>-442</v>
      </c>
      <c r="X11" s="11">
        <f t="shared" si="14"/>
        <v>0</v>
      </c>
      <c r="Y11" s="11">
        <f t="shared" si="14"/>
        <v>6019</v>
      </c>
      <c r="Z11" s="11">
        <f t="shared" si="14"/>
        <v>-33</v>
      </c>
      <c r="AA11" s="11">
        <f t="shared" si="14"/>
        <v>3511</v>
      </c>
      <c r="AB11" s="11">
        <f t="shared" ref="AB11" si="16">AB8-AB7</f>
        <v>2098</v>
      </c>
      <c r="AC11" s="10">
        <f t="shared" ref="AC11" si="17">AC8-AC7</f>
        <v>0</v>
      </c>
      <c r="AD11" s="223">
        <f t="shared" si="14"/>
        <v>125353</v>
      </c>
      <c r="AE11" s="11">
        <f t="shared" si="14"/>
        <v>-3851</v>
      </c>
      <c r="AF11" s="11">
        <f t="shared" si="14"/>
        <v>-826</v>
      </c>
      <c r="AG11" s="11">
        <f t="shared" si="14"/>
        <v>-14929</v>
      </c>
      <c r="AH11" s="11">
        <f t="shared" si="14"/>
        <v>41</v>
      </c>
      <c r="AI11" s="11">
        <f t="shared" si="14"/>
        <v>0</v>
      </c>
      <c r="AJ11" s="11">
        <f t="shared" si="14"/>
        <v>-1023</v>
      </c>
      <c r="AK11" s="11">
        <f t="shared" si="14"/>
        <v>-9020</v>
      </c>
      <c r="AL11" s="11">
        <f t="shared" si="14"/>
        <v>-6934</v>
      </c>
      <c r="AM11" s="11">
        <f t="shared" si="14"/>
        <v>-574</v>
      </c>
      <c r="AN11" s="11">
        <f t="shared" si="14"/>
        <v>1</v>
      </c>
      <c r="AO11" s="9">
        <f t="shared" si="14"/>
        <v>-4793</v>
      </c>
      <c r="AP11" s="11">
        <f t="shared" si="14"/>
        <v>0</v>
      </c>
      <c r="AQ11" s="10">
        <f t="shared" si="14"/>
        <v>0</v>
      </c>
      <c r="AR11" s="11">
        <f t="shared" si="14"/>
        <v>0</v>
      </c>
      <c r="AS11" s="11">
        <f t="shared" si="14"/>
        <v>0</v>
      </c>
      <c r="AT11" s="11">
        <f t="shared" si="14"/>
        <v>0</v>
      </c>
      <c r="AU11" s="11">
        <f t="shared" si="14"/>
        <v>0</v>
      </c>
      <c r="AV11" s="11">
        <f t="shared" si="14"/>
        <v>0</v>
      </c>
      <c r="AW11" s="11">
        <f t="shared" si="14"/>
        <v>-2143</v>
      </c>
      <c r="AX11" s="11">
        <f t="shared" si="14"/>
        <v>-1276</v>
      </c>
      <c r="AY11" s="11">
        <f t="shared" si="14"/>
        <v>-625</v>
      </c>
      <c r="AZ11" s="11">
        <f t="shared" si="14"/>
        <v>0</v>
      </c>
      <c r="BA11" s="11">
        <f t="shared" si="14"/>
        <v>0</v>
      </c>
      <c r="BB11" s="10">
        <f t="shared" si="14"/>
        <v>-10</v>
      </c>
      <c r="BC11" s="11">
        <f t="shared" si="14"/>
        <v>-1277</v>
      </c>
      <c r="BD11" s="11">
        <f t="shared" si="14"/>
        <v>-1277</v>
      </c>
      <c r="BE11" s="11">
        <f t="shared" si="14"/>
        <v>1</v>
      </c>
      <c r="BF11" s="11">
        <f t="shared" si="14"/>
        <v>-778</v>
      </c>
      <c r="BG11" s="11">
        <f t="shared" si="14"/>
        <v>-12994</v>
      </c>
      <c r="BH11" s="9">
        <f t="shared" si="14"/>
        <v>-62287</v>
      </c>
      <c r="BI11" s="223">
        <f t="shared" si="14"/>
        <v>63066</v>
      </c>
      <c r="BJ11" s="11">
        <f t="shared" si="14"/>
        <v>5815</v>
      </c>
      <c r="BK11" s="49">
        <f t="shared" si="14"/>
        <v>57251</v>
      </c>
      <c r="BM11" s="30">
        <f t="shared" si="4"/>
        <v>-68102</v>
      </c>
    </row>
    <row r="12" spans="1:67" ht="15.75" x14ac:dyDescent="0.25">
      <c r="A12" s="128"/>
      <c r="B12" s="5" t="s">
        <v>135</v>
      </c>
      <c r="C12" s="13">
        <f>C11/C7</f>
        <v>-1.2651285053039937E-2</v>
      </c>
      <c r="D12" s="13">
        <f t="shared" ref="D12:BM12" si="18">D11/D7</f>
        <v>0.45183841473960112</v>
      </c>
      <c r="E12" s="13">
        <f t="shared" si="18"/>
        <v>-6.0925707011003005E-3</v>
      </c>
      <c r="F12" s="13">
        <f t="shared" si="18"/>
        <v>3.6580802286990288E-2</v>
      </c>
      <c r="G12" s="13">
        <f t="shared" si="18"/>
        <v>8.1153545380551875E-2</v>
      </c>
      <c r="H12" s="13" t="e">
        <f t="shared" si="18"/>
        <v>#DIV/0!</v>
      </c>
      <c r="I12" s="13" t="e">
        <f t="shared" si="18"/>
        <v>#DIV/0!</v>
      </c>
      <c r="J12" s="13">
        <f t="shared" si="18"/>
        <v>-0.13100177830468288</v>
      </c>
      <c r="K12" s="13" t="e">
        <f t="shared" si="18"/>
        <v>#DIV/0!</v>
      </c>
      <c r="L12" s="13">
        <f t="shared" si="18"/>
        <v>-0.82223796033994334</v>
      </c>
      <c r="M12" s="13">
        <f t="shared" si="18"/>
        <v>4.8696648524778003E-3</v>
      </c>
      <c r="N12" s="13">
        <f t="shared" si="18"/>
        <v>0.15431979988454878</v>
      </c>
      <c r="O12" s="13">
        <f t="shared" si="18"/>
        <v>3.2124578024610696E-2</v>
      </c>
      <c r="P12" s="13">
        <f t="shared" si="18"/>
        <v>0.22762406183488293</v>
      </c>
      <c r="Q12" s="13" t="e">
        <f t="shared" si="18"/>
        <v>#DIV/0!</v>
      </c>
      <c r="R12" s="13">
        <f t="shared" si="18"/>
        <v>0.1871243277443847</v>
      </c>
      <c r="S12" s="13" t="e">
        <f t="shared" si="18"/>
        <v>#DIV/0!</v>
      </c>
      <c r="T12" s="13" t="e">
        <f t="shared" si="18"/>
        <v>#DIV/0!</v>
      </c>
      <c r="U12" s="13">
        <f t="shared" ref="U12" si="19">U11/U7</f>
        <v>-1</v>
      </c>
      <c r="V12" s="162" t="e">
        <f t="shared" si="18"/>
        <v>#DIV/0!</v>
      </c>
      <c r="W12" s="13">
        <f t="shared" si="18"/>
        <v>-1</v>
      </c>
      <c r="X12" s="13" t="e">
        <f t="shared" si="18"/>
        <v>#DIV/0!</v>
      </c>
      <c r="Y12" s="13">
        <f t="shared" si="18"/>
        <v>1.400744705608564</v>
      </c>
      <c r="Z12" s="13">
        <f t="shared" si="18"/>
        <v>-2.3947750362844702E-2</v>
      </c>
      <c r="AA12" s="13">
        <f t="shared" si="18"/>
        <v>6.9250493096646943</v>
      </c>
      <c r="AB12" s="13" t="e">
        <f t="shared" ref="AB12" si="20">AB11/AB7</f>
        <v>#DIV/0!</v>
      </c>
      <c r="AC12" s="14" t="e">
        <f t="shared" ref="AC12" si="21">AC11/AC7</f>
        <v>#DIV/0!</v>
      </c>
      <c r="AD12" s="224">
        <f t="shared" si="18"/>
        <v>5.692512674449654E-2</v>
      </c>
      <c r="AE12" s="13">
        <f t="shared" si="18"/>
        <v>-0.30447501581277675</v>
      </c>
      <c r="AF12" s="13">
        <f t="shared" si="18"/>
        <v>-0.15037320225741854</v>
      </c>
      <c r="AG12" s="13">
        <f t="shared" si="18"/>
        <v>-0.2171048804607062</v>
      </c>
      <c r="AH12" s="13" t="e">
        <f t="shared" si="18"/>
        <v>#DIV/0!</v>
      </c>
      <c r="AI12" s="13" t="e">
        <f t="shared" si="18"/>
        <v>#DIV/0!</v>
      </c>
      <c r="AJ12" s="13">
        <f t="shared" si="18"/>
        <v>-0.23150033944331297</v>
      </c>
      <c r="AK12" s="13">
        <f t="shared" si="18"/>
        <v>-1.0276859974934487</v>
      </c>
      <c r="AL12" s="13">
        <f t="shared" si="18"/>
        <v>-0.68053783492001174</v>
      </c>
      <c r="AM12" s="13">
        <f t="shared" si="18"/>
        <v>-0.6957575757575758</v>
      </c>
      <c r="AN12" s="13">
        <f t="shared" si="18"/>
        <v>-1</v>
      </c>
      <c r="AO12" s="162">
        <f t="shared" si="18"/>
        <v>-0.10333081815241996</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-0.27119716527461402</v>
      </c>
      <c r="AX12" s="13">
        <f t="shared" si="18"/>
        <v>-0.16287975491447537</v>
      </c>
      <c r="AY12" s="13">
        <f t="shared" si="18"/>
        <v>-0.14095624718087504</v>
      </c>
      <c r="AZ12" s="13" t="e">
        <f t="shared" si="18"/>
        <v>#DIV/0!</v>
      </c>
      <c r="BA12" s="13" t="e">
        <f t="shared" si="18"/>
        <v>#DIV/0!</v>
      </c>
      <c r="BB12" s="14">
        <f t="shared" si="18"/>
        <v>-1</v>
      </c>
      <c r="BC12" s="13">
        <f t="shared" si="18"/>
        <v>-0.23591354147422872</v>
      </c>
      <c r="BD12" s="13">
        <f t="shared" si="18"/>
        <v>-0.23591354147422872</v>
      </c>
      <c r="BE12" s="13" t="e">
        <f t="shared" si="18"/>
        <v>#DIV/0!</v>
      </c>
      <c r="BF12" s="13">
        <f t="shared" si="18"/>
        <v>-0.44712643678160918</v>
      </c>
      <c r="BG12" s="13">
        <f t="shared" si="18"/>
        <v>-0.51315062001421685</v>
      </c>
      <c r="BH12" s="162">
        <f t="shared" si="18"/>
        <v>-0.28894496838569911</v>
      </c>
      <c r="BI12" s="224">
        <f t="shared" si="18"/>
        <v>2.608582354242886E-2</v>
      </c>
      <c r="BJ12" s="13">
        <f t="shared" si="18"/>
        <v>6.9061757719714967</v>
      </c>
      <c r="BK12" s="50">
        <f t="shared" si="18"/>
        <v>2.3688830611475621E-2</v>
      </c>
      <c r="BM12" s="14">
        <f t="shared" si="18"/>
        <v>-0.31715915706135756</v>
      </c>
      <c r="BO12" s="36"/>
    </row>
    <row r="13" spans="1:67" ht="15.75" x14ac:dyDescent="0.25">
      <c r="A13" s="128"/>
      <c r="B13" s="5" t="s">
        <v>296</v>
      </c>
      <c r="C13" s="126">
        <f>C8/C5</f>
        <v>0.58449125632073196</v>
      </c>
      <c r="D13" s="126">
        <f t="shared" ref="D13:BM13" si="22">D8/D5</f>
        <v>0.49922162636479689</v>
      </c>
      <c r="E13" s="126">
        <f t="shared" si="22"/>
        <v>0.90432720152238066</v>
      </c>
      <c r="F13" s="126">
        <f t="shared" si="22"/>
        <v>0.5955128250311903</v>
      </c>
      <c r="G13" s="126">
        <f t="shared" si="22"/>
        <v>0.5750471113525627</v>
      </c>
      <c r="H13" s="126" t="e">
        <f t="shared" si="22"/>
        <v>#DIV/0!</v>
      </c>
      <c r="I13" s="126" t="e">
        <f t="shared" si="22"/>
        <v>#DIV/0!</v>
      </c>
      <c r="J13" s="126">
        <f t="shared" si="22"/>
        <v>0.38326797385620914</v>
      </c>
      <c r="K13" s="126">
        <f t="shared" si="22"/>
        <v>0</v>
      </c>
      <c r="L13" s="126">
        <f t="shared" si="22"/>
        <v>8.1838930551027061E-2</v>
      </c>
      <c r="M13" s="126">
        <f t="shared" si="22"/>
        <v>0.48342865017570452</v>
      </c>
      <c r="N13" s="126">
        <f t="shared" si="22"/>
        <v>0.5819187118052187</v>
      </c>
      <c r="O13" s="126">
        <f t="shared" si="22"/>
        <v>0.58636476119772329</v>
      </c>
      <c r="P13" s="126">
        <f t="shared" si="22"/>
        <v>0.69123421164671939</v>
      </c>
      <c r="Q13" s="126" t="e">
        <f t="shared" si="22"/>
        <v>#DIV/0!</v>
      </c>
      <c r="R13" s="126">
        <f t="shared" si="22"/>
        <v>0.3701968134957826</v>
      </c>
      <c r="S13" s="126" t="e">
        <f t="shared" si="22"/>
        <v>#DIV/0!</v>
      </c>
      <c r="T13" s="126" t="e">
        <f t="shared" si="22"/>
        <v>#DIV/0!</v>
      </c>
      <c r="U13" s="126" t="e">
        <f t="shared" si="22"/>
        <v>#DIV/0!</v>
      </c>
      <c r="V13" s="177" t="e">
        <f t="shared" si="22"/>
        <v>#DIV/0!</v>
      </c>
      <c r="W13" s="126">
        <f t="shared" si="22"/>
        <v>0</v>
      </c>
      <c r="X13" s="126">
        <f t="shared" si="22"/>
        <v>0</v>
      </c>
      <c r="Y13" s="126">
        <f t="shared" si="22"/>
        <v>2.7768506056527591</v>
      </c>
      <c r="Z13" s="126">
        <f t="shared" si="22"/>
        <v>8.566878980891719</v>
      </c>
      <c r="AA13" s="126">
        <f t="shared" si="22"/>
        <v>24.351515151515152</v>
      </c>
      <c r="AB13" s="126">
        <f t="shared" ref="AB13" si="23">AB8/AB5</f>
        <v>0.43311312964492155</v>
      </c>
      <c r="AC13" s="215" t="e">
        <f t="shared" si="22"/>
        <v>#DIV/0!</v>
      </c>
      <c r="AD13" s="225">
        <f t="shared" si="22"/>
        <v>0.57656654918595451</v>
      </c>
      <c r="AE13" s="126">
        <f t="shared" si="22"/>
        <v>0.35145825009988013</v>
      </c>
      <c r="AF13" s="126">
        <f t="shared" si="22"/>
        <v>0.39330861284341817</v>
      </c>
      <c r="AG13" s="126">
        <f t="shared" si="22"/>
        <v>1.5051163050771639</v>
      </c>
      <c r="AH13" s="126" t="e">
        <f t="shared" si="22"/>
        <v>#DIV/0!</v>
      </c>
      <c r="AI13" s="126" t="e">
        <f t="shared" si="22"/>
        <v>#DIV/0!</v>
      </c>
      <c r="AJ13" s="126">
        <f t="shared" si="22"/>
        <v>0.47042526665743178</v>
      </c>
      <c r="AK13" s="126">
        <f t="shared" si="22"/>
        <v>-1.7518563910316486E-2</v>
      </c>
      <c r="AL13" s="126">
        <f t="shared" si="22"/>
        <v>0.18334929307722639</v>
      </c>
      <c r="AM13" s="126">
        <f t="shared" si="22"/>
        <v>0.18620178041543026</v>
      </c>
      <c r="AN13" s="126">
        <f t="shared" si="22"/>
        <v>0</v>
      </c>
      <c r="AO13" s="177">
        <f t="shared" si="22"/>
        <v>0.58584407352630463</v>
      </c>
      <c r="AP13" s="126">
        <f t="shared" si="22"/>
        <v>0</v>
      </c>
      <c r="AQ13" s="215" t="e">
        <f t="shared" si="22"/>
        <v>#DIV/0!</v>
      </c>
      <c r="AR13" s="126" t="e">
        <f t="shared" si="22"/>
        <v>#DIV/0!</v>
      </c>
      <c r="AS13" s="126" t="e">
        <f t="shared" si="22"/>
        <v>#DIV/0!</v>
      </c>
      <c r="AT13" s="126" t="e">
        <f t="shared" si="22"/>
        <v>#DIV/0!</v>
      </c>
      <c r="AU13" s="126" t="e">
        <f t="shared" si="22"/>
        <v>#DIV/0!</v>
      </c>
      <c r="AV13" s="126" t="e">
        <f t="shared" si="22"/>
        <v>#DIV/0!</v>
      </c>
      <c r="AW13" s="126">
        <f t="shared" si="22"/>
        <v>0.37726826072715364</v>
      </c>
      <c r="AX13" s="126">
        <f t="shared" si="22"/>
        <v>0.61158257950200501</v>
      </c>
      <c r="AY13" s="126">
        <f t="shared" si="22"/>
        <v>0.89856098136352913</v>
      </c>
      <c r="AZ13" s="126" t="e">
        <f t="shared" si="22"/>
        <v>#DIV/0!</v>
      </c>
      <c r="BA13" s="126" t="e">
        <f t="shared" si="22"/>
        <v>#DIV/0!</v>
      </c>
      <c r="BB13" s="215" t="e">
        <f t="shared" si="22"/>
        <v>#DIV/0!</v>
      </c>
      <c r="BC13" s="126">
        <f t="shared" si="22"/>
        <v>0.47726748211400877</v>
      </c>
      <c r="BD13" s="126">
        <f t="shared" si="22"/>
        <v>0.47726748211400877</v>
      </c>
      <c r="BE13" s="126">
        <f t="shared" si="22"/>
        <v>7.1428571428571425E-2</v>
      </c>
      <c r="BF13" s="126">
        <f t="shared" si="22"/>
        <v>0.46518375241779497</v>
      </c>
      <c r="BG13" s="126">
        <f t="shared" si="22"/>
        <v>0.21644018399522455</v>
      </c>
      <c r="BH13" s="177">
        <f t="shared" si="22"/>
        <v>0.52769649189245016</v>
      </c>
      <c r="BI13" s="225">
        <f t="shared" si="22"/>
        <v>0.57328604135598371</v>
      </c>
      <c r="BJ13" s="126">
        <f t="shared" si="22"/>
        <v>4.6261292564280749</v>
      </c>
      <c r="BK13" s="126">
        <f t="shared" si="22"/>
        <v>0.57193781754814577</v>
      </c>
      <c r="BM13" s="126" t="e">
        <f t="shared" si="22"/>
        <v>#DIV/0!</v>
      </c>
    </row>
    <row r="14" spans="1:67" s="180" customFormat="1" ht="15.75" x14ac:dyDescent="0.25">
      <c r="A14" s="128"/>
      <c r="B14" s="5" t="s">
        <v>297</v>
      </c>
      <c r="C14" s="11">
        <f>C5-C8</f>
        <v>1104389</v>
      </c>
      <c r="D14" s="11">
        <f>D5-D8</f>
        <v>378942</v>
      </c>
      <c r="E14" s="11">
        <f>E5-E8</f>
        <v>6938</v>
      </c>
      <c r="F14" s="11">
        <f>F5-F8</f>
        <v>114770</v>
      </c>
      <c r="G14" s="11">
        <f t="shared" ref="G14:BM14" si="24">G5-G8</f>
        <v>50062</v>
      </c>
      <c r="H14" s="11">
        <f t="shared" si="24"/>
        <v>0</v>
      </c>
      <c r="I14" s="11">
        <f t="shared" si="24"/>
        <v>0</v>
      </c>
      <c r="J14" s="11">
        <f t="shared" si="24"/>
        <v>2359</v>
      </c>
      <c r="K14" s="11">
        <f t="shared" si="24"/>
        <v>6</v>
      </c>
      <c r="L14" s="11">
        <f t="shared" si="24"/>
        <v>8448</v>
      </c>
      <c r="M14" s="11">
        <f t="shared" si="24"/>
        <v>7497</v>
      </c>
      <c r="N14" s="11">
        <f t="shared" si="24"/>
        <v>4310</v>
      </c>
      <c r="O14" s="11">
        <f t="shared" si="24"/>
        <v>6686</v>
      </c>
      <c r="P14" s="11">
        <f t="shared" si="24"/>
        <v>19581</v>
      </c>
      <c r="Q14" s="11">
        <f t="shared" si="24"/>
        <v>0</v>
      </c>
      <c r="R14" s="11">
        <f t="shared" si="24"/>
        <v>12768</v>
      </c>
      <c r="S14" s="11">
        <f t="shared" si="24"/>
        <v>0</v>
      </c>
      <c r="T14" s="11">
        <f t="shared" si="24"/>
        <v>0</v>
      </c>
      <c r="U14" s="11">
        <f t="shared" si="24"/>
        <v>0</v>
      </c>
      <c r="V14" s="9">
        <f t="shared" si="24"/>
        <v>0</v>
      </c>
      <c r="W14" s="11">
        <f t="shared" si="24"/>
        <v>1004</v>
      </c>
      <c r="X14" s="11">
        <f t="shared" si="24"/>
        <v>406</v>
      </c>
      <c r="Y14" s="11">
        <f t="shared" si="24"/>
        <v>-6601</v>
      </c>
      <c r="Z14" s="11">
        <f t="shared" si="24"/>
        <v>-1188</v>
      </c>
      <c r="AA14" s="11">
        <f t="shared" si="24"/>
        <v>-3853</v>
      </c>
      <c r="AB14" s="11">
        <f t="shared" ref="AB14" si="25">AB5-AB8</f>
        <v>2746</v>
      </c>
      <c r="AC14" s="10">
        <f t="shared" si="24"/>
        <v>0</v>
      </c>
      <c r="AD14" s="223">
        <f t="shared" si="24"/>
        <v>1709270</v>
      </c>
      <c r="AE14" s="11">
        <f t="shared" si="24"/>
        <v>16233</v>
      </c>
      <c r="AF14" s="11">
        <f t="shared" si="24"/>
        <v>7199</v>
      </c>
      <c r="AG14" s="11">
        <f t="shared" si="24"/>
        <v>-18067</v>
      </c>
      <c r="AH14" s="11">
        <f t="shared" si="24"/>
        <v>-41</v>
      </c>
      <c r="AI14" s="11">
        <f t="shared" si="24"/>
        <v>0</v>
      </c>
      <c r="AJ14" s="11">
        <f t="shared" si="24"/>
        <v>3823</v>
      </c>
      <c r="AK14" s="11">
        <f t="shared" si="24"/>
        <v>14114</v>
      </c>
      <c r="AL14" s="11">
        <f t="shared" si="24"/>
        <v>14498</v>
      </c>
      <c r="AM14" s="11">
        <f t="shared" si="24"/>
        <v>1097</v>
      </c>
      <c r="AN14" s="11">
        <f t="shared" si="24"/>
        <v>19</v>
      </c>
      <c r="AO14" s="9">
        <f t="shared" si="24"/>
        <v>29403</v>
      </c>
      <c r="AP14" s="11">
        <f t="shared" si="24"/>
        <v>2</v>
      </c>
      <c r="AQ14" s="10">
        <f t="shared" si="24"/>
        <v>0</v>
      </c>
      <c r="AR14" s="11">
        <f t="shared" si="24"/>
        <v>0</v>
      </c>
      <c r="AS14" s="11">
        <f t="shared" si="24"/>
        <v>0</v>
      </c>
      <c r="AT14" s="11">
        <f t="shared" si="24"/>
        <v>0</v>
      </c>
      <c r="AU14" s="11">
        <f t="shared" si="24"/>
        <v>0</v>
      </c>
      <c r="AV14" s="11">
        <f t="shared" si="24"/>
        <v>0</v>
      </c>
      <c r="AW14" s="11">
        <f t="shared" si="24"/>
        <v>9506</v>
      </c>
      <c r="AX14" s="11">
        <f t="shared" si="24"/>
        <v>4165</v>
      </c>
      <c r="AY14" s="11">
        <f t="shared" si="24"/>
        <v>430</v>
      </c>
      <c r="AZ14" s="11">
        <f t="shared" si="24"/>
        <v>0</v>
      </c>
      <c r="BA14" s="11">
        <f t="shared" si="24"/>
        <v>0</v>
      </c>
      <c r="BB14" s="10">
        <f t="shared" si="24"/>
        <v>0</v>
      </c>
      <c r="BC14" s="11">
        <f t="shared" si="24"/>
        <v>4530</v>
      </c>
      <c r="BD14" s="11">
        <f t="shared" si="24"/>
        <v>4530</v>
      </c>
      <c r="BE14" s="11">
        <f t="shared" si="24"/>
        <v>13</v>
      </c>
      <c r="BF14" s="11">
        <f t="shared" si="24"/>
        <v>1106</v>
      </c>
      <c r="BG14" s="11">
        <f t="shared" si="24"/>
        <v>44630</v>
      </c>
      <c r="BH14" s="11">
        <f t="shared" si="24"/>
        <v>137190</v>
      </c>
      <c r="BI14" s="223">
        <f t="shared" si="24"/>
        <v>1846460</v>
      </c>
      <c r="BJ14" s="11">
        <f t="shared" si="24"/>
        <v>-5218</v>
      </c>
      <c r="BK14" s="11">
        <f t="shared" si="24"/>
        <v>1851678</v>
      </c>
      <c r="BL14" s="11">
        <f t="shared" si="24"/>
        <v>-2474040</v>
      </c>
      <c r="BM14" s="11">
        <f t="shared" si="24"/>
        <v>-146623</v>
      </c>
    </row>
    <row r="15" spans="1:67" ht="15.75" x14ac:dyDescent="0.2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22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226"/>
      <c r="BJ15" s="5"/>
      <c r="BK15" s="48"/>
    </row>
    <row r="16" spans="1:67" ht="15.75" x14ac:dyDescent="0.25">
      <c r="A16" s="15" t="s">
        <v>136</v>
      </c>
      <c r="B16" s="11" t="s">
        <v>300</v>
      </c>
      <c r="C16" s="120">
        <v>4776865</v>
      </c>
      <c r="D16" s="120">
        <v>1359634</v>
      </c>
      <c r="E16" s="120">
        <v>272943</v>
      </c>
      <c r="F16" s="120">
        <v>384668</v>
      </c>
      <c r="G16" s="120">
        <v>275484</v>
      </c>
      <c r="H16" s="120">
        <v>0</v>
      </c>
      <c r="I16" s="120">
        <v>0</v>
      </c>
      <c r="J16" s="120">
        <v>0</v>
      </c>
      <c r="K16" s="120">
        <v>0</v>
      </c>
      <c r="L16" s="120">
        <v>74988</v>
      </c>
      <c r="M16" s="120">
        <v>508892</v>
      </c>
      <c r="N16" s="120">
        <v>638</v>
      </c>
      <c r="O16" s="120">
        <v>9836</v>
      </c>
      <c r="P16" s="120">
        <v>277243</v>
      </c>
      <c r="Q16" s="120">
        <v>0</v>
      </c>
      <c r="R16" s="120">
        <v>7855</v>
      </c>
      <c r="S16" s="120">
        <v>0</v>
      </c>
      <c r="T16" s="120">
        <v>0</v>
      </c>
      <c r="U16" s="120"/>
      <c r="V16" s="189">
        <v>0</v>
      </c>
      <c r="W16" s="120">
        <v>0</v>
      </c>
      <c r="X16" s="120">
        <v>0</v>
      </c>
      <c r="Y16" s="120">
        <v>11205</v>
      </c>
      <c r="Z16" s="120">
        <v>710</v>
      </c>
      <c r="AA16" s="120">
        <v>1257</v>
      </c>
      <c r="AB16" s="120">
        <v>8704</v>
      </c>
      <c r="AC16" s="151">
        <v>0</v>
      </c>
      <c r="AD16" s="229">
        <f t="shared" ref="AD16:AD17" si="26">SUM(C16:AC16)</f>
        <v>7970922</v>
      </c>
      <c r="AE16" s="120">
        <v>3210</v>
      </c>
      <c r="AF16" s="120">
        <v>1005</v>
      </c>
      <c r="AG16" s="120">
        <v>16779</v>
      </c>
      <c r="AH16" s="120">
        <v>0</v>
      </c>
      <c r="AI16" s="120">
        <v>0</v>
      </c>
      <c r="AJ16" s="120">
        <v>141</v>
      </c>
      <c r="AK16" s="120">
        <v>264414</v>
      </c>
      <c r="AL16" s="120">
        <v>284909</v>
      </c>
      <c r="AM16" s="120">
        <v>0</v>
      </c>
      <c r="AN16" s="120">
        <v>101024</v>
      </c>
      <c r="AO16" s="189">
        <v>835503</v>
      </c>
      <c r="AP16" s="120">
        <v>18310</v>
      </c>
      <c r="AQ16" s="151">
        <v>0</v>
      </c>
      <c r="AR16" s="120">
        <v>0</v>
      </c>
      <c r="AS16" s="120"/>
      <c r="AT16" s="120"/>
      <c r="AU16" s="120">
        <v>0</v>
      </c>
      <c r="AV16" s="120"/>
      <c r="AW16" s="120">
        <v>2724</v>
      </c>
      <c r="AX16" s="120">
        <v>2363</v>
      </c>
      <c r="AY16" s="120">
        <v>1366</v>
      </c>
      <c r="AZ16" s="120">
        <v>0</v>
      </c>
      <c r="BA16" s="120">
        <v>0</v>
      </c>
      <c r="BB16" s="151">
        <v>0</v>
      </c>
      <c r="BC16" s="120">
        <v>30573</v>
      </c>
      <c r="BD16" s="120">
        <v>30575</v>
      </c>
      <c r="BE16" s="120">
        <v>0</v>
      </c>
      <c r="BF16" s="120">
        <v>10406</v>
      </c>
      <c r="BG16" s="120">
        <v>22367</v>
      </c>
      <c r="BH16" s="9">
        <f>SUM(AE16:BG16)</f>
        <v>1625669</v>
      </c>
      <c r="BI16" s="222">
        <f>AD16+BH16</f>
        <v>9596591</v>
      </c>
      <c r="BJ16" s="96">
        <v>32950</v>
      </c>
      <c r="BK16" s="49">
        <f t="shared" ref="BK16:BK17" si="27">BI16-BJ16</f>
        <v>9563641</v>
      </c>
      <c r="BL16">
        <v>2</v>
      </c>
      <c r="BM16" s="30"/>
    </row>
    <row r="17" spans="1:65" s="41" customFormat="1" ht="15.75" x14ac:dyDescent="0.25">
      <c r="A17" s="134" t="s">
        <v>136</v>
      </c>
      <c r="B17" s="216" t="s">
        <v>325</v>
      </c>
      <c r="C17" s="10">
        <v>2866119</v>
      </c>
      <c r="D17" s="10">
        <v>733767</v>
      </c>
      <c r="E17" s="10">
        <v>272942</v>
      </c>
      <c r="F17" s="10">
        <v>230777</v>
      </c>
      <c r="G17" s="10">
        <v>165288</v>
      </c>
      <c r="H17" s="10">
        <v>0</v>
      </c>
      <c r="I17" s="10">
        <v>0</v>
      </c>
      <c r="J17" s="10">
        <v>0</v>
      </c>
      <c r="K17" s="10">
        <v>0</v>
      </c>
      <c r="L17" s="10">
        <v>44993</v>
      </c>
      <c r="M17" s="10">
        <v>305333</v>
      </c>
      <c r="N17" s="10">
        <v>383</v>
      </c>
      <c r="O17" s="10">
        <v>5902</v>
      </c>
      <c r="P17" s="10">
        <v>166347</v>
      </c>
      <c r="Q17" s="10">
        <v>0</v>
      </c>
      <c r="R17" s="10">
        <v>4711</v>
      </c>
      <c r="S17" s="10">
        <v>0</v>
      </c>
      <c r="T17" s="10">
        <v>0</v>
      </c>
      <c r="U17" s="10"/>
      <c r="V17" s="10">
        <v>0</v>
      </c>
      <c r="W17" s="10">
        <v>0</v>
      </c>
      <c r="X17" s="10">
        <v>0</v>
      </c>
      <c r="Y17" s="10">
        <v>6723</v>
      </c>
      <c r="Z17" s="10">
        <v>427</v>
      </c>
      <c r="AA17" s="10">
        <v>777</v>
      </c>
      <c r="AB17" s="10">
        <v>5221</v>
      </c>
      <c r="AC17" s="10">
        <v>0</v>
      </c>
      <c r="AD17" s="229">
        <f t="shared" si="26"/>
        <v>4809710</v>
      </c>
      <c r="AE17" s="10">
        <v>1927</v>
      </c>
      <c r="AF17" s="10">
        <v>602</v>
      </c>
      <c r="AG17" s="10">
        <v>10067</v>
      </c>
      <c r="AH17" s="10">
        <v>0</v>
      </c>
      <c r="AI17" s="10">
        <v>0</v>
      </c>
      <c r="AJ17" s="10">
        <v>83</v>
      </c>
      <c r="AK17" s="10">
        <v>158649</v>
      </c>
      <c r="AL17" s="10">
        <v>170948</v>
      </c>
      <c r="AM17" s="10">
        <v>0</v>
      </c>
      <c r="AN17" s="10">
        <v>60614</v>
      </c>
      <c r="AO17" s="10">
        <v>501302</v>
      </c>
      <c r="AP17" s="10">
        <v>10987</v>
      </c>
      <c r="AQ17" s="10">
        <v>0</v>
      </c>
      <c r="AR17" s="10">
        <v>0</v>
      </c>
      <c r="AS17" s="10"/>
      <c r="AT17" s="10"/>
      <c r="AU17" s="10">
        <v>0</v>
      </c>
      <c r="AV17" s="10"/>
      <c r="AW17" s="10">
        <v>1634</v>
      </c>
      <c r="AX17" s="10">
        <v>1417</v>
      </c>
      <c r="AY17" s="10">
        <v>819</v>
      </c>
      <c r="AZ17" s="10">
        <v>0</v>
      </c>
      <c r="BA17" s="10">
        <v>0</v>
      </c>
      <c r="BB17" s="10">
        <v>0</v>
      </c>
      <c r="BC17" s="10">
        <v>18344</v>
      </c>
      <c r="BD17" s="10">
        <v>18346</v>
      </c>
      <c r="BE17" s="10">
        <v>0</v>
      </c>
      <c r="BF17" s="10">
        <v>6243</v>
      </c>
      <c r="BG17" s="10">
        <v>13427</v>
      </c>
      <c r="BH17" s="10">
        <f>SUM(AE17:BG17)</f>
        <v>975409</v>
      </c>
      <c r="BI17" s="222">
        <f>AD17+BH17</f>
        <v>5785119</v>
      </c>
      <c r="BJ17" s="10">
        <v>19221</v>
      </c>
      <c r="BK17" s="10">
        <f t="shared" si="27"/>
        <v>5765898</v>
      </c>
      <c r="BM17" s="217"/>
    </row>
    <row r="18" spans="1:65" ht="15.75" x14ac:dyDescent="0.25">
      <c r="A18" s="128"/>
      <c r="B18" s="12" t="s">
        <v>326</v>
      </c>
      <c r="C18" s="9">
        <f>IF('Upto Month COPPY'!$C$4="",0,'Upto Month COPPY'!$C$4)</f>
        <v>2772190</v>
      </c>
      <c r="D18" s="9">
        <f>IF('Upto Month COPPY'!$C$5="",0,'Upto Month COPPY'!$C$5)</f>
        <v>442269</v>
      </c>
      <c r="E18" s="9">
        <f>IF('Upto Month COPPY'!$C$6="",0,'Upto Month COPPY'!$C$6)</f>
        <v>249121</v>
      </c>
      <c r="F18" s="9">
        <f>IF('Upto Month COPPY'!$C$7="",0,'Upto Month COPPY'!$C$7)</f>
        <v>204828</v>
      </c>
      <c r="G18" s="9">
        <f>IF('Upto Month COPPY'!$C$8="",0,'Upto Month COPPY'!$C$8)</f>
        <v>152326</v>
      </c>
      <c r="H18" s="9">
        <f>IF('Upto Month COPPY'!$C$9="",0,'Upto Month COPPY'!$C$9)</f>
        <v>0</v>
      </c>
      <c r="I18" s="9">
        <f>IF('Upto Month COPPY'!$C$10="",0,'Upto Month COPPY'!$C$10)</f>
        <v>0</v>
      </c>
      <c r="J18" s="9">
        <f>IF('Upto Month COPPY'!$C$11="",0,'Upto Month COPPY'!$C$11)</f>
        <v>156</v>
      </c>
      <c r="K18" s="9">
        <f>IF('Upto Month COPPY'!$C$12="",0,'Upto Month COPPY'!$C$12)</f>
        <v>98</v>
      </c>
      <c r="L18" s="9">
        <f>IF('Upto Month COPPY'!$C$13="",0,'Upto Month COPPY'!$C$13)</f>
        <v>51560</v>
      </c>
      <c r="M18" s="9">
        <f>IF('Upto Month COPPY'!$C$14="",0,'Upto Month COPPY'!$C$14)</f>
        <v>288303</v>
      </c>
      <c r="N18" s="9">
        <f>IF('Upto Month COPPY'!$C$15="",0,'Upto Month COPPY'!$C$15)</f>
        <v>265</v>
      </c>
      <c r="O18" s="9">
        <f>IF('Upto Month COPPY'!$C$16="",0,'Upto Month COPPY'!$C$16)</f>
        <v>16046</v>
      </c>
      <c r="P18" s="9">
        <f>IF('Upto Month COPPY'!$C$17="",0,'Upto Month COPPY'!$C$17)</f>
        <v>213333</v>
      </c>
      <c r="Q18" s="9">
        <f>IF('Upto Month COPPY'!$C$18="",0,'Upto Month COPPY'!$C$18)</f>
        <v>0</v>
      </c>
      <c r="R18" s="9">
        <f>IF('Upto Month COPPY'!$C$21="",0,'Upto Month COPPY'!$C$21)</f>
        <v>2388</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8938</v>
      </c>
      <c r="Z18" s="9">
        <f>IF('Upto Month COPPY'!$C$43="",0,'Upto Month COPPY'!$C$43)</f>
        <v>241</v>
      </c>
      <c r="AA18" s="9">
        <f>IF('Upto Month COPPY'!$C$44="",0,'Upto Month COPPY'!$C$44)</f>
        <v>618</v>
      </c>
      <c r="AB18" s="9">
        <f>IF('Upto Month COPPY'!$C$48="",0,'Upto Month COPPY'!$C$48)</f>
        <v>0</v>
      </c>
      <c r="AC18" s="10">
        <f>IF('Upto Month COPPY'!$C$51="",0,'Upto Month COPPY'!$C$51)</f>
        <v>0</v>
      </c>
      <c r="AD18" s="229">
        <f t="shared" ref="AD18:AD19" si="28">SUM(C18:AC18)</f>
        <v>4402680</v>
      </c>
      <c r="AE18" s="9">
        <f>IF('Upto Month COPPY'!$C$19="",0,'Upto Month COPPY'!$C$19)</f>
        <v>1490</v>
      </c>
      <c r="AF18" s="9">
        <f>IF('Upto Month COPPY'!$C$20="",0,'Upto Month COPPY'!$C$20)</f>
        <v>675</v>
      </c>
      <c r="AG18" s="9">
        <f>IF('Upto Month COPPY'!$C$22="",0,'Upto Month COPPY'!$C$22)</f>
        <v>33658</v>
      </c>
      <c r="AH18" s="9">
        <f>IF('Upto Month COPPY'!$C$23="",0,'Upto Month COPPY'!$C$23)</f>
        <v>0</v>
      </c>
      <c r="AI18" s="9">
        <f>IF('Upto Month COPPY'!$C$24="",0,'Upto Month COPPY'!$C$24)</f>
        <v>0</v>
      </c>
      <c r="AJ18" s="9">
        <f>IF('Upto Month COPPY'!$C$25="",0,'Upto Month COPPY'!$C$25)</f>
        <v>389</v>
      </c>
      <c r="AK18" s="9">
        <f>IF('Upto Month COPPY'!$C$28="",0,'Upto Month COPPY'!$C$28)</f>
        <v>194451</v>
      </c>
      <c r="AL18" s="9">
        <f>IF('Upto Month COPPY'!$C$29="",0,'Upto Month COPPY'!$C$29)</f>
        <v>185843</v>
      </c>
      <c r="AM18" s="9">
        <f>IF('Upto Month COPPY'!$C$31="",0,'Upto Month COPPY'!$C$31)</f>
        <v>0</v>
      </c>
      <c r="AN18" s="9">
        <f>IF('Upto Month COPPY'!$C$32="",0,'Upto Month COPPY'!$C$32)</f>
        <v>96392</v>
      </c>
      <c r="AO18" s="9">
        <f>IF('Upto Month COPPY'!$C$33="",0,'Upto Month COPPY'!$C$33)</f>
        <v>677548</v>
      </c>
      <c r="AP18" s="9">
        <f>IF('Upto Month COPPY'!$C$34="",0,'Upto Month COPPY'!$C$34)</f>
        <v>123801</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288</v>
      </c>
      <c r="AX18" s="9">
        <f>IF('Upto Month COPPY'!$C$46="",0,'Upto Month COPPY'!$C$46)</f>
        <v>1135</v>
      </c>
      <c r="AY18" s="9">
        <f>IF('Upto Month COPPY'!$C$47="",0,'Upto Month COPPY'!$C$47)</f>
        <v>133</v>
      </c>
      <c r="AZ18" s="9">
        <f>IF('Upto Month COPPY'!$C$49="",0,'Upto Month COPPY'!$C$49)</f>
        <v>0</v>
      </c>
      <c r="BA18" s="9">
        <f>IF('Upto Month COPPY'!$C$50="",0,'Upto Month COPPY'!$C$50)</f>
        <v>0</v>
      </c>
      <c r="BB18" s="10">
        <f>IF('Upto Month COPPY'!$C$52="",0,'Upto Month COPPY'!$C$52)</f>
        <v>0</v>
      </c>
      <c r="BC18" s="9">
        <f>IF('Upto Month COPPY'!$C$53="",0,'Upto Month COPPY'!$C$53)</f>
        <v>27776</v>
      </c>
      <c r="BD18" s="9">
        <f>IF('Upto Month COPPY'!$C$54="",0,'Upto Month COPPY'!$C$54)</f>
        <v>27856</v>
      </c>
      <c r="BE18" s="9">
        <f>IF('Upto Month COPPY'!$C$55="",0,'Upto Month COPPY'!$C$55)</f>
        <v>0</v>
      </c>
      <c r="BF18" s="9">
        <f>IF('Upto Month COPPY'!$C$56="",0,'Upto Month COPPY'!$C$56)</f>
        <v>7353</v>
      </c>
      <c r="BG18" s="9">
        <f>IF('Upto Month COPPY'!$C$58="",0,'Upto Month COPPY'!$C$58)</f>
        <v>8697</v>
      </c>
      <c r="BH18" s="9">
        <f>SUM(AE18:BG18)</f>
        <v>1387485</v>
      </c>
      <c r="BI18" s="222">
        <f>AD18+BH18</f>
        <v>5790165</v>
      </c>
      <c r="BJ18" s="9">
        <f>IF('Upto Month COPPY'!$C$60="",0,'Upto Month COPPY'!$C$60)</f>
        <v>3578</v>
      </c>
      <c r="BK18" s="49">
        <f t="shared" ref="BK18:BK19" si="29">BI18-BJ18</f>
        <v>5786587</v>
      </c>
      <c r="BL18">
        <f>'Upto Month COPPY'!$C$61</f>
        <v>5786588</v>
      </c>
      <c r="BM18" s="30">
        <f t="shared" ref="BM18:BM22" si="30">BK18-AD18</f>
        <v>1383907</v>
      </c>
    </row>
    <row r="19" spans="1:65" ht="15.75" x14ac:dyDescent="0.25">
      <c r="A19" s="128"/>
      <c r="B19" s="182" t="s">
        <v>327</v>
      </c>
      <c r="C19" s="9">
        <f>IF('Upto Month Current'!$C$4="",0,'Upto Month Current'!$C$4)</f>
        <v>2836478</v>
      </c>
      <c r="D19" s="9">
        <f>IF('Upto Month Current'!$C$5="",0,'Upto Month Current'!$C$5)</f>
        <v>664715</v>
      </c>
      <c r="E19" s="9">
        <f>IF('Upto Month Current'!$C$6="",0,'Upto Month Current'!$C$6)</f>
        <v>253603</v>
      </c>
      <c r="F19" s="9">
        <f>IF('Upto Month Current'!$C$7="",0,'Upto Month Current'!$C$7)</f>
        <v>216366</v>
      </c>
      <c r="G19" s="9">
        <f>IF('Upto Month Current'!$C$8="",0,'Upto Month Current'!$C$8)</f>
        <v>169501</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41114</v>
      </c>
      <c r="M19" s="9">
        <f>IF('Upto Month Current'!$C$14="",0,'Upto Month Current'!$C$14)</f>
        <v>310599</v>
      </c>
      <c r="N19" s="9">
        <f>IF('Upto Month Current'!$C$15="",0,'Upto Month Current'!$C$15)</f>
        <v>565</v>
      </c>
      <c r="O19" s="9">
        <f>IF('Upto Month Current'!$C$16="",0,'Upto Month Current'!$C$16)</f>
        <v>3299</v>
      </c>
      <c r="P19" s="9">
        <f>IF('Upto Month Current'!$C$17="",0,'Upto Month Current'!$C$17)</f>
        <v>189838</v>
      </c>
      <c r="Q19" s="9">
        <f>IF('Upto Month Current'!$C$18="",0,'Upto Month Current'!$C$18)</f>
        <v>0</v>
      </c>
      <c r="R19" s="9">
        <f>IF('Upto Month Current'!$C$21="",0,'Upto Month Current'!$C$21)</f>
        <v>3767</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27483</v>
      </c>
      <c r="Z19" s="9">
        <f>IF('Upto Month Current'!$C$43="",0,'Upto Month Current'!$C$43)</f>
        <v>2452</v>
      </c>
      <c r="AA19" s="9">
        <f>IF('Upto Month Current'!$C$44="",0,'Upto Month Current'!$C$44)</f>
        <v>1331</v>
      </c>
      <c r="AB19" s="9">
        <f>IF('Upto Month Current'!$C$48="",0,'Upto Month Current'!$C$48)</f>
        <v>0</v>
      </c>
      <c r="AC19" s="10">
        <f>IF('Upto Month Current'!$C$51="",0,'Upto Month Current'!$C$51)</f>
        <v>0</v>
      </c>
      <c r="AD19" s="229">
        <f t="shared" si="28"/>
        <v>4721111</v>
      </c>
      <c r="AE19" s="9">
        <f>IF('Upto Month Current'!$C$19="",0,'Upto Month Current'!$C$19)</f>
        <v>1930</v>
      </c>
      <c r="AF19" s="9">
        <f>IF('Upto Month Current'!$C$20="",0,'Upto Month Current'!$C$20)</f>
        <v>502</v>
      </c>
      <c r="AG19" s="9">
        <f>IF('Upto Month Current'!$C$22="",0,'Upto Month Current'!$C$22)</f>
        <v>20255</v>
      </c>
      <c r="AH19" s="9">
        <f>IF('Upto Month Current'!$C$23="",0,'Upto Month Current'!$C$23)</f>
        <v>0</v>
      </c>
      <c r="AI19" s="9">
        <f>IF('Upto Month Current'!$C$24="",0,'Upto Month Current'!$C$24)</f>
        <v>0</v>
      </c>
      <c r="AJ19" s="9">
        <f>IF('Upto Month Current'!$C$25="",0,'Upto Month Current'!$C$25)</f>
        <v>76</v>
      </c>
      <c r="AK19" s="9">
        <f>IF('Upto Month Current'!$C$28="",0,'Upto Month Current'!$C$28)</f>
        <v>72216</v>
      </c>
      <c r="AL19" s="9">
        <f>IF('Upto Month Current'!$C$29="",0,'Upto Month Current'!$C$29)</f>
        <v>146009</v>
      </c>
      <c r="AM19" s="9">
        <f>IF('Upto Month Current'!$C$31="",0,'Upto Month Current'!$C$31)</f>
        <v>0</v>
      </c>
      <c r="AN19" s="9">
        <f>IF('Upto Month Current'!$C$32="",0,'Upto Month Current'!$C$32)</f>
        <v>102191</v>
      </c>
      <c r="AO19" s="9">
        <f>IF('Upto Month Current'!$C$33="",0,'Upto Month Current'!$C$33)</f>
        <v>548383</v>
      </c>
      <c r="AP19" s="9">
        <f>IF('Upto Month Current'!$C$34="",0,'Upto Month Current'!$C$34)</f>
        <v>347332</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212</v>
      </c>
      <c r="AX19" s="9">
        <f>IF('Upto Month Current'!$C$46="",0,'Upto Month Current'!$C$46)</f>
        <v>659</v>
      </c>
      <c r="AY19" s="9">
        <f>IF('Upto Month Current'!$C$47="",0,'Upto Month Current'!$C$47)</f>
        <v>120</v>
      </c>
      <c r="AZ19" s="9">
        <f>IF('Upto Month Current'!$C$49="",0,'Upto Month Current'!$C$49)</f>
        <v>0</v>
      </c>
      <c r="BA19" s="9">
        <f>IF('Upto Month Current'!$C$50="",0,'Upto Month Current'!$C$50)</f>
        <v>0</v>
      </c>
      <c r="BB19" s="10">
        <f>IF('Upto Month Current'!$C$52="",0,'Upto Month Current'!$C$52)</f>
        <v>0</v>
      </c>
      <c r="BC19" s="9">
        <f>IF('Upto Month Current'!$C$53="",0,'Upto Month Current'!$C$53)</f>
        <v>26170</v>
      </c>
      <c r="BD19" s="9">
        <f>IF('Upto Month Current'!$C$54="",0,'Upto Month Current'!$C$54)</f>
        <v>25480</v>
      </c>
      <c r="BE19" s="9">
        <f>IF('Upto Month Current'!$C$55="",0,'Upto Month Current'!$C$55)</f>
        <v>0</v>
      </c>
      <c r="BF19" s="9">
        <f>IF('Upto Month Current'!$C$56="",0,'Upto Month Current'!$C$56)</f>
        <v>6753</v>
      </c>
      <c r="BG19" s="9">
        <f>IF('Upto Month Current'!$C$58="",0,'Upto Month Current'!$C$58)</f>
        <v>5219</v>
      </c>
      <c r="BH19" s="9">
        <f>SUM(AE19:BG19)</f>
        <v>1303507</v>
      </c>
      <c r="BI19" s="222">
        <f>AD19+BH19</f>
        <v>6024618</v>
      </c>
      <c r="BJ19" s="9">
        <f>IF('Upto Month Current'!$C$60="",0,'Upto Month Current'!$C$60)</f>
        <v>68749</v>
      </c>
      <c r="BK19" s="49">
        <f t="shared" si="29"/>
        <v>5955869</v>
      </c>
      <c r="BL19">
        <f>'Upto Month Current'!$C$61</f>
        <v>5955870</v>
      </c>
      <c r="BM19" s="30">
        <f t="shared" si="30"/>
        <v>1234758</v>
      </c>
    </row>
    <row r="20" spans="1:65" ht="15.75" x14ac:dyDescent="0.25">
      <c r="A20" s="128"/>
      <c r="B20" s="5" t="s">
        <v>132</v>
      </c>
      <c r="C20" s="11">
        <f>C19-C17</f>
        <v>-29641</v>
      </c>
      <c r="D20" s="11">
        <f t="shared" ref="D20" si="31">D19-D17</f>
        <v>-69052</v>
      </c>
      <c r="E20" s="11">
        <f t="shared" ref="E20" si="32">E19-E17</f>
        <v>-19339</v>
      </c>
      <c r="F20" s="11">
        <f t="shared" ref="F20" si="33">F19-F17</f>
        <v>-14411</v>
      </c>
      <c r="G20" s="11">
        <f t="shared" ref="G20" si="34">G19-G17</f>
        <v>4213</v>
      </c>
      <c r="H20" s="11">
        <f t="shared" ref="H20" si="35">H19-H17</f>
        <v>0</v>
      </c>
      <c r="I20" s="11">
        <f t="shared" ref="I20" si="36">I19-I17</f>
        <v>0</v>
      </c>
      <c r="J20" s="11">
        <f t="shared" ref="J20" si="37">J19-J17</f>
        <v>0</v>
      </c>
      <c r="K20" s="11">
        <f t="shared" ref="K20" si="38">K19-K17</f>
        <v>0</v>
      </c>
      <c r="L20" s="11">
        <f t="shared" ref="L20" si="39">L19-L17</f>
        <v>-3879</v>
      </c>
      <c r="M20" s="11">
        <f t="shared" ref="M20" si="40">M19-M17</f>
        <v>5266</v>
      </c>
      <c r="N20" s="11">
        <f t="shared" ref="N20" si="41">N19-N17</f>
        <v>182</v>
      </c>
      <c r="O20" s="11">
        <f t="shared" ref="O20" si="42">O19-O17</f>
        <v>-2603</v>
      </c>
      <c r="P20" s="11">
        <f t="shared" ref="P20" si="43">P19-P17</f>
        <v>23491</v>
      </c>
      <c r="Q20" s="11">
        <f t="shared" ref="Q20" si="44">Q19-Q17</f>
        <v>0</v>
      </c>
      <c r="R20" s="11">
        <f t="shared" ref="R20" si="45">R19-R17</f>
        <v>-944</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20760</v>
      </c>
      <c r="Z20" s="11">
        <f t="shared" ref="Z20" si="52">Z19-Z17</f>
        <v>2025</v>
      </c>
      <c r="AA20" s="11">
        <f t="shared" ref="AA20:AD20" si="53">AA19-AA17</f>
        <v>554</v>
      </c>
      <c r="AB20" s="11">
        <f t="shared" ref="AB20" si="54">AB19-AB17</f>
        <v>-5221</v>
      </c>
      <c r="AC20" s="10">
        <f t="shared" si="53"/>
        <v>0</v>
      </c>
      <c r="AD20" s="223">
        <f t="shared" si="53"/>
        <v>-88599</v>
      </c>
      <c r="AE20" s="11">
        <f t="shared" ref="AE20" si="55">AE19-AE17</f>
        <v>3</v>
      </c>
      <c r="AF20" s="11">
        <f t="shared" ref="AF20" si="56">AF19-AF17</f>
        <v>-100</v>
      </c>
      <c r="AG20" s="11">
        <f t="shared" ref="AG20" si="57">AG19-AG17</f>
        <v>10188</v>
      </c>
      <c r="AH20" s="11">
        <f t="shared" ref="AH20" si="58">AH19-AH17</f>
        <v>0</v>
      </c>
      <c r="AI20" s="11">
        <f t="shared" ref="AI20" si="59">AI19-AI17</f>
        <v>0</v>
      </c>
      <c r="AJ20" s="11">
        <f t="shared" ref="AJ20" si="60">AJ19-AJ17</f>
        <v>-7</v>
      </c>
      <c r="AK20" s="11">
        <f t="shared" ref="AK20" si="61">AK19-AK17</f>
        <v>-86433</v>
      </c>
      <c r="AL20" s="11">
        <f t="shared" ref="AL20" si="62">AL19-AL17</f>
        <v>-24939</v>
      </c>
      <c r="AM20" s="11">
        <f t="shared" ref="AM20" si="63">AM19-AM17</f>
        <v>0</v>
      </c>
      <c r="AN20" s="11">
        <f t="shared" ref="AN20" si="64">AN19-AN17</f>
        <v>41577</v>
      </c>
      <c r="AO20" s="9">
        <f t="shared" ref="AO20" si="65">AO19-AO17</f>
        <v>47081</v>
      </c>
      <c r="AP20" s="11">
        <f t="shared" ref="AP20" si="66">AP19-AP17</f>
        <v>336345</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-1422</v>
      </c>
      <c r="AX20" s="11">
        <f t="shared" ref="AX20" si="74">AX19-AX17</f>
        <v>-758</v>
      </c>
      <c r="AY20" s="11">
        <f t="shared" ref="AY20" si="75">AY19-AY17</f>
        <v>-699</v>
      </c>
      <c r="AZ20" s="11">
        <f t="shared" ref="AZ20" si="76">AZ19-AZ17</f>
        <v>0</v>
      </c>
      <c r="BA20" s="11">
        <f t="shared" ref="BA20" si="77">BA19-BA17</f>
        <v>0</v>
      </c>
      <c r="BB20" s="10">
        <f t="shared" ref="BB20" si="78">BB19-BB17</f>
        <v>0</v>
      </c>
      <c r="BC20" s="11">
        <f t="shared" ref="BC20" si="79">BC19-BC17</f>
        <v>7826</v>
      </c>
      <c r="BD20" s="11">
        <f t="shared" ref="BD20" si="80">BD19-BD17</f>
        <v>7134</v>
      </c>
      <c r="BE20" s="11">
        <f t="shared" ref="BE20" si="81">BE19-BE17</f>
        <v>0</v>
      </c>
      <c r="BF20" s="11">
        <f t="shared" ref="BF20" si="82">BF19-BF17</f>
        <v>510</v>
      </c>
      <c r="BG20" s="11">
        <f t="shared" ref="BG20:BH20" si="83">BG19-BG17</f>
        <v>-8208</v>
      </c>
      <c r="BH20" s="9">
        <f t="shared" si="83"/>
        <v>328098</v>
      </c>
      <c r="BI20" s="223">
        <f t="shared" ref="BI20" si="84">BI19-BI17</f>
        <v>239499</v>
      </c>
      <c r="BJ20" s="11">
        <f t="shared" ref="BJ20:BK20" si="85">BJ19-BJ17</f>
        <v>49528</v>
      </c>
      <c r="BK20" s="49">
        <f t="shared" si="85"/>
        <v>189971</v>
      </c>
      <c r="BM20" s="30">
        <f t="shared" si="30"/>
        <v>278570</v>
      </c>
    </row>
    <row r="21" spans="1:65" ht="15.75" x14ac:dyDescent="0.25">
      <c r="A21" s="128"/>
      <c r="B21" s="5" t="s">
        <v>133</v>
      </c>
      <c r="C21" s="13">
        <f>C20/C17</f>
        <v>-1.0341859497110901E-2</v>
      </c>
      <c r="D21" s="13">
        <f t="shared" ref="D21" si="86">D20/D17</f>
        <v>-9.4106167216568753E-2</v>
      </c>
      <c r="E21" s="13">
        <f t="shared" ref="E21" si="87">E20/E17</f>
        <v>-7.085388104432444E-2</v>
      </c>
      <c r="F21" s="13">
        <f t="shared" ref="F21" si="88">F20/F17</f>
        <v>-6.2445564332667465E-2</v>
      </c>
      <c r="G21" s="13">
        <f t="shared" ref="G21" si="89">G20/G17</f>
        <v>2.5488843715212237E-2</v>
      </c>
      <c r="H21" s="13" t="e">
        <f t="shared" ref="H21" si="90">H20/H17</f>
        <v>#DIV/0!</v>
      </c>
      <c r="I21" s="13" t="e">
        <f t="shared" ref="I21" si="91">I20/I17</f>
        <v>#DIV/0!</v>
      </c>
      <c r="J21" s="13" t="e">
        <f t="shared" ref="J21" si="92">J20/J17</f>
        <v>#DIV/0!</v>
      </c>
      <c r="K21" s="13" t="e">
        <f t="shared" ref="K21" si="93">K20/K17</f>
        <v>#DIV/0!</v>
      </c>
      <c r="L21" s="13">
        <f t="shared" ref="L21" si="94">L20/L17</f>
        <v>-8.6213410975040566E-2</v>
      </c>
      <c r="M21" s="13">
        <f t="shared" ref="M21" si="95">M20/M17</f>
        <v>1.7246743719152531E-2</v>
      </c>
      <c r="N21" s="13">
        <f t="shared" ref="N21" si="96">N20/N17</f>
        <v>0.47519582245430808</v>
      </c>
      <c r="O21" s="13">
        <f t="shared" ref="O21" si="97">O20/O17</f>
        <v>-0.44103693663165028</v>
      </c>
      <c r="P21" s="13">
        <f t="shared" ref="P21" si="98">P20/P17</f>
        <v>0.14121685392582975</v>
      </c>
      <c r="Q21" s="13" t="e">
        <f t="shared" ref="Q21" si="99">Q20/Q17</f>
        <v>#DIV/0!</v>
      </c>
      <c r="R21" s="13">
        <f t="shared" ref="R21" si="100">R20/R17</f>
        <v>-0.20038208448312461</v>
      </c>
      <c r="S21" s="13" t="e">
        <f t="shared" ref="S21" si="101">S20/S17</f>
        <v>#DIV/0!</v>
      </c>
      <c r="T21" s="13" t="e">
        <f t="shared" ref="T21:U21" si="102">T20/T17</f>
        <v>#DIV/0!</v>
      </c>
      <c r="U21" s="13" t="e">
        <f t="shared" si="102"/>
        <v>#DIV/0!</v>
      </c>
      <c r="V21" s="162" t="e">
        <f t="shared" ref="V21" si="103">V20/V17</f>
        <v>#DIV/0!</v>
      </c>
      <c r="W21" s="13" t="e">
        <f t="shared" ref="W21" si="104">W20/W17</f>
        <v>#DIV/0!</v>
      </c>
      <c r="X21" s="13" t="e">
        <f t="shared" ref="X21" si="105">X20/X17</f>
        <v>#DIV/0!</v>
      </c>
      <c r="Y21" s="13">
        <f t="shared" ref="Y21" si="106">Y20/Y17</f>
        <v>3.0879071842927264</v>
      </c>
      <c r="Z21" s="13">
        <f t="shared" ref="Z21" si="107">Z20/Z17</f>
        <v>4.7423887587822016</v>
      </c>
      <c r="AA21" s="13">
        <f t="shared" ref="AA21:AD21" si="108">AA20/AA17</f>
        <v>0.71299871299871298</v>
      </c>
      <c r="AB21" s="13">
        <f t="shared" ref="AB21" si="109">AB20/AB17</f>
        <v>-1</v>
      </c>
      <c r="AC21" s="14" t="e">
        <f t="shared" si="108"/>
        <v>#DIV/0!</v>
      </c>
      <c r="AD21" s="224">
        <f t="shared" si="108"/>
        <v>-1.8420861132999702E-2</v>
      </c>
      <c r="AE21" s="13">
        <f t="shared" ref="AE21" si="110">AE20/AE17</f>
        <v>1.5568240788790867E-3</v>
      </c>
      <c r="AF21" s="13">
        <f t="shared" ref="AF21" si="111">AF20/AF17</f>
        <v>-0.16611295681063123</v>
      </c>
      <c r="AG21" s="13">
        <f t="shared" ref="AG21" si="112">AG20/AG17</f>
        <v>1.0120194695539884</v>
      </c>
      <c r="AH21" s="13" t="e">
        <f t="shared" ref="AH21" si="113">AH20/AH17</f>
        <v>#DIV/0!</v>
      </c>
      <c r="AI21" s="13" t="e">
        <f t="shared" ref="AI21" si="114">AI20/AI17</f>
        <v>#DIV/0!</v>
      </c>
      <c r="AJ21" s="13">
        <f t="shared" ref="AJ21" si="115">AJ20/AJ17</f>
        <v>-8.4337349397590355E-2</v>
      </c>
      <c r="AK21" s="13">
        <f t="shared" ref="AK21" si="116">AK20/AK17</f>
        <v>-0.54480645954276419</v>
      </c>
      <c r="AL21" s="13">
        <f t="shared" ref="AL21" si="117">AL20/AL17</f>
        <v>-0.14588646839974728</v>
      </c>
      <c r="AM21" s="13" t="e">
        <f t="shared" ref="AM21" si="118">AM20/AM17</f>
        <v>#DIV/0!</v>
      </c>
      <c r="AN21" s="13">
        <f t="shared" ref="AN21" si="119">AN20/AN17</f>
        <v>0.6859306430857558</v>
      </c>
      <c r="AO21" s="162">
        <f t="shared" ref="AO21" si="120">AO20/AO17</f>
        <v>9.3917438988872975E-2</v>
      </c>
      <c r="AP21" s="13">
        <f t="shared" ref="AP21" si="121">AP20/AP17</f>
        <v>30.612997178483663</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-0.87025703794369647</v>
      </c>
      <c r="AX21" s="13">
        <f t="shared" ref="AX21" si="129">AX20/AX17</f>
        <v>-0.5349329569513056</v>
      </c>
      <c r="AY21" s="13">
        <f t="shared" ref="AY21" si="130">AY20/AY17</f>
        <v>-0.85347985347985345</v>
      </c>
      <c r="AZ21" s="13" t="e">
        <f t="shared" ref="AZ21" si="131">AZ20/AZ17</f>
        <v>#DIV/0!</v>
      </c>
      <c r="BA21" s="13" t="e">
        <f t="shared" ref="BA21" si="132">BA20/BA17</f>
        <v>#DIV/0!</v>
      </c>
      <c r="BB21" s="14" t="e">
        <f t="shared" ref="BB21" si="133">BB20/BB17</f>
        <v>#DIV/0!</v>
      </c>
      <c r="BC21" s="13">
        <f t="shared" ref="BC21" si="134">BC20/BC17</f>
        <v>0.42662450937636287</v>
      </c>
      <c r="BD21" s="13">
        <f t="shared" ref="BD21" si="135">BD20/BD17</f>
        <v>0.38885860678076967</v>
      </c>
      <c r="BE21" s="13" t="e">
        <f t="shared" ref="BE21" si="136">BE20/BE17</f>
        <v>#DIV/0!</v>
      </c>
      <c r="BF21" s="13">
        <f t="shared" ref="BF21" si="137">BF20/BF17</f>
        <v>8.1691494473810675E-2</v>
      </c>
      <c r="BG21" s="13">
        <f t="shared" ref="BG21:BH21" si="138">BG20/BG17</f>
        <v>-0.61130557831235566</v>
      </c>
      <c r="BH21" s="162">
        <f t="shared" si="138"/>
        <v>0.3363696664681175</v>
      </c>
      <c r="BI21" s="224">
        <f t="shared" ref="BI21" si="139">BI20/BI17</f>
        <v>4.1399148401268841E-2</v>
      </c>
      <c r="BJ21" s="13">
        <f t="shared" ref="BJ21:BK21" si="140">BJ20/BJ17</f>
        <v>2.576764996618282</v>
      </c>
      <c r="BK21" s="50">
        <f t="shared" si="140"/>
        <v>3.2947339685856392E-2</v>
      </c>
      <c r="BM21" s="162" t="e">
        <f t="shared" ref="BM21" si="141">BM20/BM17</f>
        <v>#DIV/0!</v>
      </c>
    </row>
    <row r="22" spans="1:65" ht="15.75" x14ac:dyDescent="0.25">
      <c r="A22" s="128"/>
      <c r="B22" s="5" t="s">
        <v>134</v>
      </c>
      <c r="C22" s="11">
        <f>C19-C18</f>
        <v>64288</v>
      </c>
      <c r="D22" s="11">
        <f t="shared" ref="D22:BK22" si="142">D19-D18</f>
        <v>222446</v>
      </c>
      <c r="E22" s="11">
        <f t="shared" si="142"/>
        <v>4482</v>
      </c>
      <c r="F22" s="11">
        <f t="shared" si="142"/>
        <v>11538</v>
      </c>
      <c r="G22" s="11">
        <f t="shared" si="142"/>
        <v>17175</v>
      </c>
      <c r="H22" s="11">
        <f t="shared" si="142"/>
        <v>0</v>
      </c>
      <c r="I22" s="11">
        <f t="shared" si="142"/>
        <v>0</v>
      </c>
      <c r="J22" s="11">
        <f t="shared" si="142"/>
        <v>-156</v>
      </c>
      <c r="K22" s="11">
        <f t="shared" si="142"/>
        <v>-98</v>
      </c>
      <c r="L22" s="11">
        <f t="shared" si="142"/>
        <v>-10446</v>
      </c>
      <c r="M22" s="11">
        <f t="shared" si="142"/>
        <v>22296</v>
      </c>
      <c r="N22" s="11">
        <f t="shared" si="142"/>
        <v>300</v>
      </c>
      <c r="O22" s="11">
        <f t="shared" si="142"/>
        <v>-12747</v>
      </c>
      <c r="P22" s="11">
        <f t="shared" si="142"/>
        <v>-23495</v>
      </c>
      <c r="Q22" s="11">
        <f t="shared" si="142"/>
        <v>0</v>
      </c>
      <c r="R22" s="11">
        <f t="shared" si="142"/>
        <v>1379</v>
      </c>
      <c r="S22" s="11">
        <f t="shared" si="142"/>
        <v>0</v>
      </c>
      <c r="T22" s="11">
        <f t="shared" si="142"/>
        <v>0</v>
      </c>
      <c r="U22" s="11">
        <f t="shared" ref="U22" si="143">U19-U18</f>
        <v>0</v>
      </c>
      <c r="V22" s="9">
        <f t="shared" si="142"/>
        <v>0</v>
      </c>
      <c r="W22" s="11">
        <f t="shared" si="142"/>
        <v>0</v>
      </c>
      <c r="X22" s="11">
        <f t="shared" si="142"/>
        <v>0</v>
      </c>
      <c r="Y22" s="11">
        <f t="shared" si="142"/>
        <v>18545</v>
      </c>
      <c r="Z22" s="11">
        <f t="shared" si="142"/>
        <v>2211</v>
      </c>
      <c r="AA22" s="11">
        <f t="shared" si="142"/>
        <v>713</v>
      </c>
      <c r="AB22" s="11">
        <f t="shared" ref="AB22" si="144">AB19-AB18</f>
        <v>0</v>
      </c>
      <c r="AC22" s="10">
        <f t="shared" ref="AC22:AD22" si="145">AC19-AC18</f>
        <v>0</v>
      </c>
      <c r="AD22" s="223">
        <f t="shared" si="145"/>
        <v>318431</v>
      </c>
      <c r="AE22" s="11">
        <f t="shared" si="142"/>
        <v>440</v>
      </c>
      <c r="AF22" s="11">
        <f t="shared" si="142"/>
        <v>-173</v>
      </c>
      <c r="AG22" s="11">
        <f t="shared" si="142"/>
        <v>-13403</v>
      </c>
      <c r="AH22" s="11">
        <f t="shared" si="142"/>
        <v>0</v>
      </c>
      <c r="AI22" s="11">
        <f t="shared" si="142"/>
        <v>0</v>
      </c>
      <c r="AJ22" s="11">
        <f t="shared" si="142"/>
        <v>-313</v>
      </c>
      <c r="AK22" s="11">
        <f t="shared" si="142"/>
        <v>-122235</v>
      </c>
      <c r="AL22" s="11">
        <f t="shared" si="142"/>
        <v>-39834</v>
      </c>
      <c r="AM22" s="11">
        <f t="shared" si="142"/>
        <v>0</v>
      </c>
      <c r="AN22" s="11">
        <f t="shared" si="142"/>
        <v>5799</v>
      </c>
      <c r="AO22" s="9">
        <f t="shared" si="142"/>
        <v>-129165</v>
      </c>
      <c r="AP22" s="11">
        <f t="shared" si="142"/>
        <v>223531</v>
      </c>
      <c r="AQ22" s="10">
        <f t="shared" si="142"/>
        <v>0</v>
      </c>
      <c r="AR22" s="11">
        <f t="shared" si="142"/>
        <v>0</v>
      </c>
      <c r="AS22" s="11">
        <f t="shared" si="142"/>
        <v>0</v>
      </c>
      <c r="AT22" s="11">
        <f t="shared" si="142"/>
        <v>0</v>
      </c>
      <c r="AU22" s="11">
        <f t="shared" si="142"/>
        <v>0</v>
      </c>
      <c r="AV22" s="11">
        <f t="shared" si="142"/>
        <v>0</v>
      </c>
      <c r="AW22" s="11">
        <f t="shared" si="142"/>
        <v>-76</v>
      </c>
      <c r="AX22" s="11">
        <f t="shared" si="142"/>
        <v>-476</v>
      </c>
      <c r="AY22" s="11">
        <f t="shared" si="142"/>
        <v>-13</v>
      </c>
      <c r="AZ22" s="11">
        <f t="shared" si="142"/>
        <v>0</v>
      </c>
      <c r="BA22" s="11">
        <f t="shared" si="142"/>
        <v>0</v>
      </c>
      <c r="BB22" s="10">
        <f t="shared" si="142"/>
        <v>0</v>
      </c>
      <c r="BC22" s="11">
        <f t="shared" si="142"/>
        <v>-1606</v>
      </c>
      <c r="BD22" s="11">
        <f t="shared" si="142"/>
        <v>-2376</v>
      </c>
      <c r="BE22" s="11">
        <f t="shared" si="142"/>
        <v>0</v>
      </c>
      <c r="BF22" s="11">
        <f t="shared" si="142"/>
        <v>-600</v>
      </c>
      <c r="BG22" s="11">
        <f t="shared" si="142"/>
        <v>-3478</v>
      </c>
      <c r="BH22" s="9">
        <f t="shared" si="142"/>
        <v>-83978</v>
      </c>
      <c r="BI22" s="223">
        <f t="shared" si="142"/>
        <v>234453</v>
      </c>
      <c r="BJ22" s="11">
        <f t="shared" si="142"/>
        <v>65171</v>
      </c>
      <c r="BK22" s="49">
        <f t="shared" si="142"/>
        <v>169282</v>
      </c>
      <c r="BM22" s="30">
        <f t="shared" si="30"/>
        <v>-149149</v>
      </c>
    </row>
    <row r="23" spans="1:65" ht="15.75" x14ac:dyDescent="0.25">
      <c r="A23" s="128"/>
      <c r="B23" s="5" t="s">
        <v>135</v>
      </c>
      <c r="C23" s="13">
        <f>C22/C18</f>
        <v>2.3190329667158456E-2</v>
      </c>
      <c r="D23" s="13">
        <f t="shared" ref="D23" si="146">D22/D18</f>
        <v>0.50296538984192873</v>
      </c>
      <c r="E23" s="13">
        <f t="shared" ref="E23" si="147">E22/E18</f>
        <v>1.7991257260528016E-2</v>
      </c>
      <c r="F23" s="13">
        <f t="shared" ref="F23" si="148">F22/F18</f>
        <v>5.6330189231940948E-2</v>
      </c>
      <c r="G23" s="13">
        <f t="shared" ref="G23" si="149">G22/G18</f>
        <v>0.11275159854522537</v>
      </c>
      <c r="H23" s="13" t="e">
        <f t="shared" ref="H23" si="150">H22/H18</f>
        <v>#DIV/0!</v>
      </c>
      <c r="I23" s="13" t="e">
        <f t="shared" ref="I23" si="151">I22/I18</f>
        <v>#DIV/0!</v>
      </c>
      <c r="J23" s="13">
        <f t="shared" ref="J23" si="152">J22/J18</f>
        <v>-1</v>
      </c>
      <c r="K23" s="13">
        <f t="shared" ref="K23" si="153">K22/K18</f>
        <v>-1</v>
      </c>
      <c r="L23" s="13">
        <f t="shared" ref="L23" si="154">L22/L18</f>
        <v>-0.2025989138867339</v>
      </c>
      <c r="M23" s="13">
        <f t="shared" ref="M23" si="155">M22/M18</f>
        <v>7.7335303482794146E-2</v>
      </c>
      <c r="N23" s="13">
        <f t="shared" ref="N23" si="156">N22/N18</f>
        <v>1.1320754716981132</v>
      </c>
      <c r="O23" s="13">
        <f t="shared" ref="O23" si="157">O22/O18</f>
        <v>-0.79440358967967095</v>
      </c>
      <c r="P23" s="13">
        <f t="shared" ref="P23" si="158">P22/P18</f>
        <v>-0.1101329845827884</v>
      </c>
      <c r="Q23" s="13" t="e">
        <f t="shared" ref="Q23" si="159">Q22/Q18</f>
        <v>#DIV/0!</v>
      </c>
      <c r="R23" s="13">
        <f t="shared" ref="R23" si="160">R22/R18</f>
        <v>0.57747068676716917</v>
      </c>
      <c r="S23" s="13" t="e">
        <f t="shared" ref="S23" si="161">S22/S18</f>
        <v>#DIV/0!</v>
      </c>
      <c r="T23" s="13" t="e">
        <f t="shared" ref="T23:U23" si="162">T22/T18</f>
        <v>#DIV/0!</v>
      </c>
      <c r="U23" s="13" t="e">
        <f t="shared" si="162"/>
        <v>#DIV/0!</v>
      </c>
      <c r="V23" s="162" t="e">
        <f t="shared" ref="V23" si="163">V22/V18</f>
        <v>#DIV/0!</v>
      </c>
      <c r="W23" s="13" t="e">
        <f t="shared" ref="W23" si="164">W22/W18</f>
        <v>#DIV/0!</v>
      </c>
      <c r="X23" s="13" t="e">
        <f t="shared" ref="X23" si="165">X22/X18</f>
        <v>#DIV/0!</v>
      </c>
      <c r="Y23" s="13">
        <f t="shared" ref="Y23" si="166">Y22/Y18</f>
        <v>2.0748489594987691</v>
      </c>
      <c r="Z23" s="13">
        <f t="shared" ref="Z23" si="167">Z22/Z18</f>
        <v>9.1742738589211612</v>
      </c>
      <c r="AA23" s="13">
        <f t="shared" ref="AA23:AD23" si="168">AA22/AA18</f>
        <v>1.1537216828478964</v>
      </c>
      <c r="AB23" s="13" t="e">
        <f t="shared" ref="AB23" si="169">AB22/AB18</f>
        <v>#DIV/0!</v>
      </c>
      <c r="AC23" s="14" t="e">
        <f t="shared" si="168"/>
        <v>#DIV/0!</v>
      </c>
      <c r="AD23" s="224">
        <f t="shared" si="168"/>
        <v>7.2326628326383022E-2</v>
      </c>
      <c r="AE23" s="13">
        <f t="shared" ref="AE23" si="170">AE22/AE18</f>
        <v>0.29530201342281881</v>
      </c>
      <c r="AF23" s="13">
        <f t="shared" ref="AF23" si="171">AF22/AF18</f>
        <v>-0.2562962962962963</v>
      </c>
      <c r="AG23" s="13">
        <f t="shared" ref="AG23" si="172">AG22/AG18</f>
        <v>-0.39821142076178023</v>
      </c>
      <c r="AH23" s="13" t="e">
        <f t="shared" ref="AH23" si="173">AH22/AH18</f>
        <v>#DIV/0!</v>
      </c>
      <c r="AI23" s="13" t="e">
        <f t="shared" ref="AI23" si="174">AI22/AI18</f>
        <v>#DIV/0!</v>
      </c>
      <c r="AJ23" s="13">
        <f t="shared" ref="AJ23" si="175">AJ22/AJ18</f>
        <v>-0.80462724935732644</v>
      </c>
      <c r="AK23" s="13">
        <f t="shared" ref="AK23" si="176">AK22/AK18</f>
        <v>-0.62861594951941624</v>
      </c>
      <c r="AL23" s="13">
        <f t="shared" ref="AL23" si="177">AL22/AL18</f>
        <v>-0.21434221358888955</v>
      </c>
      <c r="AM23" s="13" t="e">
        <f t="shared" ref="AM23" si="178">AM22/AM18</f>
        <v>#DIV/0!</v>
      </c>
      <c r="AN23" s="13">
        <f t="shared" ref="AN23" si="179">AN22/AN18</f>
        <v>6.0160594240185911E-2</v>
      </c>
      <c r="AO23" s="162">
        <f t="shared" ref="AO23" si="180">AO22/AO18</f>
        <v>-0.19063594018431165</v>
      </c>
      <c r="AP23" s="13">
        <f t="shared" ref="AP23" si="181">AP22/AP18</f>
        <v>1.805566998651061</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-0.2638888888888889</v>
      </c>
      <c r="AX23" s="13">
        <f t="shared" ref="AX23" si="189">AX22/AX18</f>
        <v>-0.41938325991189429</v>
      </c>
      <c r="AY23" s="13">
        <f t="shared" ref="AY23" si="190">AY22/AY18</f>
        <v>-9.7744360902255634E-2</v>
      </c>
      <c r="AZ23" s="13" t="e">
        <f t="shared" ref="AZ23" si="191">AZ22/AZ18</f>
        <v>#DIV/0!</v>
      </c>
      <c r="BA23" s="13" t="e">
        <f t="shared" ref="BA23" si="192">BA22/BA18</f>
        <v>#DIV/0!</v>
      </c>
      <c r="BB23" s="14" t="e">
        <f t="shared" ref="BB23" si="193">BB22/BB18</f>
        <v>#DIV/0!</v>
      </c>
      <c r="BC23" s="13">
        <f t="shared" ref="BC23" si="194">BC22/BC18</f>
        <v>-5.7819700460829494E-2</v>
      </c>
      <c r="BD23" s="13">
        <f t="shared" ref="BD23" si="195">BD22/BD18</f>
        <v>-8.5295807007466973E-2</v>
      </c>
      <c r="BE23" s="13" t="e">
        <f t="shared" ref="BE23" si="196">BE22/BE18</f>
        <v>#DIV/0!</v>
      </c>
      <c r="BF23" s="13">
        <f t="shared" ref="BF23" si="197">BF22/BF18</f>
        <v>-8.1599347205222356E-2</v>
      </c>
      <c r="BG23" s="13">
        <f t="shared" ref="BG23:BH23" si="198">BG22/BG18</f>
        <v>-0.39990801425779005</v>
      </c>
      <c r="BH23" s="162">
        <f t="shared" si="198"/>
        <v>-6.0525339012674012E-2</v>
      </c>
      <c r="BI23" s="224">
        <f t="shared" ref="BI23" si="199">BI22/BI18</f>
        <v>4.0491592208512193E-2</v>
      </c>
      <c r="BJ23" s="13">
        <f t="shared" ref="BJ23:BK23" si="200">BJ22/BJ18</f>
        <v>18.214365567356065</v>
      </c>
      <c r="BK23" s="50">
        <f t="shared" si="200"/>
        <v>2.9254204594176152E-2</v>
      </c>
      <c r="BM23" s="14">
        <f t="shared" ref="BM23" si="201">BM22/BM18</f>
        <v>-0.10777386052675506</v>
      </c>
    </row>
    <row r="24" spans="1:65" ht="15.75" x14ac:dyDescent="0.25">
      <c r="A24" s="128"/>
      <c r="B24" s="5" t="s">
        <v>296</v>
      </c>
      <c r="C24" s="126">
        <f t="shared" ref="C24:AI24" si="202">C19/C16</f>
        <v>0.59379488430173344</v>
      </c>
      <c r="D24" s="126">
        <f t="shared" si="202"/>
        <v>0.48889259903768217</v>
      </c>
      <c r="E24" s="126">
        <f t="shared" si="202"/>
        <v>0.92914271477927624</v>
      </c>
      <c r="F24" s="126">
        <f t="shared" si="202"/>
        <v>0.56247465346740566</v>
      </c>
      <c r="G24" s="126">
        <f t="shared" si="202"/>
        <v>0.61528437223214416</v>
      </c>
      <c r="H24" s="126" t="e">
        <f t="shared" si="202"/>
        <v>#DIV/0!</v>
      </c>
      <c r="I24" s="126" t="e">
        <f t="shared" si="202"/>
        <v>#DIV/0!</v>
      </c>
      <c r="J24" s="126" t="e">
        <f t="shared" si="202"/>
        <v>#DIV/0!</v>
      </c>
      <c r="K24" s="126" t="e">
        <f t="shared" si="202"/>
        <v>#DIV/0!</v>
      </c>
      <c r="L24" s="126">
        <f t="shared" si="202"/>
        <v>0.54827439056915772</v>
      </c>
      <c r="M24" s="126">
        <f t="shared" si="202"/>
        <v>0.6103436485541136</v>
      </c>
      <c r="N24" s="126">
        <f t="shared" si="202"/>
        <v>0.88557993730407525</v>
      </c>
      <c r="O24" s="126">
        <f t="shared" si="202"/>
        <v>0.33540056933712892</v>
      </c>
      <c r="P24" s="126">
        <f t="shared" si="202"/>
        <v>0.68473505192196016</v>
      </c>
      <c r="Q24" s="126" t="e">
        <f t="shared" si="202"/>
        <v>#DIV/0!</v>
      </c>
      <c r="R24" s="126">
        <f t="shared" si="202"/>
        <v>0.47956715467854871</v>
      </c>
      <c r="S24" s="126" t="e">
        <f t="shared" si="202"/>
        <v>#DIV/0!</v>
      </c>
      <c r="T24" s="126" t="e">
        <f t="shared" si="202"/>
        <v>#DIV/0!</v>
      </c>
      <c r="U24" s="126" t="e">
        <f t="shared" si="202"/>
        <v>#DIV/0!</v>
      </c>
      <c r="V24" s="177" t="e">
        <f t="shared" si="202"/>
        <v>#DIV/0!</v>
      </c>
      <c r="W24" s="126" t="e">
        <f t="shared" si="202"/>
        <v>#DIV/0!</v>
      </c>
      <c r="X24" s="126" t="e">
        <f t="shared" si="202"/>
        <v>#DIV/0!</v>
      </c>
      <c r="Y24" s="126">
        <f t="shared" si="202"/>
        <v>2.4527443105756359</v>
      </c>
      <c r="Z24" s="126">
        <f t="shared" si="202"/>
        <v>3.4535211267605632</v>
      </c>
      <c r="AA24" s="126">
        <f t="shared" si="202"/>
        <v>1.0588703261734287</v>
      </c>
      <c r="AB24" s="126">
        <f t="shared" ref="AB24" si="203">AB19/AB16</f>
        <v>0</v>
      </c>
      <c r="AC24" s="215" t="e">
        <f t="shared" si="202"/>
        <v>#DIV/0!</v>
      </c>
      <c r="AD24" s="225">
        <f t="shared" si="202"/>
        <v>0.59229170728304703</v>
      </c>
      <c r="AE24" s="126">
        <f t="shared" si="202"/>
        <v>0.60124610591900307</v>
      </c>
      <c r="AF24" s="126">
        <f t="shared" si="202"/>
        <v>0.49950248756218907</v>
      </c>
      <c r="AG24" s="126">
        <f t="shared" si="202"/>
        <v>1.2071637165504501</v>
      </c>
      <c r="AH24" s="126" t="e">
        <f t="shared" si="202"/>
        <v>#DIV/0!</v>
      </c>
      <c r="AI24" s="126" t="e">
        <f t="shared" si="202"/>
        <v>#DIV/0!</v>
      </c>
      <c r="AJ24" s="126">
        <f t="shared" ref="AJ24:BK24" si="204">AJ19/AJ16</f>
        <v>0.53900709219858156</v>
      </c>
      <c r="AK24" s="126">
        <f t="shared" si="204"/>
        <v>0.27311715718532303</v>
      </c>
      <c r="AL24" s="126">
        <f t="shared" si="204"/>
        <v>0.51247591336181031</v>
      </c>
      <c r="AM24" s="126" t="e">
        <f t="shared" si="204"/>
        <v>#DIV/0!</v>
      </c>
      <c r="AN24" s="126">
        <f t="shared" si="204"/>
        <v>1.0115517104846372</v>
      </c>
      <c r="AO24" s="177">
        <f t="shared" si="204"/>
        <v>0.65635072525173455</v>
      </c>
      <c r="AP24" s="126">
        <f t="shared" si="204"/>
        <v>18.969524849808849</v>
      </c>
      <c r="AQ24" s="215" t="e">
        <f t="shared" si="204"/>
        <v>#DIV/0!</v>
      </c>
      <c r="AR24" s="126" t="e">
        <f t="shared" si="204"/>
        <v>#DIV/0!</v>
      </c>
      <c r="AS24" s="126" t="e">
        <f t="shared" si="204"/>
        <v>#DIV/0!</v>
      </c>
      <c r="AT24" s="126" t="e">
        <f t="shared" si="204"/>
        <v>#DIV/0!</v>
      </c>
      <c r="AU24" s="126" t="e">
        <f t="shared" si="204"/>
        <v>#DIV/0!</v>
      </c>
      <c r="AV24" s="126" t="e">
        <f t="shared" si="204"/>
        <v>#DIV/0!</v>
      </c>
      <c r="AW24" s="126">
        <f t="shared" si="204"/>
        <v>7.7826725403817909E-2</v>
      </c>
      <c r="AX24" s="126">
        <f t="shared" si="204"/>
        <v>0.27888277613203555</v>
      </c>
      <c r="AY24" s="126">
        <f t="shared" si="204"/>
        <v>8.7847730600292828E-2</v>
      </c>
      <c r="AZ24" s="126" t="e">
        <f t="shared" si="204"/>
        <v>#DIV/0!</v>
      </c>
      <c r="BA24" s="126" t="e">
        <f t="shared" si="204"/>
        <v>#DIV/0!</v>
      </c>
      <c r="BB24" s="215" t="e">
        <f t="shared" si="204"/>
        <v>#DIV/0!</v>
      </c>
      <c r="BC24" s="126">
        <f t="shared" si="204"/>
        <v>0.85598403820364377</v>
      </c>
      <c r="BD24" s="126">
        <f t="shared" si="204"/>
        <v>0.8333605887162715</v>
      </c>
      <c r="BE24" s="126" t="e">
        <f t="shared" si="204"/>
        <v>#DIV/0!</v>
      </c>
      <c r="BF24" s="126">
        <f t="shared" si="204"/>
        <v>0.64895252738804532</v>
      </c>
      <c r="BG24" s="126">
        <f t="shared" si="204"/>
        <v>0.23333482362408905</v>
      </c>
      <c r="BH24" s="177">
        <f t="shared" si="204"/>
        <v>0.80182804740694447</v>
      </c>
      <c r="BI24" s="225">
        <f t="shared" si="204"/>
        <v>0.62778730488774603</v>
      </c>
      <c r="BJ24" s="126">
        <f t="shared" si="204"/>
        <v>2.0864643399089529</v>
      </c>
      <c r="BK24" s="126">
        <f t="shared" si="204"/>
        <v>0.62276166577143577</v>
      </c>
      <c r="BM24" s="126" t="e">
        <f>BM19/BM16</f>
        <v>#DIV/0!</v>
      </c>
    </row>
    <row r="25" spans="1:65" ht="15.75" x14ac:dyDescent="0.25">
      <c r="A25" s="128"/>
      <c r="B25" s="5" t="s">
        <v>298</v>
      </c>
      <c r="C25" s="11">
        <f t="shared" ref="C25:AI25" si="205">C19-C16</f>
        <v>-1940387</v>
      </c>
      <c r="D25" s="11">
        <f t="shared" si="205"/>
        <v>-694919</v>
      </c>
      <c r="E25" s="11">
        <f t="shared" si="205"/>
        <v>-19340</v>
      </c>
      <c r="F25" s="11">
        <f t="shared" si="205"/>
        <v>-168302</v>
      </c>
      <c r="G25" s="11">
        <f t="shared" si="205"/>
        <v>-105983</v>
      </c>
      <c r="H25" s="11">
        <f t="shared" si="205"/>
        <v>0</v>
      </c>
      <c r="I25" s="11">
        <f t="shared" si="205"/>
        <v>0</v>
      </c>
      <c r="J25" s="11">
        <f t="shared" si="205"/>
        <v>0</v>
      </c>
      <c r="K25" s="11">
        <f t="shared" si="205"/>
        <v>0</v>
      </c>
      <c r="L25" s="11">
        <f t="shared" si="205"/>
        <v>-33874</v>
      </c>
      <c r="M25" s="11">
        <f t="shared" si="205"/>
        <v>-198293</v>
      </c>
      <c r="N25" s="11">
        <f t="shared" si="205"/>
        <v>-73</v>
      </c>
      <c r="O25" s="11">
        <f t="shared" si="205"/>
        <v>-6537</v>
      </c>
      <c r="P25" s="11">
        <f t="shared" si="205"/>
        <v>-87405</v>
      </c>
      <c r="Q25" s="11">
        <f t="shared" si="205"/>
        <v>0</v>
      </c>
      <c r="R25" s="11">
        <f t="shared" si="205"/>
        <v>-4088</v>
      </c>
      <c r="S25" s="11">
        <f t="shared" si="205"/>
        <v>0</v>
      </c>
      <c r="T25" s="11">
        <f t="shared" si="205"/>
        <v>0</v>
      </c>
      <c r="U25" s="11">
        <f t="shared" si="205"/>
        <v>0</v>
      </c>
      <c r="V25" s="9">
        <f t="shared" si="205"/>
        <v>0</v>
      </c>
      <c r="W25" s="11">
        <f t="shared" si="205"/>
        <v>0</v>
      </c>
      <c r="X25" s="11">
        <f t="shared" si="205"/>
        <v>0</v>
      </c>
      <c r="Y25" s="11">
        <f t="shared" si="205"/>
        <v>16278</v>
      </c>
      <c r="Z25" s="11">
        <f t="shared" si="205"/>
        <v>1742</v>
      </c>
      <c r="AA25" s="11">
        <f t="shared" si="205"/>
        <v>74</v>
      </c>
      <c r="AB25" s="11">
        <f t="shared" ref="AB25" si="206">AB19-AB16</f>
        <v>-8704</v>
      </c>
      <c r="AC25" s="10">
        <f t="shared" si="205"/>
        <v>0</v>
      </c>
      <c r="AD25" s="223">
        <f t="shared" si="205"/>
        <v>-3249811</v>
      </c>
      <c r="AE25" s="11">
        <f t="shared" si="205"/>
        <v>-1280</v>
      </c>
      <c r="AF25" s="11">
        <f t="shared" si="205"/>
        <v>-503</v>
      </c>
      <c r="AG25" s="11">
        <f t="shared" si="205"/>
        <v>3476</v>
      </c>
      <c r="AH25" s="11">
        <f t="shared" si="205"/>
        <v>0</v>
      </c>
      <c r="AI25" s="11">
        <f t="shared" si="205"/>
        <v>0</v>
      </c>
      <c r="AJ25" s="11">
        <f t="shared" ref="AJ25:BM25" si="207">AJ19-AJ16</f>
        <v>-65</v>
      </c>
      <c r="AK25" s="11">
        <f t="shared" si="207"/>
        <v>-192198</v>
      </c>
      <c r="AL25" s="11">
        <f t="shared" si="207"/>
        <v>-138900</v>
      </c>
      <c r="AM25" s="11">
        <f t="shared" si="207"/>
        <v>0</v>
      </c>
      <c r="AN25" s="11">
        <f t="shared" si="207"/>
        <v>1167</v>
      </c>
      <c r="AO25" s="9">
        <f t="shared" si="207"/>
        <v>-287120</v>
      </c>
      <c r="AP25" s="11">
        <f t="shared" si="207"/>
        <v>329022</v>
      </c>
      <c r="AQ25" s="10">
        <f t="shared" si="207"/>
        <v>0</v>
      </c>
      <c r="AR25" s="11">
        <f t="shared" si="207"/>
        <v>0</v>
      </c>
      <c r="AS25" s="11">
        <f t="shared" si="207"/>
        <v>0</v>
      </c>
      <c r="AT25" s="11">
        <f t="shared" si="207"/>
        <v>0</v>
      </c>
      <c r="AU25" s="11">
        <f t="shared" si="207"/>
        <v>0</v>
      </c>
      <c r="AV25" s="11">
        <f t="shared" si="207"/>
        <v>0</v>
      </c>
      <c r="AW25" s="11">
        <f t="shared" si="207"/>
        <v>-2512</v>
      </c>
      <c r="AX25" s="11">
        <f t="shared" si="207"/>
        <v>-1704</v>
      </c>
      <c r="AY25" s="11">
        <f t="shared" si="207"/>
        <v>-1246</v>
      </c>
      <c r="AZ25" s="11">
        <f t="shared" si="207"/>
        <v>0</v>
      </c>
      <c r="BA25" s="11">
        <f t="shared" si="207"/>
        <v>0</v>
      </c>
      <c r="BB25" s="10">
        <f t="shared" si="207"/>
        <v>0</v>
      </c>
      <c r="BC25" s="11">
        <f t="shared" si="207"/>
        <v>-4403</v>
      </c>
      <c r="BD25" s="11">
        <f t="shared" si="207"/>
        <v>-5095</v>
      </c>
      <c r="BE25" s="11">
        <f t="shared" si="207"/>
        <v>0</v>
      </c>
      <c r="BF25" s="11">
        <f t="shared" si="207"/>
        <v>-3653</v>
      </c>
      <c r="BG25" s="11">
        <f t="shared" si="207"/>
        <v>-17148</v>
      </c>
      <c r="BH25" s="11">
        <f t="shared" si="207"/>
        <v>-322162</v>
      </c>
      <c r="BI25" s="223">
        <f t="shared" si="207"/>
        <v>-3571973</v>
      </c>
      <c r="BJ25" s="11">
        <f t="shared" si="207"/>
        <v>35799</v>
      </c>
      <c r="BK25" s="11">
        <f t="shared" si="207"/>
        <v>-3607772</v>
      </c>
      <c r="BL25" s="11">
        <f t="shared" si="207"/>
        <v>5955868</v>
      </c>
      <c r="BM25" s="11">
        <f t="shared" si="207"/>
        <v>1234758</v>
      </c>
    </row>
    <row r="26" spans="1:65" s="180" customFormat="1" ht="15.75" x14ac:dyDescent="0.25">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223"/>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223"/>
      <c r="BJ26" s="11"/>
      <c r="BK26" s="11"/>
      <c r="BL26" s="181"/>
      <c r="BM26" s="181"/>
    </row>
    <row r="27" spans="1:65" ht="15.75" x14ac:dyDescent="0.25">
      <c r="A27" s="15" t="s">
        <v>137</v>
      </c>
      <c r="B27" s="11" t="s">
        <v>300</v>
      </c>
      <c r="C27" s="120">
        <v>984195</v>
      </c>
      <c r="D27" s="120">
        <v>280100</v>
      </c>
      <c r="E27" s="120">
        <v>50198</v>
      </c>
      <c r="F27" s="120">
        <v>113315</v>
      </c>
      <c r="G27" s="120">
        <v>72743</v>
      </c>
      <c r="H27" s="120">
        <v>0</v>
      </c>
      <c r="I27" s="120">
        <v>0</v>
      </c>
      <c r="J27" s="120">
        <v>0</v>
      </c>
      <c r="K27" s="120">
        <v>625</v>
      </c>
      <c r="L27" s="120">
        <v>9488</v>
      </c>
      <c r="M27" s="120">
        <v>24887</v>
      </c>
      <c r="N27" s="120">
        <v>1527</v>
      </c>
      <c r="O27" s="120">
        <v>2435</v>
      </c>
      <c r="P27" s="120">
        <v>16944</v>
      </c>
      <c r="Q27" s="120">
        <v>0</v>
      </c>
      <c r="R27" s="120">
        <v>5624</v>
      </c>
      <c r="S27" s="120">
        <v>0</v>
      </c>
      <c r="T27" s="120">
        <v>0</v>
      </c>
      <c r="U27" s="120"/>
      <c r="V27" s="189">
        <v>6871</v>
      </c>
      <c r="W27" s="120">
        <v>0</v>
      </c>
      <c r="X27" s="120">
        <v>0</v>
      </c>
      <c r="Y27" s="120">
        <v>1134</v>
      </c>
      <c r="Z27" s="120">
        <v>0</v>
      </c>
      <c r="AA27" s="120">
        <v>3</v>
      </c>
      <c r="AB27" s="120">
        <v>1793</v>
      </c>
      <c r="AC27" s="151">
        <v>175996</v>
      </c>
      <c r="AD27" s="229">
        <f t="shared" ref="AD27:AD28" si="208">SUM(C27:AC27)</f>
        <v>1747878</v>
      </c>
      <c r="AE27" s="120">
        <v>424</v>
      </c>
      <c r="AF27" s="120">
        <v>350</v>
      </c>
      <c r="AG27" s="120">
        <v>247</v>
      </c>
      <c r="AH27" s="120">
        <v>0</v>
      </c>
      <c r="AI27" s="120">
        <v>0</v>
      </c>
      <c r="AJ27" s="120">
        <v>14</v>
      </c>
      <c r="AK27" s="120">
        <v>325486</v>
      </c>
      <c r="AL27" s="120">
        <v>92108</v>
      </c>
      <c r="AM27" s="120">
        <v>0</v>
      </c>
      <c r="AN27" s="120">
        <v>0</v>
      </c>
      <c r="AO27" s="189">
        <v>101248</v>
      </c>
      <c r="AP27" s="120">
        <v>153826</v>
      </c>
      <c r="AQ27" s="151">
        <v>0</v>
      </c>
      <c r="AR27" s="120">
        <v>0</v>
      </c>
      <c r="AS27" s="120"/>
      <c r="AT27" s="120"/>
      <c r="AU27" s="120">
        <v>0</v>
      </c>
      <c r="AV27" s="120"/>
      <c r="AW27" s="120">
        <v>839</v>
      </c>
      <c r="AX27" s="120">
        <v>72</v>
      </c>
      <c r="AY27" s="120">
        <v>27</v>
      </c>
      <c r="AZ27" s="120">
        <v>0</v>
      </c>
      <c r="BA27" s="120">
        <v>0</v>
      </c>
      <c r="BB27" s="151">
        <v>111696</v>
      </c>
      <c r="BC27" s="120">
        <v>2408</v>
      </c>
      <c r="BD27" s="120">
        <v>2408</v>
      </c>
      <c r="BE27" s="120">
        <v>0</v>
      </c>
      <c r="BF27" s="120">
        <v>7348</v>
      </c>
      <c r="BG27" s="120">
        <v>845</v>
      </c>
      <c r="BH27" s="9">
        <f>SUM(AE27:BG27)</f>
        <v>799346</v>
      </c>
      <c r="BI27" s="222">
        <f>AD27+BH27</f>
        <v>2547224</v>
      </c>
      <c r="BJ27" s="96">
        <v>64278</v>
      </c>
      <c r="BK27" s="49">
        <f t="shared" ref="BK27:BK28" si="209">BI27-BJ27</f>
        <v>2482946</v>
      </c>
      <c r="BL27">
        <v>3</v>
      </c>
      <c r="BM27" s="30"/>
    </row>
    <row r="28" spans="1:65" s="41" customFormat="1" ht="15.75" x14ac:dyDescent="0.25">
      <c r="A28" s="134" t="s">
        <v>137</v>
      </c>
      <c r="B28" s="216" t="s">
        <v>325</v>
      </c>
      <c r="C28" s="10">
        <v>590519</v>
      </c>
      <c r="D28" s="10">
        <v>151165</v>
      </c>
      <c r="E28" s="10">
        <v>50198</v>
      </c>
      <c r="F28" s="10">
        <v>67988</v>
      </c>
      <c r="G28" s="10">
        <v>43645</v>
      </c>
      <c r="H28" s="10">
        <v>0</v>
      </c>
      <c r="I28" s="10">
        <v>0</v>
      </c>
      <c r="J28" s="10">
        <v>0</v>
      </c>
      <c r="K28" s="10">
        <v>375</v>
      </c>
      <c r="L28" s="10">
        <v>5693</v>
      </c>
      <c r="M28" s="10">
        <v>14935</v>
      </c>
      <c r="N28" s="10">
        <v>916</v>
      </c>
      <c r="O28" s="10">
        <v>1462</v>
      </c>
      <c r="P28" s="10">
        <v>10168</v>
      </c>
      <c r="Q28" s="10">
        <v>0</v>
      </c>
      <c r="R28" s="10">
        <v>3373</v>
      </c>
      <c r="S28" s="10">
        <v>0</v>
      </c>
      <c r="T28" s="10">
        <v>0</v>
      </c>
      <c r="U28" s="10"/>
      <c r="V28" s="10">
        <v>4114</v>
      </c>
      <c r="W28" s="10">
        <v>0</v>
      </c>
      <c r="X28" s="10">
        <v>0</v>
      </c>
      <c r="Y28" s="10">
        <v>683</v>
      </c>
      <c r="Z28" s="10">
        <v>0</v>
      </c>
      <c r="AA28" s="10">
        <v>1</v>
      </c>
      <c r="AB28" s="10">
        <v>1074</v>
      </c>
      <c r="AC28" s="10">
        <v>105599</v>
      </c>
      <c r="AD28" s="229">
        <f t="shared" si="208"/>
        <v>1051908</v>
      </c>
      <c r="AE28" s="10">
        <v>254</v>
      </c>
      <c r="AF28" s="10">
        <v>209</v>
      </c>
      <c r="AG28" s="10">
        <v>149</v>
      </c>
      <c r="AH28" s="10">
        <v>0</v>
      </c>
      <c r="AI28" s="10">
        <v>0</v>
      </c>
      <c r="AJ28" s="10">
        <v>5</v>
      </c>
      <c r="AK28" s="10">
        <v>195291</v>
      </c>
      <c r="AL28" s="10">
        <v>55266</v>
      </c>
      <c r="AM28" s="10">
        <v>0</v>
      </c>
      <c r="AN28" s="10">
        <v>0</v>
      </c>
      <c r="AO28" s="10">
        <v>60750</v>
      </c>
      <c r="AP28" s="10">
        <v>92296</v>
      </c>
      <c r="AQ28" s="10">
        <v>0</v>
      </c>
      <c r="AR28" s="10">
        <v>0</v>
      </c>
      <c r="AS28" s="10"/>
      <c r="AT28" s="10"/>
      <c r="AU28" s="10">
        <v>0</v>
      </c>
      <c r="AV28" s="10"/>
      <c r="AW28" s="10">
        <v>503</v>
      </c>
      <c r="AX28" s="10">
        <v>44</v>
      </c>
      <c r="AY28" s="10">
        <v>16</v>
      </c>
      <c r="AZ28" s="10">
        <v>0</v>
      </c>
      <c r="BA28" s="10">
        <v>0</v>
      </c>
      <c r="BB28" s="10">
        <v>67019</v>
      </c>
      <c r="BC28" s="10">
        <v>1446</v>
      </c>
      <c r="BD28" s="10">
        <v>1446</v>
      </c>
      <c r="BE28" s="10">
        <v>0</v>
      </c>
      <c r="BF28" s="10">
        <v>4409</v>
      </c>
      <c r="BG28" s="10">
        <v>514</v>
      </c>
      <c r="BH28" s="10">
        <f>SUM(AE28:BG28)</f>
        <v>479617</v>
      </c>
      <c r="BI28" s="222">
        <f>AD28+BH28</f>
        <v>1531525</v>
      </c>
      <c r="BJ28" s="10">
        <v>37502</v>
      </c>
      <c r="BK28" s="10">
        <f t="shared" si="209"/>
        <v>1494023</v>
      </c>
      <c r="BM28" s="217"/>
    </row>
    <row r="29" spans="1:65" ht="15.75" x14ac:dyDescent="0.25">
      <c r="A29" s="128"/>
      <c r="B29" s="12" t="s">
        <v>326</v>
      </c>
      <c r="C29" s="9">
        <f>IF('Upto Month COPPY'!$D$4="",0,'Upto Month COPPY'!$D$4)</f>
        <v>586277</v>
      </c>
      <c r="D29" s="9">
        <f>IF('Upto Month COPPY'!$D$5="",0,'Upto Month COPPY'!$D$5)</f>
        <v>96815</v>
      </c>
      <c r="E29" s="9">
        <f>IF('Upto Month COPPY'!$D$6="",0,'Upto Month COPPY'!$D$6)</f>
        <v>39703</v>
      </c>
      <c r="F29" s="9">
        <f>IF('Upto Month COPPY'!$D$7="",0,'Upto Month COPPY'!$D$7)</f>
        <v>60461</v>
      </c>
      <c r="G29" s="9">
        <f>IF('Upto Month COPPY'!$D$8="",0,'Upto Month COPPY'!$D$8)</f>
        <v>39143</v>
      </c>
      <c r="H29" s="9">
        <f>IF('Upto Month COPPY'!$D$9="",0,'Upto Month COPPY'!$D$9)</f>
        <v>0</v>
      </c>
      <c r="I29" s="9">
        <f>IF('Upto Month COPPY'!$D$10="",0,'Upto Month COPPY'!$D$10)</f>
        <v>0</v>
      </c>
      <c r="J29" s="9">
        <f>IF('Upto Month COPPY'!$D$11="",0,'Upto Month COPPY'!$D$11)</f>
        <v>0</v>
      </c>
      <c r="K29" s="9">
        <f>IF('Upto Month COPPY'!$D$12="",0,'Upto Month COPPY'!$D$12)</f>
        <v>415</v>
      </c>
      <c r="L29" s="9">
        <f>IF('Upto Month COPPY'!$D$13="",0,'Upto Month COPPY'!$D$13)</f>
        <v>5292</v>
      </c>
      <c r="M29" s="9">
        <f>IF('Upto Month COPPY'!$D$14="",0,'Upto Month COPPY'!$D$14)</f>
        <v>9040</v>
      </c>
      <c r="N29" s="9">
        <f>IF('Upto Month COPPY'!$D$15="",0,'Upto Month COPPY'!$D$15)</f>
        <v>131</v>
      </c>
      <c r="O29" s="9">
        <f>IF('Upto Month COPPY'!$D$16="",0,'Upto Month COPPY'!$D$16)</f>
        <v>810</v>
      </c>
      <c r="P29" s="9">
        <f>IF('Upto Month COPPY'!$D$17="",0,'Upto Month COPPY'!$D$17)</f>
        <v>6616</v>
      </c>
      <c r="Q29" s="9">
        <f>IF('Upto Month COPPY'!$D$18="",0,'Upto Month COPPY'!$D$18)</f>
        <v>0</v>
      </c>
      <c r="R29" s="9">
        <f>IF('Upto Month COPPY'!$D$21="",0,'Upto Month COPPY'!$D$21)</f>
        <v>836</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370</v>
      </c>
      <c r="Z29" s="9">
        <f>IF('Upto Month COPPY'!$D$43="",0,'Upto Month COPPY'!$D$43)</f>
        <v>1</v>
      </c>
      <c r="AA29" s="9">
        <f>IF('Upto Month COPPY'!$D$44="",0,'Upto Month COPPY'!$D$44)</f>
        <v>1</v>
      </c>
      <c r="AB29" s="9">
        <f>IF('Upto Month COPPY'!$D$48="",0,'Upto Month COPPY'!$D$48)</f>
        <v>0</v>
      </c>
      <c r="AC29" s="10">
        <f>IF('Upto Month COPPY'!$D$51="",0,'Upto Month COPPY'!$D$51)</f>
        <v>98871</v>
      </c>
      <c r="AD29" s="229">
        <f t="shared" ref="AD29:AD30" si="210">SUM(C29:AC29)</f>
        <v>944782</v>
      </c>
      <c r="AE29" s="9">
        <f>IF('Upto Month COPPY'!$D$19="",0,'Upto Month COPPY'!$D$19)</f>
        <v>747</v>
      </c>
      <c r="AF29" s="9">
        <f>IF('Upto Month COPPY'!$D$20="",0,'Upto Month COPPY'!$D$20)</f>
        <v>472</v>
      </c>
      <c r="AG29" s="9">
        <f>IF('Upto Month COPPY'!$D$22="",0,'Upto Month COPPY'!$D$22)</f>
        <v>585</v>
      </c>
      <c r="AH29" s="9">
        <f>IF('Upto Month COPPY'!$D$23="",0,'Upto Month COPPY'!$D$23)</f>
        <v>0</v>
      </c>
      <c r="AI29" s="9">
        <f>IF('Upto Month COPPY'!$D$24="",0,'Upto Month COPPY'!$D$24)</f>
        <v>0</v>
      </c>
      <c r="AJ29" s="9">
        <f>IF('Upto Month COPPY'!$D$25="",0,'Upto Month COPPY'!$D$25)</f>
        <v>168</v>
      </c>
      <c r="AK29" s="9">
        <f>IF('Upto Month COPPY'!$D$28="",0,'Upto Month COPPY'!$D$28)</f>
        <v>302124</v>
      </c>
      <c r="AL29" s="9">
        <f>IF('Upto Month COPPY'!$D$29="",0,'Upto Month COPPY'!$D$29)</f>
        <v>60733</v>
      </c>
      <c r="AM29" s="9">
        <f>IF('Upto Month COPPY'!$D$31="",0,'Upto Month COPPY'!$D$31)</f>
        <v>0</v>
      </c>
      <c r="AN29" s="9">
        <f>IF('Upto Month COPPY'!$D$32="",0,'Upto Month COPPY'!$D$32)</f>
        <v>140</v>
      </c>
      <c r="AO29" s="9">
        <f>IF('Upto Month COPPY'!$D$33="",0,'Upto Month COPPY'!$D$33)</f>
        <v>49992</v>
      </c>
      <c r="AP29" s="9">
        <f>IF('Upto Month COPPY'!$D$34="",0,'Upto Month COPPY'!$D$34)</f>
        <v>100953</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7</v>
      </c>
      <c r="AY29" s="9">
        <f>IF('Upto Month COPPY'!$D$47="",0,'Upto Month COPPY'!$D$47)</f>
        <v>0</v>
      </c>
      <c r="AZ29" s="9">
        <f>IF('Upto Month COPPY'!$D$49="",0,'Upto Month COPPY'!$D$49)</f>
        <v>0</v>
      </c>
      <c r="BA29" s="9">
        <f>IF('Upto Month COPPY'!$D$50="",0,'Upto Month COPPY'!$D$50)</f>
        <v>0</v>
      </c>
      <c r="BB29" s="10">
        <f>IF('Upto Month COPPY'!$D$52="",0,'Upto Month COPPY'!$D$52)</f>
        <v>181325</v>
      </c>
      <c r="BC29" s="9">
        <f>IF('Upto Month COPPY'!$D$53="",0,'Upto Month COPPY'!$D$53)</f>
        <v>2028</v>
      </c>
      <c r="BD29" s="9">
        <f>IF('Upto Month COPPY'!$D$54="",0,'Upto Month COPPY'!$D$54)</f>
        <v>2028</v>
      </c>
      <c r="BE29" s="9">
        <f>IF('Upto Month COPPY'!$D$55="",0,'Upto Month COPPY'!$D$55)</f>
        <v>0</v>
      </c>
      <c r="BF29" s="9">
        <f>IF('Upto Month COPPY'!$D$56="",0,'Upto Month COPPY'!$D$56)</f>
        <v>8919</v>
      </c>
      <c r="BG29" s="9">
        <f>IF('Upto Month COPPY'!$D$58="",0,'Upto Month COPPY'!$D$58)</f>
        <v>61</v>
      </c>
      <c r="BH29" s="9">
        <f>SUM(AE29:BG29)</f>
        <v>710282</v>
      </c>
      <c r="BI29" s="222">
        <f>AD29+BH29</f>
        <v>1655064</v>
      </c>
      <c r="BJ29" s="9">
        <f>IF('Upto Month COPPY'!$D$60="",0,'Upto Month COPPY'!$D$60)</f>
        <v>-7038</v>
      </c>
      <c r="BK29" s="49">
        <f t="shared" ref="BK29:BK30" si="211">BI29-BJ29</f>
        <v>1662102</v>
      </c>
      <c r="BL29">
        <f>'Upto Month COPPY'!$D$61</f>
        <v>1662100</v>
      </c>
      <c r="BM29" s="30">
        <f t="shared" ref="BM29:BM33" si="212">BK29-AD29</f>
        <v>717320</v>
      </c>
    </row>
    <row r="30" spans="1:65" ht="15.75" x14ac:dyDescent="0.25">
      <c r="A30" s="128"/>
      <c r="B30" s="182" t="s">
        <v>327</v>
      </c>
      <c r="C30" s="9">
        <f>IF('Upto Month Current'!$D$4="",0,'Upto Month Current'!$D$4)</f>
        <v>597655</v>
      </c>
      <c r="D30" s="9">
        <f>IF('Upto Month Current'!$D$5="",0,'Upto Month Current'!$D$5)</f>
        <v>148195</v>
      </c>
      <c r="E30" s="9">
        <f>IF('Upto Month Current'!$D$6="",0,'Upto Month Current'!$D$6)</f>
        <v>38446</v>
      </c>
      <c r="F30" s="9">
        <f>IF('Upto Month Current'!$D$7="",0,'Upto Month Current'!$D$7)</f>
        <v>71331</v>
      </c>
      <c r="G30" s="9">
        <f>IF('Upto Month Current'!$D$8="",0,'Upto Month Current'!$D$8)</f>
        <v>46273</v>
      </c>
      <c r="H30" s="9">
        <f>IF('Upto Month Current'!$D$9="",0,'Upto Month Current'!$D$9)</f>
        <v>0</v>
      </c>
      <c r="I30" s="9">
        <f>IF('Upto Month Current'!$D$10="",0,'Upto Month Current'!$D$10)</f>
        <v>0</v>
      </c>
      <c r="J30" s="9">
        <f>IF('Upto Month Current'!$D$11="",0,'Upto Month Current'!$D$11)</f>
        <v>7</v>
      </c>
      <c r="K30" s="9">
        <f>IF('Upto Month Current'!$D$12="",0,'Upto Month Current'!$D$12)</f>
        <v>607</v>
      </c>
      <c r="L30" s="9">
        <f>IF('Upto Month Current'!$D$13="",0,'Upto Month Current'!$D$13)</f>
        <v>4319</v>
      </c>
      <c r="M30" s="9">
        <f>IF('Upto Month Current'!$D$14="",0,'Upto Month Current'!$D$14)</f>
        <v>9621</v>
      </c>
      <c r="N30" s="9">
        <f>IF('Upto Month Current'!$D$15="",0,'Upto Month Current'!$D$15)</f>
        <v>100</v>
      </c>
      <c r="O30" s="9">
        <f>IF('Upto Month Current'!$D$16="",0,'Upto Month Current'!$D$16)</f>
        <v>1104</v>
      </c>
      <c r="P30" s="9">
        <f>IF('Upto Month Current'!$D$17="",0,'Upto Month Current'!$D$17)</f>
        <v>5658</v>
      </c>
      <c r="Q30" s="9">
        <f>IF('Upto Month Current'!$D$18="",0,'Upto Month Current'!$D$18)</f>
        <v>0</v>
      </c>
      <c r="R30" s="9">
        <f>IF('Upto Month Current'!$D$21="",0,'Upto Month Current'!$D$21)</f>
        <v>1086</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582</v>
      </c>
      <c r="Z30" s="9">
        <f>IF('Upto Month Current'!$D$43="",0,'Upto Month Current'!$D$43)</f>
        <v>38</v>
      </c>
      <c r="AA30" s="9">
        <f>IF('Upto Month Current'!$D$44="",0,'Upto Month Current'!$D$44)</f>
        <v>56</v>
      </c>
      <c r="AB30" s="9">
        <f>IF('Upto Month Current'!$D$48="",0,'Upto Month Current'!$D$48)</f>
        <v>0</v>
      </c>
      <c r="AC30" s="10">
        <f>IF('Upto Month Current'!$D$51="",0,'Upto Month Current'!$D$51)</f>
        <v>130195</v>
      </c>
      <c r="AD30" s="229">
        <f t="shared" si="210"/>
        <v>1055273</v>
      </c>
      <c r="AE30" s="9">
        <f>IF('Upto Month Current'!$D$19="",0,'Upto Month Current'!$D$19)</f>
        <v>541</v>
      </c>
      <c r="AF30" s="9">
        <f>IF('Upto Month Current'!$D$20="",0,'Upto Month Current'!$D$20)</f>
        <v>532</v>
      </c>
      <c r="AG30" s="9">
        <f>IF('Upto Month Current'!$D$22="",0,'Upto Month Current'!$D$22)</f>
        <v>85</v>
      </c>
      <c r="AH30" s="9">
        <f>IF('Upto Month Current'!$D$23="",0,'Upto Month Current'!$D$23)</f>
        <v>0</v>
      </c>
      <c r="AI30" s="9">
        <f>IF('Upto Month Current'!$D$24="",0,'Upto Month Current'!$D$24)</f>
        <v>0</v>
      </c>
      <c r="AJ30" s="9">
        <f>IF('Upto Month Current'!$D$25="",0,'Upto Month Current'!$D$25)</f>
        <v>87</v>
      </c>
      <c r="AK30" s="9">
        <f>IF('Upto Month Current'!$D$28="",0,'Upto Month Current'!$D$28)</f>
        <v>211804</v>
      </c>
      <c r="AL30" s="9">
        <f>IF('Upto Month Current'!$D$29="",0,'Upto Month Current'!$D$29)</f>
        <v>25423</v>
      </c>
      <c r="AM30" s="9">
        <f>IF('Upto Month Current'!$D$31="",0,'Upto Month Current'!$D$31)</f>
        <v>0</v>
      </c>
      <c r="AN30" s="9">
        <f>IF('Upto Month Current'!$D$32="",0,'Upto Month Current'!$D$32)</f>
        <v>140</v>
      </c>
      <c r="AO30" s="9">
        <f>IF('Upto Month Current'!$D$33="",0,'Upto Month Current'!$D$33)</f>
        <v>53784</v>
      </c>
      <c r="AP30" s="9">
        <f>IF('Upto Month Current'!$D$34="",0,'Upto Month Current'!$D$34)</f>
        <v>39916</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114</v>
      </c>
      <c r="AX30" s="9">
        <f>IF('Upto Month Current'!$D$46="",0,'Upto Month Current'!$D$46)</f>
        <v>0</v>
      </c>
      <c r="AY30" s="9">
        <f>IF('Upto Month Current'!$D$47="",0,'Upto Month Current'!$D$47)</f>
        <v>153</v>
      </c>
      <c r="AZ30" s="9">
        <f>IF('Upto Month Current'!$D$49="",0,'Upto Month Current'!$D$49)</f>
        <v>0</v>
      </c>
      <c r="BA30" s="9">
        <f>IF('Upto Month Current'!$D$50="",0,'Upto Month Current'!$D$50)</f>
        <v>0</v>
      </c>
      <c r="BB30" s="10">
        <f>IF('Upto Month Current'!$D$52="",0,'Upto Month Current'!$D$52)</f>
        <v>186487</v>
      </c>
      <c r="BC30" s="9">
        <f>IF('Upto Month Current'!$D$53="",0,'Upto Month Current'!$D$53)</f>
        <v>1933</v>
      </c>
      <c r="BD30" s="9">
        <f>IF('Upto Month Current'!$D$54="",0,'Upto Month Current'!$D$54)</f>
        <v>1933</v>
      </c>
      <c r="BE30" s="9">
        <f>IF('Upto Month Current'!$D$55="",0,'Upto Month Current'!$D$55)</f>
        <v>0</v>
      </c>
      <c r="BF30" s="9">
        <f>IF('Upto Month Current'!$D$56="",0,'Upto Month Current'!$D$56)</f>
        <v>4663</v>
      </c>
      <c r="BG30" s="9">
        <f>IF('Upto Month Current'!$D$58="",0,'Upto Month Current'!$D$58)</f>
        <v>210</v>
      </c>
      <c r="BH30" s="9">
        <f>SUM(AE30:BG30)</f>
        <v>527805</v>
      </c>
      <c r="BI30" s="222">
        <f>AD30+BH30</f>
        <v>1583078</v>
      </c>
      <c r="BJ30" s="9">
        <f>IF('Upto Month Current'!$D$60="",0,'Upto Month Current'!$D$60)</f>
        <v>23771</v>
      </c>
      <c r="BK30" s="49">
        <f t="shared" si="211"/>
        <v>1559307</v>
      </c>
      <c r="BL30">
        <f>'Upto Month Current'!$D$61</f>
        <v>1559308</v>
      </c>
      <c r="BM30" s="30">
        <f t="shared" si="212"/>
        <v>504034</v>
      </c>
    </row>
    <row r="31" spans="1:65" ht="15.75" x14ac:dyDescent="0.25">
      <c r="A31" s="128"/>
      <c r="B31" s="5" t="s">
        <v>132</v>
      </c>
      <c r="C31" s="11">
        <f>C30-C28</f>
        <v>7136</v>
      </c>
      <c r="D31" s="11">
        <f t="shared" ref="D31" si="213">D30-D28</f>
        <v>-2970</v>
      </c>
      <c r="E31" s="11">
        <f t="shared" ref="E31" si="214">E30-E28</f>
        <v>-11752</v>
      </c>
      <c r="F31" s="11">
        <f t="shared" ref="F31" si="215">F30-F28</f>
        <v>3343</v>
      </c>
      <c r="G31" s="11">
        <f t="shared" ref="G31" si="216">G30-G28</f>
        <v>2628</v>
      </c>
      <c r="H31" s="11">
        <f t="shared" ref="H31" si="217">H30-H28</f>
        <v>0</v>
      </c>
      <c r="I31" s="11">
        <f t="shared" ref="I31" si="218">I30-I28</f>
        <v>0</v>
      </c>
      <c r="J31" s="11">
        <f t="shared" ref="J31" si="219">J30-J28</f>
        <v>7</v>
      </c>
      <c r="K31" s="11">
        <f t="shared" ref="K31" si="220">K30-K28</f>
        <v>232</v>
      </c>
      <c r="L31" s="11">
        <f t="shared" ref="L31" si="221">L30-L28</f>
        <v>-1374</v>
      </c>
      <c r="M31" s="11">
        <f t="shared" ref="M31" si="222">M30-M28</f>
        <v>-5314</v>
      </c>
      <c r="N31" s="11">
        <f t="shared" ref="N31" si="223">N30-N28</f>
        <v>-816</v>
      </c>
      <c r="O31" s="11">
        <f t="shared" ref="O31" si="224">O30-O28</f>
        <v>-358</v>
      </c>
      <c r="P31" s="11">
        <f t="shared" ref="P31" si="225">P30-P28</f>
        <v>-4510</v>
      </c>
      <c r="Q31" s="11">
        <f t="shared" ref="Q31" si="226">Q30-Q28</f>
        <v>0</v>
      </c>
      <c r="R31" s="11">
        <f t="shared" ref="R31" si="227">R30-R28</f>
        <v>-2287</v>
      </c>
      <c r="S31" s="11">
        <f t="shared" ref="S31" si="228">S30-S28</f>
        <v>0</v>
      </c>
      <c r="T31" s="11">
        <f t="shared" ref="T31:U31" si="229">T30-T28</f>
        <v>0</v>
      </c>
      <c r="U31" s="11">
        <f t="shared" si="229"/>
        <v>0</v>
      </c>
      <c r="V31" s="9">
        <f t="shared" ref="V31" si="230">V30-V28</f>
        <v>-4114</v>
      </c>
      <c r="W31" s="11">
        <f t="shared" ref="W31" si="231">W30-W28</f>
        <v>0</v>
      </c>
      <c r="X31" s="11">
        <f t="shared" ref="X31" si="232">X30-X28</f>
        <v>0</v>
      </c>
      <c r="Y31" s="11">
        <f t="shared" ref="Y31" si="233">Y30-Y28</f>
        <v>-101</v>
      </c>
      <c r="Z31" s="11">
        <f t="shared" ref="Z31" si="234">Z30-Z28</f>
        <v>38</v>
      </c>
      <c r="AA31" s="11">
        <f t="shared" ref="AA31:AD31" si="235">AA30-AA28</f>
        <v>55</v>
      </c>
      <c r="AB31" s="11">
        <f t="shared" ref="AB31" si="236">AB30-AB28</f>
        <v>-1074</v>
      </c>
      <c r="AC31" s="10">
        <f t="shared" si="235"/>
        <v>24596</v>
      </c>
      <c r="AD31" s="223">
        <f t="shared" si="235"/>
        <v>3365</v>
      </c>
      <c r="AE31" s="11">
        <f t="shared" ref="AE31" si="237">AE30-AE28</f>
        <v>287</v>
      </c>
      <c r="AF31" s="11">
        <f t="shared" ref="AF31" si="238">AF30-AF28</f>
        <v>323</v>
      </c>
      <c r="AG31" s="11">
        <f t="shared" ref="AG31" si="239">AG30-AG28</f>
        <v>-64</v>
      </c>
      <c r="AH31" s="11">
        <f t="shared" ref="AH31" si="240">AH30-AH28</f>
        <v>0</v>
      </c>
      <c r="AI31" s="11">
        <f t="shared" ref="AI31" si="241">AI30-AI28</f>
        <v>0</v>
      </c>
      <c r="AJ31" s="11">
        <f t="shared" ref="AJ31" si="242">AJ30-AJ28</f>
        <v>82</v>
      </c>
      <c r="AK31" s="11">
        <f t="shared" ref="AK31" si="243">AK30-AK28</f>
        <v>16513</v>
      </c>
      <c r="AL31" s="11">
        <f t="shared" ref="AL31" si="244">AL30-AL28</f>
        <v>-29843</v>
      </c>
      <c r="AM31" s="11">
        <f t="shared" ref="AM31" si="245">AM30-AM28</f>
        <v>0</v>
      </c>
      <c r="AN31" s="11">
        <f t="shared" ref="AN31" si="246">AN30-AN28</f>
        <v>140</v>
      </c>
      <c r="AO31" s="9">
        <f t="shared" ref="AO31" si="247">AO30-AO28</f>
        <v>-6966</v>
      </c>
      <c r="AP31" s="11">
        <f t="shared" ref="AP31" si="248">AP30-AP28</f>
        <v>-52380</v>
      </c>
      <c r="AQ31" s="10">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-389</v>
      </c>
      <c r="AX31" s="11">
        <f t="shared" ref="AX31" si="256">AX30-AX28</f>
        <v>-44</v>
      </c>
      <c r="AY31" s="11">
        <f t="shared" ref="AY31" si="257">AY30-AY28</f>
        <v>137</v>
      </c>
      <c r="AZ31" s="11">
        <f t="shared" ref="AZ31" si="258">AZ30-AZ28</f>
        <v>0</v>
      </c>
      <c r="BA31" s="11">
        <f t="shared" ref="BA31" si="259">BA30-BA28</f>
        <v>0</v>
      </c>
      <c r="BB31" s="10">
        <f t="shared" ref="BB31" si="260">BB30-BB28</f>
        <v>119468</v>
      </c>
      <c r="BC31" s="11">
        <f t="shared" ref="BC31" si="261">BC30-BC28</f>
        <v>487</v>
      </c>
      <c r="BD31" s="11">
        <f t="shared" ref="BD31" si="262">BD30-BD28</f>
        <v>487</v>
      </c>
      <c r="BE31" s="11">
        <f t="shared" ref="BE31" si="263">BE30-BE28</f>
        <v>0</v>
      </c>
      <c r="BF31" s="11">
        <f t="shared" ref="BF31" si="264">BF30-BF28</f>
        <v>254</v>
      </c>
      <c r="BG31" s="11">
        <f t="shared" ref="BG31:BH31" si="265">BG30-BG28</f>
        <v>-304</v>
      </c>
      <c r="BH31" s="9">
        <f t="shared" si="265"/>
        <v>48188</v>
      </c>
      <c r="BI31" s="223">
        <f t="shared" ref="BI31" si="266">BI30-BI28</f>
        <v>51553</v>
      </c>
      <c r="BJ31" s="11">
        <f t="shared" ref="BJ31:BK31" si="267">BJ30-BJ28</f>
        <v>-13731</v>
      </c>
      <c r="BK31" s="49">
        <f t="shared" si="267"/>
        <v>65284</v>
      </c>
      <c r="BM31" s="30">
        <f t="shared" si="212"/>
        <v>61919</v>
      </c>
    </row>
    <row r="32" spans="1:65" ht="15.75" x14ac:dyDescent="0.25">
      <c r="A32" s="128"/>
      <c r="B32" s="5" t="s">
        <v>133</v>
      </c>
      <c r="C32" s="13">
        <f>C31/C28</f>
        <v>1.2084285179647056E-2</v>
      </c>
      <c r="D32" s="13">
        <f t="shared" ref="D32" si="268">D31/D28</f>
        <v>-1.9647405153309299E-2</v>
      </c>
      <c r="E32" s="13">
        <f t="shared" ref="E32" si="269">E31/E28</f>
        <v>-0.2341129128650544</v>
      </c>
      <c r="F32" s="13">
        <f t="shared" ref="F32" si="270">F31/F28</f>
        <v>4.9170441842678117E-2</v>
      </c>
      <c r="G32" s="13">
        <f t="shared" ref="G32" si="271">G31/G28</f>
        <v>6.0213082827357087E-2</v>
      </c>
      <c r="H32" s="13" t="e">
        <f t="shared" ref="H32" si="272">H31/H28</f>
        <v>#DIV/0!</v>
      </c>
      <c r="I32" s="13" t="e">
        <f t="shared" ref="I32" si="273">I31/I28</f>
        <v>#DIV/0!</v>
      </c>
      <c r="J32" s="13" t="e">
        <f t="shared" ref="J32" si="274">J31/J28</f>
        <v>#DIV/0!</v>
      </c>
      <c r="K32" s="13">
        <f t="shared" ref="K32" si="275">K31/K28</f>
        <v>0.6186666666666667</v>
      </c>
      <c r="L32" s="13">
        <f t="shared" ref="L32" si="276">L31/L28</f>
        <v>-0.24134902511856665</v>
      </c>
      <c r="M32" s="13">
        <f t="shared" ref="M32" si="277">M31/M28</f>
        <v>-0.35580850351523269</v>
      </c>
      <c r="N32" s="13">
        <f t="shared" ref="N32" si="278">N31/N28</f>
        <v>-0.89082969432314407</v>
      </c>
      <c r="O32" s="13">
        <f t="shared" ref="O32" si="279">O31/O28</f>
        <v>-0.24487004103967169</v>
      </c>
      <c r="P32" s="13">
        <f t="shared" ref="P32" si="280">P31/P28</f>
        <v>-0.44354838709677419</v>
      </c>
      <c r="Q32" s="13" t="e">
        <f t="shared" ref="Q32" si="281">Q31/Q28</f>
        <v>#DIV/0!</v>
      </c>
      <c r="R32" s="13">
        <f t="shared" ref="R32" si="282">R31/R28</f>
        <v>-0.67803142603024014</v>
      </c>
      <c r="S32" s="13" t="e">
        <f t="shared" ref="S32" si="283">S31/S28</f>
        <v>#DIV/0!</v>
      </c>
      <c r="T32" s="13" t="e">
        <f t="shared" ref="T32:U32" si="284">T31/T28</f>
        <v>#DIV/0!</v>
      </c>
      <c r="U32" s="13" t="e">
        <f t="shared" si="284"/>
        <v>#DIV/0!</v>
      </c>
      <c r="V32" s="162">
        <f t="shared" ref="V32" si="285">V31/V28</f>
        <v>-1</v>
      </c>
      <c r="W32" s="13" t="e">
        <f t="shared" ref="W32" si="286">W31/W28</f>
        <v>#DIV/0!</v>
      </c>
      <c r="X32" s="13" t="e">
        <f t="shared" ref="X32" si="287">X31/X28</f>
        <v>#DIV/0!</v>
      </c>
      <c r="Y32" s="13">
        <f t="shared" ref="Y32" si="288">Y31/Y28</f>
        <v>-0.14787701317715959</v>
      </c>
      <c r="Z32" s="13" t="e">
        <f t="shared" ref="Z32" si="289">Z31/Z28</f>
        <v>#DIV/0!</v>
      </c>
      <c r="AA32" s="13">
        <f t="shared" ref="AA32:AD32" si="290">AA31/AA28</f>
        <v>55</v>
      </c>
      <c r="AB32" s="13">
        <f t="shared" ref="AB32" si="291">AB31/AB28</f>
        <v>-1</v>
      </c>
      <c r="AC32" s="14">
        <f t="shared" si="290"/>
        <v>0.23291887233780623</v>
      </c>
      <c r="AD32" s="224">
        <f t="shared" si="290"/>
        <v>3.1989489575133946E-3</v>
      </c>
      <c r="AE32" s="13">
        <f t="shared" ref="AE32" si="292">AE31/AE28</f>
        <v>1.1299212598425197</v>
      </c>
      <c r="AF32" s="13">
        <f t="shared" ref="AF32" si="293">AF31/AF28</f>
        <v>1.5454545454545454</v>
      </c>
      <c r="AG32" s="13">
        <f t="shared" ref="AG32" si="294">AG31/AG28</f>
        <v>-0.42953020134228187</v>
      </c>
      <c r="AH32" s="13" t="e">
        <f t="shared" ref="AH32" si="295">AH31/AH28</f>
        <v>#DIV/0!</v>
      </c>
      <c r="AI32" s="13" t="e">
        <f t="shared" ref="AI32" si="296">AI31/AI28</f>
        <v>#DIV/0!</v>
      </c>
      <c r="AJ32" s="13">
        <f t="shared" ref="AJ32" si="297">AJ31/AJ28</f>
        <v>16.399999999999999</v>
      </c>
      <c r="AK32" s="13">
        <f t="shared" ref="AK32" si="298">AK31/AK28</f>
        <v>8.4555867909939519E-2</v>
      </c>
      <c r="AL32" s="13">
        <f t="shared" ref="AL32" si="299">AL31/AL28</f>
        <v>-0.53998841964318023</v>
      </c>
      <c r="AM32" s="13" t="e">
        <f t="shared" ref="AM32" si="300">AM31/AM28</f>
        <v>#DIV/0!</v>
      </c>
      <c r="AN32" s="13" t="e">
        <f t="shared" ref="AN32" si="301">AN31/AN28</f>
        <v>#DIV/0!</v>
      </c>
      <c r="AO32" s="162">
        <f t="shared" ref="AO32" si="302">AO31/AO28</f>
        <v>-0.11466666666666667</v>
      </c>
      <c r="AP32" s="13">
        <f t="shared" ref="AP32" si="303">AP31/AP28</f>
        <v>-0.56752188610557341</v>
      </c>
      <c r="AQ32" s="14"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-0.77335984095427435</v>
      </c>
      <c r="AX32" s="13">
        <f t="shared" ref="AX32" si="311">AX31/AX28</f>
        <v>-1</v>
      </c>
      <c r="AY32" s="13">
        <f t="shared" ref="AY32" si="312">AY31/AY28</f>
        <v>8.5625</v>
      </c>
      <c r="AZ32" s="13" t="e">
        <f t="shared" ref="AZ32" si="313">AZ31/AZ28</f>
        <v>#DIV/0!</v>
      </c>
      <c r="BA32" s="13" t="e">
        <f t="shared" ref="BA32" si="314">BA31/BA28</f>
        <v>#DIV/0!</v>
      </c>
      <c r="BB32" s="14">
        <f t="shared" ref="BB32" si="315">BB31/BB28</f>
        <v>1.7825989644727616</v>
      </c>
      <c r="BC32" s="13">
        <f t="shared" ref="BC32" si="316">BC31/BC28</f>
        <v>0.33679114799446752</v>
      </c>
      <c r="BD32" s="13">
        <f t="shared" ref="BD32" si="317">BD31/BD28</f>
        <v>0.33679114799446752</v>
      </c>
      <c r="BE32" s="13" t="e">
        <f t="shared" ref="BE32" si="318">BE31/BE28</f>
        <v>#DIV/0!</v>
      </c>
      <c r="BF32" s="13">
        <f t="shared" ref="BF32" si="319">BF31/BF28</f>
        <v>5.7609435246087547E-2</v>
      </c>
      <c r="BG32" s="13">
        <f t="shared" ref="BG32:BH32" si="320">BG31/BG28</f>
        <v>-0.59143968871595332</v>
      </c>
      <c r="BH32" s="162">
        <f t="shared" si="320"/>
        <v>0.10047183481819869</v>
      </c>
      <c r="BI32" s="224">
        <f t="shared" ref="BI32" si="321">BI31/BI28</f>
        <v>3.3661220025791284E-2</v>
      </c>
      <c r="BJ32" s="13">
        <f t="shared" ref="BJ32:BK32" si="322">BJ31/BJ28</f>
        <v>-0.36614047250813292</v>
      </c>
      <c r="BK32" s="50">
        <f t="shared" si="322"/>
        <v>4.3696783784453117E-2</v>
      </c>
      <c r="BM32" s="162" t="e">
        <f t="shared" ref="BM32" si="323">BM31/BM28</f>
        <v>#DIV/0!</v>
      </c>
    </row>
    <row r="33" spans="1:65" ht="15.75" x14ac:dyDescent="0.25">
      <c r="A33" s="128"/>
      <c r="B33" s="5" t="s">
        <v>134</v>
      </c>
      <c r="C33" s="11">
        <f>C30-C29</f>
        <v>11378</v>
      </c>
      <c r="D33" s="11">
        <f t="shared" ref="D33:BK33" si="324">D30-D29</f>
        <v>51380</v>
      </c>
      <c r="E33" s="11">
        <f t="shared" si="324"/>
        <v>-1257</v>
      </c>
      <c r="F33" s="11">
        <f t="shared" si="324"/>
        <v>10870</v>
      </c>
      <c r="G33" s="11">
        <f t="shared" si="324"/>
        <v>7130</v>
      </c>
      <c r="H33" s="11">
        <f t="shared" si="324"/>
        <v>0</v>
      </c>
      <c r="I33" s="11">
        <f t="shared" si="324"/>
        <v>0</v>
      </c>
      <c r="J33" s="11">
        <f t="shared" si="324"/>
        <v>7</v>
      </c>
      <c r="K33" s="11">
        <f t="shared" si="324"/>
        <v>192</v>
      </c>
      <c r="L33" s="11">
        <f t="shared" si="324"/>
        <v>-973</v>
      </c>
      <c r="M33" s="11">
        <f t="shared" si="324"/>
        <v>581</v>
      </c>
      <c r="N33" s="11">
        <f t="shared" si="324"/>
        <v>-31</v>
      </c>
      <c r="O33" s="11">
        <f t="shared" si="324"/>
        <v>294</v>
      </c>
      <c r="P33" s="11">
        <f t="shared" si="324"/>
        <v>-958</v>
      </c>
      <c r="Q33" s="11">
        <f t="shared" si="324"/>
        <v>0</v>
      </c>
      <c r="R33" s="11">
        <f t="shared" si="324"/>
        <v>250</v>
      </c>
      <c r="S33" s="11">
        <f t="shared" si="324"/>
        <v>0</v>
      </c>
      <c r="T33" s="11">
        <f t="shared" si="324"/>
        <v>0</v>
      </c>
      <c r="U33" s="11">
        <f t="shared" ref="U33" si="325">U30-U29</f>
        <v>0</v>
      </c>
      <c r="V33" s="9">
        <f t="shared" si="324"/>
        <v>0</v>
      </c>
      <c r="W33" s="11">
        <f t="shared" si="324"/>
        <v>0</v>
      </c>
      <c r="X33" s="11">
        <f t="shared" si="324"/>
        <v>0</v>
      </c>
      <c r="Y33" s="11">
        <f t="shared" si="324"/>
        <v>212</v>
      </c>
      <c r="Z33" s="11">
        <f t="shared" si="324"/>
        <v>37</v>
      </c>
      <c r="AA33" s="11">
        <f t="shared" si="324"/>
        <v>55</v>
      </c>
      <c r="AB33" s="11">
        <f t="shared" ref="AB33" si="326">AB30-AB29</f>
        <v>0</v>
      </c>
      <c r="AC33" s="10">
        <f t="shared" ref="AC33:AD33" si="327">AC30-AC29</f>
        <v>31324</v>
      </c>
      <c r="AD33" s="223">
        <f t="shared" si="327"/>
        <v>110491</v>
      </c>
      <c r="AE33" s="11">
        <f t="shared" si="324"/>
        <v>-206</v>
      </c>
      <c r="AF33" s="11">
        <f t="shared" si="324"/>
        <v>60</v>
      </c>
      <c r="AG33" s="11">
        <f t="shared" si="324"/>
        <v>-500</v>
      </c>
      <c r="AH33" s="11">
        <f t="shared" si="324"/>
        <v>0</v>
      </c>
      <c r="AI33" s="11">
        <f t="shared" si="324"/>
        <v>0</v>
      </c>
      <c r="AJ33" s="11">
        <f t="shared" si="324"/>
        <v>-81</v>
      </c>
      <c r="AK33" s="11">
        <f t="shared" si="324"/>
        <v>-90320</v>
      </c>
      <c r="AL33" s="11">
        <f t="shared" si="324"/>
        <v>-35310</v>
      </c>
      <c r="AM33" s="11">
        <f t="shared" si="324"/>
        <v>0</v>
      </c>
      <c r="AN33" s="11">
        <f t="shared" si="324"/>
        <v>0</v>
      </c>
      <c r="AO33" s="9">
        <f t="shared" si="324"/>
        <v>3792</v>
      </c>
      <c r="AP33" s="11">
        <f t="shared" si="324"/>
        <v>-61037</v>
      </c>
      <c r="AQ33" s="10">
        <f t="shared" si="324"/>
        <v>0</v>
      </c>
      <c r="AR33" s="11">
        <f t="shared" si="324"/>
        <v>0</v>
      </c>
      <c r="AS33" s="11">
        <f t="shared" si="324"/>
        <v>0</v>
      </c>
      <c r="AT33" s="11">
        <f t="shared" si="324"/>
        <v>0</v>
      </c>
      <c r="AU33" s="11">
        <f t="shared" si="324"/>
        <v>0</v>
      </c>
      <c r="AV33" s="11">
        <f t="shared" si="324"/>
        <v>0</v>
      </c>
      <c r="AW33" s="11">
        <f t="shared" si="324"/>
        <v>114</v>
      </c>
      <c r="AX33" s="11">
        <f t="shared" si="324"/>
        <v>-7</v>
      </c>
      <c r="AY33" s="11">
        <f t="shared" si="324"/>
        <v>153</v>
      </c>
      <c r="AZ33" s="11">
        <f t="shared" si="324"/>
        <v>0</v>
      </c>
      <c r="BA33" s="11">
        <f t="shared" si="324"/>
        <v>0</v>
      </c>
      <c r="BB33" s="10">
        <f t="shared" si="324"/>
        <v>5162</v>
      </c>
      <c r="BC33" s="11">
        <f t="shared" si="324"/>
        <v>-95</v>
      </c>
      <c r="BD33" s="11">
        <f t="shared" si="324"/>
        <v>-95</v>
      </c>
      <c r="BE33" s="11">
        <f t="shared" si="324"/>
        <v>0</v>
      </c>
      <c r="BF33" s="11">
        <f t="shared" si="324"/>
        <v>-4256</v>
      </c>
      <c r="BG33" s="11">
        <f t="shared" si="324"/>
        <v>149</v>
      </c>
      <c r="BH33" s="9">
        <f t="shared" si="324"/>
        <v>-182477</v>
      </c>
      <c r="BI33" s="223">
        <f t="shared" si="324"/>
        <v>-71986</v>
      </c>
      <c r="BJ33" s="11">
        <f t="shared" si="324"/>
        <v>30809</v>
      </c>
      <c r="BK33" s="49">
        <f t="shared" si="324"/>
        <v>-102795</v>
      </c>
      <c r="BM33" s="30">
        <f t="shared" si="212"/>
        <v>-213286</v>
      </c>
    </row>
    <row r="34" spans="1:65" ht="15.75" x14ac:dyDescent="0.25">
      <c r="A34" s="128"/>
      <c r="B34" s="5" t="s">
        <v>135</v>
      </c>
      <c r="C34" s="13">
        <f>C33/C29</f>
        <v>1.9407208537943667E-2</v>
      </c>
      <c r="D34" s="13">
        <f t="shared" ref="D34" si="328">D33/D29</f>
        <v>0.53070288694933632</v>
      </c>
      <c r="E34" s="13">
        <f t="shared" ref="E34" si="329">E33/E29</f>
        <v>-3.1660076064781002E-2</v>
      </c>
      <c r="F34" s="13">
        <f t="shared" ref="F34" si="330">F33/F29</f>
        <v>0.17978531615421511</v>
      </c>
      <c r="G34" s="13">
        <f t="shared" ref="G34" si="331">G33/G29</f>
        <v>0.18215261988094933</v>
      </c>
      <c r="H34" s="13" t="e">
        <f t="shared" ref="H34" si="332">H33/H29</f>
        <v>#DIV/0!</v>
      </c>
      <c r="I34" s="13" t="e">
        <f t="shared" ref="I34" si="333">I33/I29</f>
        <v>#DIV/0!</v>
      </c>
      <c r="J34" s="13" t="e">
        <f t="shared" ref="J34" si="334">J33/J29</f>
        <v>#DIV/0!</v>
      </c>
      <c r="K34" s="13">
        <f t="shared" ref="K34" si="335">K33/K29</f>
        <v>0.46265060240963857</v>
      </c>
      <c r="L34" s="13">
        <f t="shared" ref="L34" si="336">L33/L29</f>
        <v>-0.18386243386243387</v>
      </c>
      <c r="M34" s="13">
        <f t="shared" ref="M34" si="337">M33/M29</f>
        <v>6.4269911504424779E-2</v>
      </c>
      <c r="N34" s="13">
        <f t="shared" ref="N34" si="338">N33/N29</f>
        <v>-0.23664122137404581</v>
      </c>
      <c r="O34" s="13">
        <f t="shared" ref="O34" si="339">O33/O29</f>
        <v>0.36296296296296299</v>
      </c>
      <c r="P34" s="13">
        <f t="shared" ref="P34" si="340">P33/P29</f>
        <v>-0.14480048367593712</v>
      </c>
      <c r="Q34" s="13" t="e">
        <f t="shared" ref="Q34" si="341">Q33/Q29</f>
        <v>#DIV/0!</v>
      </c>
      <c r="R34" s="13">
        <f t="shared" ref="R34" si="342">R33/R29</f>
        <v>0.29904306220095694</v>
      </c>
      <c r="S34" s="13" t="e">
        <f t="shared" ref="S34" si="343">S33/S29</f>
        <v>#DIV/0!</v>
      </c>
      <c r="T34" s="13" t="e">
        <f t="shared" ref="T34:U34" si="344">T33/T29</f>
        <v>#DIV/0!</v>
      </c>
      <c r="U34" s="13" t="e">
        <f t="shared" si="344"/>
        <v>#DIV/0!</v>
      </c>
      <c r="V34" s="162" t="e">
        <f t="shared" ref="V34" si="345">V33/V29</f>
        <v>#DIV/0!</v>
      </c>
      <c r="W34" s="13" t="e">
        <f t="shared" ref="W34" si="346">W33/W29</f>
        <v>#DIV/0!</v>
      </c>
      <c r="X34" s="13" t="e">
        <f t="shared" ref="X34" si="347">X33/X29</f>
        <v>#DIV/0!</v>
      </c>
      <c r="Y34" s="13">
        <f t="shared" ref="Y34" si="348">Y33/Y29</f>
        <v>0.572972972972973</v>
      </c>
      <c r="Z34" s="13">
        <f t="shared" ref="Z34" si="349">Z33/Z29</f>
        <v>37</v>
      </c>
      <c r="AA34" s="13">
        <f t="shared" ref="AA34:AD34" si="350">AA33/AA29</f>
        <v>55</v>
      </c>
      <c r="AB34" s="13" t="e">
        <f t="shared" ref="AB34" si="351">AB33/AB29</f>
        <v>#DIV/0!</v>
      </c>
      <c r="AC34" s="14">
        <f t="shared" si="350"/>
        <v>0.31681686237622764</v>
      </c>
      <c r="AD34" s="224">
        <f t="shared" si="350"/>
        <v>0.11694867175708258</v>
      </c>
      <c r="AE34" s="13">
        <f t="shared" ref="AE34" si="352">AE33/AE29</f>
        <v>-0.27576974564926371</v>
      </c>
      <c r="AF34" s="13">
        <f t="shared" ref="AF34" si="353">AF33/AF29</f>
        <v>0.1271186440677966</v>
      </c>
      <c r="AG34" s="13">
        <f t="shared" ref="AG34" si="354">AG33/AG29</f>
        <v>-0.85470085470085466</v>
      </c>
      <c r="AH34" s="13" t="e">
        <f t="shared" ref="AH34" si="355">AH33/AH29</f>
        <v>#DIV/0!</v>
      </c>
      <c r="AI34" s="13" t="e">
        <f t="shared" ref="AI34" si="356">AI33/AI29</f>
        <v>#DIV/0!</v>
      </c>
      <c r="AJ34" s="13">
        <f t="shared" ref="AJ34" si="357">AJ33/AJ29</f>
        <v>-0.48214285714285715</v>
      </c>
      <c r="AK34" s="13">
        <f t="shared" ref="AK34" si="358">AK33/AK29</f>
        <v>-0.29895009995895727</v>
      </c>
      <c r="AL34" s="13">
        <f t="shared" ref="AL34" si="359">AL33/AL29</f>
        <v>-0.58139726343174225</v>
      </c>
      <c r="AM34" s="13" t="e">
        <f t="shared" ref="AM34" si="360">AM33/AM29</f>
        <v>#DIV/0!</v>
      </c>
      <c r="AN34" s="13">
        <f t="shared" ref="AN34" si="361">AN33/AN29</f>
        <v>0</v>
      </c>
      <c r="AO34" s="162">
        <f t="shared" ref="AO34" si="362">AO33/AO29</f>
        <v>7.5852136341814688E-2</v>
      </c>
      <c r="AP34" s="13">
        <f t="shared" ref="AP34" si="363">AP33/AP29</f>
        <v>-0.60460808495042251</v>
      </c>
      <c r="AQ34" s="14"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f t="shared" ref="AX34" si="371">AX33/AX29</f>
        <v>-1</v>
      </c>
      <c r="AY34" s="13" t="e">
        <f t="shared" ref="AY34" si="372">AY33/AY29</f>
        <v>#DIV/0!</v>
      </c>
      <c r="AZ34" s="13" t="e">
        <f t="shared" ref="AZ34" si="373">AZ33/AZ29</f>
        <v>#DIV/0!</v>
      </c>
      <c r="BA34" s="13" t="e">
        <f t="shared" ref="BA34" si="374">BA33/BA29</f>
        <v>#DIV/0!</v>
      </c>
      <c r="BB34" s="14">
        <f t="shared" ref="BB34" si="375">BB33/BB29</f>
        <v>2.8468220046877154E-2</v>
      </c>
      <c r="BC34" s="13">
        <f t="shared" ref="BC34" si="376">BC33/BC29</f>
        <v>-4.6844181459566078E-2</v>
      </c>
      <c r="BD34" s="13">
        <f t="shared" ref="BD34" si="377">BD33/BD29</f>
        <v>-4.6844181459566078E-2</v>
      </c>
      <c r="BE34" s="13" t="e">
        <f t="shared" ref="BE34" si="378">BE33/BE29</f>
        <v>#DIV/0!</v>
      </c>
      <c r="BF34" s="13">
        <f t="shared" ref="BF34" si="379">BF33/BF29</f>
        <v>-0.47718354075569008</v>
      </c>
      <c r="BG34" s="13">
        <f t="shared" ref="BG34:BH34" si="380">BG33/BG29</f>
        <v>2.442622950819672</v>
      </c>
      <c r="BH34" s="162">
        <f t="shared" si="380"/>
        <v>-0.25690781971104437</v>
      </c>
      <c r="BI34" s="224">
        <f t="shared" ref="BI34" si="381">BI33/BI29</f>
        <v>-4.3494390549247641E-2</v>
      </c>
      <c r="BJ34" s="13">
        <f t="shared" ref="BJ34:BK34" si="382">BJ33/BJ29</f>
        <v>-4.3775220233020748</v>
      </c>
      <c r="BK34" s="50">
        <f t="shared" si="382"/>
        <v>-6.1846384878906348E-2</v>
      </c>
      <c r="BM34" s="14">
        <f t="shared" ref="BM34" si="383">BM33/BM29</f>
        <v>-0.29733731110243683</v>
      </c>
    </row>
    <row r="35" spans="1:65" ht="15.75" x14ac:dyDescent="0.25">
      <c r="A35" s="128"/>
      <c r="B35" s="5" t="s">
        <v>296</v>
      </c>
      <c r="C35" s="126">
        <f>C30/C27</f>
        <v>0.60725262778209599</v>
      </c>
      <c r="D35" s="126">
        <f t="shared" ref="D35:BK35" si="384">D30/D27</f>
        <v>0.52907890039271688</v>
      </c>
      <c r="E35" s="126">
        <f t="shared" si="384"/>
        <v>0.76588708713494558</v>
      </c>
      <c r="F35" s="126">
        <f t="shared" si="384"/>
        <v>0.62949300622159465</v>
      </c>
      <c r="G35" s="126">
        <f t="shared" si="384"/>
        <v>0.63611618987393981</v>
      </c>
      <c r="H35" s="126" t="e">
        <f t="shared" si="384"/>
        <v>#DIV/0!</v>
      </c>
      <c r="I35" s="126" t="e">
        <f t="shared" si="384"/>
        <v>#DIV/0!</v>
      </c>
      <c r="J35" s="126" t="e">
        <f t="shared" si="384"/>
        <v>#DIV/0!</v>
      </c>
      <c r="K35" s="126">
        <f t="shared" si="384"/>
        <v>0.97119999999999995</v>
      </c>
      <c r="L35" s="126">
        <f t="shared" si="384"/>
        <v>0.45520657672849918</v>
      </c>
      <c r="M35" s="126">
        <f t="shared" si="384"/>
        <v>0.38658737493470485</v>
      </c>
      <c r="N35" s="126">
        <f t="shared" si="384"/>
        <v>6.548788474132286E-2</v>
      </c>
      <c r="O35" s="126">
        <f t="shared" si="384"/>
        <v>0.45338809034907596</v>
      </c>
      <c r="P35" s="126">
        <f t="shared" si="384"/>
        <v>0.33392351274787535</v>
      </c>
      <c r="Q35" s="126" t="e">
        <f t="shared" si="384"/>
        <v>#DIV/0!</v>
      </c>
      <c r="R35" s="126">
        <f t="shared" si="384"/>
        <v>0.19310099573257469</v>
      </c>
      <c r="S35" s="126" t="e">
        <f t="shared" si="384"/>
        <v>#DIV/0!</v>
      </c>
      <c r="T35" s="126" t="e">
        <f t="shared" si="384"/>
        <v>#DIV/0!</v>
      </c>
      <c r="U35" s="126" t="e">
        <f t="shared" si="384"/>
        <v>#DIV/0!</v>
      </c>
      <c r="V35" s="177">
        <f t="shared" si="384"/>
        <v>0</v>
      </c>
      <c r="W35" s="126" t="e">
        <f t="shared" si="384"/>
        <v>#DIV/0!</v>
      </c>
      <c r="X35" s="126" t="e">
        <f t="shared" si="384"/>
        <v>#DIV/0!</v>
      </c>
      <c r="Y35" s="126">
        <f t="shared" si="384"/>
        <v>0.51322751322751325</v>
      </c>
      <c r="Z35" s="126" t="e">
        <f t="shared" si="384"/>
        <v>#DIV/0!</v>
      </c>
      <c r="AA35" s="126">
        <f t="shared" si="384"/>
        <v>18.666666666666668</v>
      </c>
      <c r="AB35" s="126">
        <f t="shared" ref="AB35" si="385">AB30/AB27</f>
        <v>0</v>
      </c>
      <c r="AC35" s="215">
        <f t="shared" si="384"/>
        <v>0.73976113093479401</v>
      </c>
      <c r="AD35" s="225">
        <f t="shared" si="384"/>
        <v>0.60374522706962386</v>
      </c>
      <c r="AE35" s="126">
        <f t="shared" si="384"/>
        <v>1.2759433962264151</v>
      </c>
      <c r="AF35" s="126">
        <f t="shared" si="384"/>
        <v>1.52</v>
      </c>
      <c r="AG35" s="126">
        <f t="shared" si="384"/>
        <v>0.34412955465587042</v>
      </c>
      <c r="AH35" s="126" t="e">
        <f t="shared" si="384"/>
        <v>#DIV/0!</v>
      </c>
      <c r="AI35" s="126" t="e">
        <f t="shared" si="384"/>
        <v>#DIV/0!</v>
      </c>
      <c r="AJ35" s="126">
        <f t="shared" si="384"/>
        <v>6.2142857142857144</v>
      </c>
      <c r="AK35" s="126">
        <f t="shared" si="384"/>
        <v>0.65073152147865043</v>
      </c>
      <c r="AL35" s="126">
        <f t="shared" si="384"/>
        <v>0.27601294132974336</v>
      </c>
      <c r="AM35" s="126" t="e">
        <f t="shared" si="384"/>
        <v>#DIV/0!</v>
      </c>
      <c r="AN35" s="126" t="e">
        <f t="shared" si="384"/>
        <v>#DIV/0!</v>
      </c>
      <c r="AO35" s="177">
        <f t="shared" si="384"/>
        <v>0.53121049304677626</v>
      </c>
      <c r="AP35" s="126">
        <f t="shared" si="384"/>
        <v>0.25948799292707347</v>
      </c>
      <c r="AQ35" s="215" t="e">
        <f t="shared" si="384"/>
        <v>#DIV/0!</v>
      </c>
      <c r="AR35" s="126" t="e">
        <f t="shared" si="384"/>
        <v>#DIV/0!</v>
      </c>
      <c r="AS35" s="126" t="e">
        <f t="shared" si="384"/>
        <v>#DIV/0!</v>
      </c>
      <c r="AT35" s="126" t="e">
        <f t="shared" si="384"/>
        <v>#DIV/0!</v>
      </c>
      <c r="AU35" s="126" t="e">
        <f t="shared" si="384"/>
        <v>#DIV/0!</v>
      </c>
      <c r="AV35" s="126" t="e">
        <f t="shared" si="384"/>
        <v>#DIV/0!</v>
      </c>
      <c r="AW35" s="126">
        <f t="shared" si="384"/>
        <v>0.13587604290822408</v>
      </c>
      <c r="AX35" s="126">
        <f t="shared" si="384"/>
        <v>0</v>
      </c>
      <c r="AY35" s="126">
        <f t="shared" si="384"/>
        <v>5.666666666666667</v>
      </c>
      <c r="AZ35" s="126" t="e">
        <f t="shared" si="384"/>
        <v>#DIV/0!</v>
      </c>
      <c r="BA35" s="126" t="e">
        <f t="shared" si="384"/>
        <v>#DIV/0!</v>
      </c>
      <c r="BB35" s="215">
        <f t="shared" si="384"/>
        <v>1.6695942558372725</v>
      </c>
      <c r="BC35" s="126">
        <f t="shared" si="384"/>
        <v>0.80274086378737541</v>
      </c>
      <c r="BD35" s="126">
        <f t="shared" si="384"/>
        <v>0.80274086378737541</v>
      </c>
      <c r="BE35" s="126" t="e">
        <f t="shared" si="384"/>
        <v>#DIV/0!</v>
      </c>
      <c r="BF35" s="126">
        <f t="shared" si="384"/>
        <v>0.63459444746869897</v>
      </c>
      <c r="BG35" s="126">
        <f t="shared" si="384"/>
        <v>0.24852071005917159</v>
      </c>
      <c r="BH35" s="177">
        <f t="shared" si="384"/>
        <v>0.66029604201434677</v>
      </c>
      <c r="BI35" s="225">
        <f t="shared" si="384"/>
        <v>0.62149147464062837</v>
      </c>
      <c r="BJ35" s="126">
        <f t="shared" si="384"/>
        <v>0.3698154889697875</v>
      </c>
      <c r="BK35" s="126">
        <f t="shared" si="384"/>
        <v>0.6280068112637166</v>
      </c>
      <c r="BM35" s="126" t="e">
        <f t="shared" ref="BM35" si="386">BM30/BM27</f>
        <v>#DIV/0!</v>
      </c>
    </row>
    <row r="36" spans="1:65" s="180" customFormat="1" ht="15.75" x14ac:dyDescent="0.25">
      <c r="A36" s="128"/>
      <c r="B36" s="5" t="s">
        <v>297</v>
      </c>
      <c r="C36" s="11">
        <f>C30-C27</f>
        <v>-386540</v>
      </c>
      <c r="D36" s="11">
        <f t="shared" ref="D36:BM36" si="387">D30-D27</f>
        <v>-131905</v>
      </c>
      <c r="E36" s="11">
        <f t="shared" si="387"/>
        <v>-11752</v>
      </c>
      <c r="F36" s="11">
        <f t="shared" si="387"/>
        <v>-41984</v>
      </c>
      <c r="G36" s="11">
        <f t="shared" si="387"/>
        <v>-26470</v>
      </c>
      <c r="H36" s="11">
        <f t="shared" si="387"/>
        <v>0</v>
      </c>
      <c r="I36" s="11">
        <f t="shared" si="387"/>
        <v>0</v>
      </c>
      <c r="J36" s="11">
        <f t="shared" si="387"/>
        <v>7</v>
      </c>
      <c r="K36" s="11">
        <f t="shared" si="387"/>
        <v>-18</v>
      </c>
      <c r="L36" s="11">
        <f t="shared" si="387"/>
        <v>-5169</v>
      </c>
      <c r="M36" s="11">
        <f t="shared" si="387"/>
        <v>-15266</v>
      </c>
      <c r="N36" s="11">
        <f t="shared" si="387"/>
        <v>-1427</v>
      </c>
      <c r="O36" s="11">
        <f t="shared" si="387"/>
        <v>-1331</v>
      </c>
      <c r="P36" s="11">
        <f t="shared" si="387"/>
        <v>-11286</v>
      </c>
      <c r="Q36" s="11">
        <f t="shared" si="387"/>
        <v>0</v>
      </c>
      <c r="R36" s="11">
        <f t="shared" si="387"/>
        <v>-4538</v>
      </c>
      <c r="S36" s="11">
        <f t="shared" si="387"/>
        <v>0</v>
      </c>
      <c r="T36" s="11">
        <f t="shared" si="387"/>
        <v>0</v>
      </c>
      <c r="U36" s="11">
        <f t="shared" si="387"/>
        <v>0</v>
      </c>
      <c r="V36" s="9">
        <f t="shared" si="387"/>
        <v>-6871</v>
      </c>
      <c r="W36" s="11">
        <f t="shared" si="387"/>
        <v>0</v>
      </c>
      <c r="X36" s="11">
        <f t="shared" si="387"/>
        <v>0</v>
      </c>
      <c r="Y36" s="11">
        <f t="shared" si="387"/>
        <v>-552</v>
      </c>
      <c r="Z36" s="11">
        <f t="shared" si="387"/>
        <v>38</v>
      </c>
      <c r="AA36" s="11">
        <f t="shared" si="387"/>
        <v>53</v>
      </c>
      <c r="AB36" s="11">
        <f t="shared" ref="AB36" si="388">AB30-AB27</f>
        <v>-1793</v>
      </c>
      <c r="AC36" s="10">
        <f t="shared" si="387"/>
        <v>-45801</v>
      </c>
      <c r="AD36" s="223">
        <f t="shared" si="387"/>
        <v>-692605</v>
      </c>
      <c r="AE36" s="11">
        <f t="shared" si="387"/>
        <v>117</v>
      </c>
      <c r="AF36" s="11">
        <f t="shared" si="387"/>
        <v>182</v>
      </c>
      <c r="AG36" s="11">
        <f t="shared" si="387"/>
        <v>-162</v>
      </c>
      <c r="AH36" s="11">
        <f t="shared" si="387"/>
        <v>0</v>
      </c>
      <c r="AI36" s="11">
        <f t="shared" si="387"/>
        <v>0</v>
      </c>
      <c r="AJ36" s="11">
        <f t="shared" si="387"/>
        <v>73</v>
      </c>
      <c r="AK36" s="11">
        <f t="shared" si="387"/>
        <v>-113682</v>
      </c>
      <c r="AL36" s="11">
        <f t="shared" si="387"/>
        <v>-66685</v>
      </c>
      <c r="AM36" s="11">
        <f t="shared" si="387"/>
        <v>0</v>
      </c>
      <c r="AN36" s="11">
        <f t="shared" si="387"/>
        <v>140</v>
      </c>
      <c r="AO36" s="9">
        <f t="shared" si="387"/>
        <v>-47464</v>
      </c>
      <c r="AP36" s="11">
        <f t="shared" si="387"/>
        <v>-113910</v>
      </c>
      <c r="AQ36" s="10">
        <f t="shared" si="387"/>
        <v>0</v>
      </c>
      <c r="AR36" s="11">
        <f t="shared" si="387"/>
        <v>0</v>
      </c>
      <c r="AS36" s="11">
        <f t="shared" si="387"/>
        <v>0</v>
      </c>
      <c r="AT36" s="11">
        <f t="shared" si="387"/>
        <v>0</v>
      </c>
      <c r="AU36" s="11">
        <f t="shared" si="387"/>
        <v>0</v>
      </c>
      <c r="AV36" s="11">
        <f t="shared" si="387"/>
        <v>0</v>
      </c>
      <c r="AW36" s="11">
        <f t="shared" si="387"/>
        <v>-725</v>
      </c>
      <c r="AX36" s="11">
        <f t="shared" si="387"/>
        <v>-72</v>
      </c>
      <c r="AY36" s="11">
        <f t="shared" si="387"/>
        <v>126</v>
      </c>
      <c r="AZ36" s="11">
        <f t="shared" si="387"/>
        <v>0</v>
      </c>
      <c r="BA36" s="11">
        <f t="shared" si="387"/>
        <v>0</v>
      </c>
      <c r="BB36" s="10">
        <f t="shared" si="387"/>
        <v>74791</v>
      </c>
      <c r="BC36" s="11">
        <f t="shared" si="387"/>
        <v>-475</v>
      </c>
      <c r="BD36" s="11">
        <f t="shared" si="387"/>
        <v>-475</v>
      </c>
      <c r="BE36" s="11">
        <f t="shared" si="387"/>
        <v>0</v>
      </c>
      <c r="BF36" s="11">
        <f t="shared" si="387"/>
        <v>-2685</v>
      </c>
      <c r="BG36" s="11">
        <f t="shared" si="387"/>
        <v>-635</v>
      </c>
      <c r="BH36" s="11">
        <f t="shared" si="387"/>
        <v>-271541</v>
      </c>
      <c r="BI36" s="223">
        <f t="shared" si="387"/>
        <v>-964146</v>
      </c>
      <c r="BJ36" s="11">
        <f t="shared" si="387"/>
        <v>-40507</v>
      </c>
      <c r="BK36" s="11">
        <f t="shared" si="387"/>
        <v>-923639</v>
      </c>
      <c r="BL36" s="11">
        <f t="shared" si="387"/>
        <v>1559305</v>
      </c>
      <c r="BM36" s="11">
        <f t="shared" si="387"/>
        <v>504034</v>
      </c>
    </row>
    <row r="37" spans="1:65" s="180" customFormat="1" ht="15.75" x14ac:dyDescent="0.25">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226"/>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226"/>
      <c r="BJ37" s="5"/>
      <c r="BK37" s="48"/>
    </row>
    <row r="38" spans="1:65" ht="15.75" x14ac:dyDescent="0.25">
      <c r="A38" s="15" t="s">
        <v>138</v>
      </c>
      <c r="B38" s="11" t="s">
        <v>300</v>
      </c>
      <c r="C38" s="120">
        <v>1538528</v>
      </c>
      <c r="D38" s="120">
        <v>438598</v>
      </c>
      <c r="E38" s="120">
        <v>65242</v>
      </c>
      <c r="F38" s="120">
        <v>185619</v>
      </c>
      <c r="G38" s="120">
        <v>98410</v>
      </c>
      <c r="H38" s="120">
        <v>0</v>
      </c>
      <c r="I38" s="120">
        <v>0</v>
      </c>
      <c r="J38" s="120">
        <v>0</v>
      </c>
      <c r="K38" s="120">
        <v>1451</v>
      </c>
      <c r="L38" s="120">
        <v>40822</v>
      </c>
      <c r="M38" s="120">
        <v>57025</v>
      </c>
      <c r="N38" s="120">
        <v>209</v>
      </c>
      <c r="O38" s="120">
        <v>3360</v>
      </c>
      <c r="P38" s="120">
        <v>28074</v>
      </c>
      <c r="Q38" s="120">
        <v>0</v>
      </c>
      <c r="R38" s="120">
        <v>5083</v>
      </c>
      <c r="S38" s="120">
        <v>0</v>
      </c>
      <c r="T38" s="120">
        <v>0</v>
      </c>
      <c r="U38" s="120"/>
      <c r="V38" s="189">
        <v>332810</v>
      </c>
      <c r="W38" s="120">
        <v>0</v>
      </c>
      <c r="X38" s="120">
        <v>0</v>
      </c>
      <c r="Y38" s="120">
        <v>243</v>
      </c>
      <c r="Z38" s="120">
        <v>24</v>
      </c>
      <c r="AA38" s="120">
        <v>206</v>
      </c>
      <c r="AB38" s="120">
        <v>2808</v>
      </c>
      <c r="AC38" s="151">
        <v>1155805</v>
      </c>
      <c r="AD38" s="229">
        <f t="shared" ref="AD38:AD39" si="389">SUM(C38:AC38)</f>
        <v>3954317</v>
      </c>
      <c r="AE38" s="120">
        <v>1049</v>
      </c>
      <c r="AF38" s="120">
        <v>224</v>
      </c>
      <c r="AG38" s="120">
        <v>4618</v>
      </c>
      <c r="AH38" s="120">
        <v>0</v>
      </c>
      <c r="AI38" s="120">
        <v>0</v>
      </c>
      <c r="AJ38" s="120">
        <v>0</v>
      </c>
      <c r="AK38" s="120">
        <v>173369</v>
      </c>
      <c r="AL38" s="120">
        <v>30087</v>
      </c>
      <c r="AM38" s="120">
        <v>525</v>
      </c>
      <c r="AN38" s="120">
        <v>0</v>
      </c>
      <c r="AO38" s="189">
        <v>122676</v>
      </c>
      <c r="AP38" s="120">
        <v>-80383</v>
      </c>
      <c r="AQ38" s="151">
        <v>145520</v>
      </c>
      <c r="AR38" s="120">
        <v>0</v>
      </c>
      <c r="AS38" s="120"/>
      <c r="AT38" s="120"/>
      <c r="AU38" s="120">
        <v>0</v>
      </c>
      <c r="AV38" s="120"/>
      <c r="AW38" s="120">
        <v>0</v>
      </c>
      <c r="AX38" s="120">
        <v>0</v>
      </c>
      <c r="AY38" s="120">
        <v>169</v>
      </c>
      <c r="AZ38" s="120">
        <v>0</v>
      </c>
      <c r="BA38" s="120">
        <v>0</v>
      </c>
      <c r="BB38" s="151">
        <v>650303</v>
      </c>
      <c r="BC38" s="120">
        <v>5071</v>
      </c>
      <c r="BD38" s="120">
        <v>5071</v>
      </c>
      <c r="BE38" s="120">
        <v>0</v>
      </c>
      <c r="BF38" s="120">
        <v>11395</v>
      </c>
      <c r="BG38" s="120">
        <v>471</v>
      </c>
      <c r="BH38" s="9">
        <f>SUM(AE38:BG38)</f>
        <v>1070165</v>
      </c>
      <c r="BI38" s="222">
        <f>AD38+BH38</f>
        <v>5024482</v>
      </c>
      <c r="BJ38" s="96">
        <v>81243</v>
      </c>
      <c r="BK38" s="49">
        <f t="shared" ref="BK38:BK39" si="390">BI38-BJ38</f>
        <v>4943239</v>
      </c>
      <c r="BL38">
        <v>4</v>
      </c>
      <c r="BM38" s="30"/>
    </row>
    <row r="39" spans="1:65" s="41" customFormat="1" ht="15.75" x14ac:dyDescent="0.25">
      <c r="A39" s="134" t="s">
        <v>138</v>
      </c>
      <c r="B39" s="216" t="s">
        <v>325</v>
      </c>
      <c r="C39" s="10">
        <v>923117</v>
      </c>
      <c r="D39" s="10">
        <v>236704</v>
      </c>
      <c r="E39" s="10">
        <v>65242</v>
      </c>
      <c r="F39" s="10">
        <v>111373</v>
      </c>
      <c r="G39" s="10">
        <v>59045</v>
      </c>
      <c r="H39" s="10">
        <v>0</v>
      </c>
      <c r="I39" s="10">
        <v>0</v>
      </c>
      <c r="J39" s="10">
        <v>0</v>
      </c>
      <c r="K39" s="10">
        <v>870</v>
      </c>
      <c r="L39" s="10">
        <v>24495</v>
      </c>
      <c r="M39" s="10">
        <v>34216</v>
      </c>
      <c r="N39" s="10">
        <v>127</v>
      </c>
      <c r="O39" s="10">
        <v>2016</v>
      </c>
      <c r="P39" s="10">
        <v>16844</v>
      </c>
      <c r="Q39" s="10">
        <v>0</v>
      </c>
      <c r="R39" s="10">
        <v>3051</v>
      </c>
      <c r="S39" s="10">
        <v>0</v>
      </c>
      <c r="T39" s="10">
        <v>0</v>
      </c>
      <c r="U39" s="10"/>
      <c r="V39" s="10">
        <v>199687</v>
      </c>
      <c r="W39" s="10">
        <v>0</v>
      </c>
      <c r="X39" s="10">
        <v>0</v>
      </c>
      <c r="Y39" s="10">
        <v>144</v>
      </c>
      <c r="Z39" s="10">
        <v>14</v>
      </c>
      <c r="AA39" s="10">
        <v>122</v>
      </c>
      <c r="AB39" s="10">
        <v>1686</v>
      </c>
      <c r="AC39" s="10">
        <v>693481</v>
      </c>
      <c r="AD39" s="229">
        <f t="shared" si="389"/>
        <v>2372234</v>
      </c>
      <c r="AE39" s="10">
        <v>630</v>
      </c>
      <c r="AF39" s="10">
        <v>134</v>
      </c>
      <c r="AG39" s="10">
        <v>2769</v>
      </c>
      <c r="AH39" s="10">
        <v>0</v>
      </c>
      <c r="AI39" s="10">
        <v>0</v>
      </c>
      <c r="AJ39" s="10">
        <v>0</v>
      </c>
      <c r="AK39" s="10">
        <v>104024</v>
      </c>
      <c r="AL39" s="10">
        <v>18052</v>
      </c>
      <c r="AM39" s="10">
        <v>316</v>
      </c>
      <c r="AN39" s="10">
        <v>0</v>
      </c>
      <c r="AO39" s="10">
        <v>73606</v>
      </c>
      <c r="AP39" s="10">
        <v>-48231</v>
      </c>
      <c r="AQ39" s="10">
        <v>87314</v>
      </c>
      <c r="AR39" s="10">
        <v>0</v>
      </c>
      <c r="AS39" s="10"/>
      <c r="AT39" s="10"/>
      <c r="AU39" s="10">
        <v>0</v>
      </c>
      <c r="AV39" s="10"/>
      <c r="AW39" s="10">
        <v>0</v>
      </c>
      <c r="AX39" s="10">
        <v>0</v>
      </c>
      <c r="AY39" s="10">
        <v>104</v>
      </c>
      <c r="AZ39" s="10">
        <v>0</v>
      </c>
      <c r="BA39" s="10">
        <v>0</v>
      </c>
      <c r="BB39" s="10">
        <v>390182</v>
      </c>
      <c r="BC39" s="10">
        <v>3044</v>
      </c>
      <c r="BD39" s="10">
        <v>3014</v>
      </c>
      <c r="BE39" s="10">
        <v>0</v>
      </c>
      <c r="BF39" s="10">
        <v>6839</v>
      </c>
      <c r="BG39" s="10">
        <v>298</v>
      </c>
      <c r="BH39" s="10">
        <f>SUM(AE39:BG39)</f>
        <v>642095</v>
      </c>
      <c r="BI39" s="222">
        <f>AD39+BH39</f>
        <v>3014329</v>
      </c>
      <c r="BJ39" s="10">
        <v>47391</v>
      </c>
      <c r="BK39" s="10">
        <f t="shared" si="390"/>
        <v>2966938</v>
      </c>
      <c r="BM39" s="217"/>
    </row>
    <row r="40" spans="1:65" ht="15.75" x14ac:dyDescent="0.25">
      <c r="A40" s="128"/>
      <c r="B40" s="12" t="s">
        <v>326</v>
      </c>
      <c r="C40" s="9">
        <f>IF('Upto Month COPPY'!$E$4="",0,'Upto Month COPPY'!$E$4)</f>
        <v>900428</v>
      </c>
      <c r="D40" s="9">
        <f>IF('Upto Month COPPY'!$E$5="",0,'Upto Month COPPY'!$E$5)</f>
        <v>150547</v>
      </c>
      <c r="E40" s="9">
        <f>IF('Upto Month COPPY'!$E$6="",0,'Upto Month COPPY'!$E$6)</f>
        <v>60356</v>
      </c>
      <c r="F40" s="9">
        <f>IF('Upto Month COPPY'!$E$7="",0,'Upto Month COPPY'!$E$7)</f>
        <v>101239</v>
      </c>
      <c r="G40" s="9">
        <f>IF('Upto Month COPPY'!$E$8="",0,'Upto Month COPPY'!$E$8)</f>
        <v>52528</v>
      </c>
      <c r="H40" s="9">
        <f>IF('Upto Month COPPY'!$E$9="",0,'Upto Month COPPY'!$E$9)</f>
        <v>0</v>
      </c>
      <c r="I40" s="9">
        <f>IF('Upto Month COPPY'!$E$10="",0,'Upto Month COPPY'!$E$10)</f>
        <v>0</v>
      </c>
      <c r="J40" s="9">
        <f>IF('Upto Month COPPY'!$E$11="",0,'Upto Month COPPY'!$E$11)</f>
        <v>0</v>
      </c>
      <c r="K40" s="9">
        <f>IF('Upto Month COPPY'!$E$12="",0,'Upto Month COPPY'!$E$12)</f>
        <v>798</v>
      </c>
      <c r="L40" s="9">
        <f>IF('Upto Month COPPY'!$E$13="",0,'Upto Month COPPY'!$E$13)</f>
        <v>24734</v>
      </c>
      <c r="M40" s="9">
        <f>IF('Upto Month COPPY'!$E$14="",0,'Upto Month COPPY'!$E$14)</f>
        <v>22815</v>
      </c>
      <c r="N40" s="9">
        <f>IF('Upto Month COPPY'!$E$15="",0,'Upto Month COPPY'!$E$15)</f>
        <v>71</v>
      </c>
      <c r="O40" s="9">
        <f>IF('Upto Month COPPY'!$E$16="",0,'Upto Month COPPY'!$E$16)</f>
        <v>1630</v>
      </c>
      <c r="P40" s="9">
        <f>IF('Upto Month COPPY'!$E$17="",0,'Upto Month COPPY'!$E$17)</f>
        <v>15409</v>
      </c>
      <c r="Q40" s="9">
        <f>IF('Upto Month COPPY'!$E$18="",0,'Upto Month COPPY'!$E$18)</f>
        <v>0</v>
      </c>
      <c r="R40" s="9">
        <f>IF('Upto Month COPPY'!$E$21="",0,'Upto Month COPPY'!$E$21)</f>
        <v>1084</v>
      </c>
      <c r="S40" s="9">
        <f>IF('Upto Month COPPY'!$E$26="",0,'Upto Month COPPY'!$E$26)</f>
        <v>0</v>
      </c>
      <c r="T40" s="9">
        <f>IF('Upto Month COPPY'!$E$27="",0,'Upto Month COPPY'!$E$27)</f>
        <v>0</v>
      </c>
      <c r="U40" s="9">
        <f>IF('Upto Month COPPY'!$E$30="",0,'Upto Month COPPY'!$E$30)</f>
        <v>1355</v>
      </c>
      <c r="V40" s="9">
        <f>IF('Upto Month COPPY'!$E$35="",0,'Upto Month COPPY'!$E$35)</f>
        <v>207514</v>
      </c>
      <c r="W40" s="9">
        <f>IF('Upto Month COPPY'!$E$39="",0,'Upto Month COPPY'!$E$39)</f>
        <v>0</v>
      </c>
      <c r="X40" s="9">
        <f>IF('Upto Month COPPY'!$E$40="",0,'Upto Month COPPY'!$E$40)</f>
        <v>0</v>
      </c>
      <c r="Y40" s="9">
        <f>IF('Upto Month COPPY'!$E$42="",0,'Upto Month COPPY'!$E$42)</f>
        <v>19</v>
      </c>
      <c r="Z40" s="9">
        <f>IF('Upto Month COPPY'!$E$43="",0,'Upto Month COPPY'!$E$43)</f>
        <v>3</v>
      </c>
      <c r="AA40" s="9">
        <f>IF('Upto Month COPPY'!$E$44="",0,'Upto Month COPPY'!$E$44)</f>
        <v>74</v>
      </c>
      <c r="AB40" s="9">
        <f>IF('Upto Month COPPY'!$E$48="",0,'Upto Month COPPY'!$E$48)</f>
        <v>0</v>
      </c>
      <c r="AC40" s="10">
        <f>IF('Upto Month COPPY'!$E$51="",0,'Upto Month COPPY'!$E$51)</f>
        <v>729121</v>
      </c>
      <c r="AD40" s="229">
        <f t="shared" ref="AD40:AD41" si="391">SUM(C40:AC40)</f>
        <v>2269725</v>
      </c>
      <c r="AE40" s="9">
        <f>IF('Upto Month COPPY'!$E$19="",0,'Upto Month COPPY'!$E$19)</f>
        <v>287</v>
      </c>
      <c r="AF40" s="9">
        <f>IF('Upto Month COPPY'!$E$20="",0,'Upto Month COPPY'!$E$20)</f>
        <v>177</v>
      </c>
      <c r="AG40" s="9">
        <f>IF('Upto Month COPPY'!$E$22="",0,'Upto Month COPPY'!$E$22)</f>
        <v>3886</v>
      </c>
      <c r="AH40" s="9">
        <f>IF('Upto Month COPPY'!$E$23="",0,'Upto Month COPPY'!$E$23)</f>
        <v>0</v>
      </c>
      <c r="AI40" s="9">
        <f>IF('Upto Month COPPY'!$E$24="",0,'Upto Month COPPY'!$E$24)</f>
        <v>0</v>
      </c>
      <c r="AJ40" s="9">
        <f>IF('Upto Month COPPY'!$E$25="",0,'Upto Month COPPY'!$E$25)</f>
        <v>0</v>
      </c>
      <c r="AK40" s="9">
        <f>IF('Upto Month COPPY'!$E$28="",0,'Upto Month COPPY'!$E$28)</f>
        <v>138632</v>
      </c>
      <c r="AL40" s="9">
        <f>IF('Upto Month COPPY'!$E$29="",0,'Upto Month COPPY'!$E$29)</f>
        <v>18247</v>
      </c>
      <c r="AM40" s="9">
        <f>IF('Upto Month COPPY'!$E$31="",0,'Upto Month COPPY'!$E$31)</f>
        <v>275</v>
      </c>
      <c r="AN40" s="9">
        <f>IF('Upto Month COPPY'!$E$32="",0,'Upto Month COPPY'!$E$32)</f>
        <v>0</v>
      </c>
      <c r="AO40" s="9">
        <f>IF('Upto Month COPPY'!$E$33="",0,'Upto Month COPPY'!$E$33)</f>
        <v>93801</v>
      </c>
      <c r="AP40" s="9">
        <f>IF('Upto Month COPPY'!$E$34="",0,'Upto Month COPPY'!$E$34)</f>
        <v>-113412</v>
      </c>
      <c r="AQ40" s="10">
        <f>IF('Upto Month COPPY'!$E$36="",0,'Upto Month COPPY'!$E$36)</f>
        <v>109174</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75</v>
      </c>
      <c r="AZ40" s="9">
        <f>IF('Upto Month COPPY'!$E$49="",0,'Upto Month COPPY'!$E$49)</f>
        <v>0</v>
      </c>
      <c r="BA40" s="9">
        <f>IF('Upto Month COPPY'!$E$50="",0,'Upto Month COPPY'!$E$50)</f>
        <v>0</v>
      </c>
      <c r="BB40" s="10">
        <f>IF('Upto Month COPPY'!$E$52="",0,'Upto Month COPPY'!$E$52)</f>
        <v>400949</v>
      </c>
      <c r="BC40" s="9">
        <f>IF('Upto Month COPPY'!$E$53="",0,'Upto Month COPPY'!$E$53)</f>
        <v>2320</v>
      </c>
      <c r="BD40" s="9">
        <f>IF('Upto Month COPPY'!$E$54="",0,'Upto Month COPPY'!$E$54)</f>
        <v>2320</v>
      </c>
      <c r="BE40" s="9">
        <f>IF('Upto Month COPPY'!$E$55="",0,'Upto Month COPPY'!$E$55)</f>
        <v>0</v>
      </c>
      <c r="BF40" s="9">
        <f>IF('Upto Month COPPY'!$E$56="",0,'Upto Month COPPY'!$E$56)</f>
        <v>8820</v>
      </c>
      <c r="BG40" s="10">
        <f>IF('Upto Month COPPY'!$E$58="",0,'Upto Month COPPY'!$E$58)</f>
        <v>72</v>
      </c>
      <c r="BH40" s="9">
        <f>SUM(AE40:BG40)</f>
        <v>665623</v>
      </c>
      <c r="BI40" s="222">
        <f>AD40+BH40</f>
        <v>2935348</v>
      </c>
      <c r="BJ40" s="9">
        <f>IF('Upto Month COPPY'!$E$60="",0,'Upto Month COPPY'!$E$60)</f>
        <v>3791</v>
      </c>
      <c r="BK40" s="9">
        <f t="shared" ref="BK40:BK41" si="392">BI40-BJ40</f>
        <v>2931557</v>
      </c>
      <c r="BL40">
        <f>'Upto Month COPPY'!$E$61</f>
        <v>2931557</v>
      </c>
      <c r="BM40" s="30">
        <f t="shared" ref="BM40:BM44" si="393">BK40-AD40</f>
        <v>661832</v>
      </c>
    </row>
    <row r="41" spans="1:65" ht="15.75" x14ac:dyDescent="0.25">
      <c r="A41" s="128"/>
      <c r="B41" s="182" t="s">
        <v>327</v>
      </c>
      <c r="C41" s="9">
        <f>IF('Upto Month Current'!$E$4="",0,'Upto Month Current'!$E$4)</f>
        <v>933279</v>
      </c>
      <c r="D41" s="9">
        <f>IF('Upto Month Current'!$E$5="",0,'Upto Month Current'!$E$5)</f>
        <v>230386</v>
      </c>
      <c r="E41" s="9">
        <f>IF('Upto Month Current'!$E$6="",0,'Upto Month Current'!$E$6)</f>
        <v>61802</v>
      </c>
      <c r="F41" s="9">
        <f>IF('Upto Month Current'!$E$7="",0,'Upto Month Current'!$E$7)</f>
        <v>110383</v>
      </c>
      <c r="G41" s="9">
        <f>IF('Upto Month Current'!$E$8="",0,'Upto Month Current'!$E$8)</f>
        <v>58590</v>
      </c>
      <c r="H41" s="9">
        <f>IF('Upto Month Current'!$E$9="",0,'Upto Month Current'!$E$9)</f>
        <v>0</v>
      </c>
      <c r="I41" s="9">
        <f>IF('Upto Month Current'!$E$10="",0,'Upto Month Current'!$E$10)</f>
        <v>0</v>
      </c>
      <c r="J41" s="9">
        <f>IF('Upto Month Current'!$E$11="",0,'Upto Month Current'!$E$11)</f>
        <v>0</v>
      </c>
      <c r="K41" s="9">
        <f>IF('Upto Month Current'!$E$12="",0,'Upto Month Current'!$E$12)</f>
        <v>483</v>
      </c>
      <c r="L41" s="9">
        <f>IF('Upto Month Current'!$E$13="",0,'Upto Month Current'!$E$13)</f>
        <v>18169</v>
      </c>
      <c r="M41" s="9">
        <f>IF('Upto Month Current'!$E$14="",0,'Upto Month Current'!$E$14)</f>
        <v>24459</v>
      </c>
      <c r="N41" s="9">
        <f>IF('Upto Month Current'!$E$15="",0,'Upto Month Current'!$E$15)</f>
        <v>104</v>
      </c>
      <c r="O41" s="9">
        <f>IF('Upto Month Current'!$E$16="",0,'Upto Month Current'!$E$16)</f>
        <v>1485</v>
      </c>
      <c r="P41" s="9">
        <f>IF('Upto Month Current'!$E$17="",0,'Upto Month Current'!$E$17)</f>
        <v>20433</v>
      </c>
      <c r="Q41" s="9">
        <f>IF('Upto Month Current'!$E$18="",0,'Upto Month Current'!$E$18)</f>
        <v>0</v>
      </c>
      <c r="R41" s="9">
        <f>IF('Upto Month Current'!$E$21="",0,'Upto Month Current'!$E$21)</f>
        <v>2435</v>
      </c>
      <c r="S41" s="9">
        <f>IF('Upto Month Current'!$E$26="",0,'Upto Month Current'!$E$26)</f>
        <v>0</v>
      </c>
      <c r="T41" s="9">
        <f>IF('Upto Month Current'!$E$27="",0,'Upto Month Current'!$E$27)</f>
        <v>0</v>
      </c>
      <c r="U41" s="9">
        <f>IF('Upto Month Current'!$E$30="",0,'Upto Month Current'!$E$30)</f>
        <v>0</v>
      </c>
      <c r="V41" s="9">
        <f>IF('Upto Month Current'!$E$35="",0,'Upto Month Current'!$E$35)</f>
        <v>280361</v>
      </c>
      <c r="W41" s="9">
        <f>IF('Upto Month Current'!$E$39="",0,'Upto Month Current'!$E$39)</f>
        <v>0</v>
      </c>
      <c r="X41" s="9">
        <f>IF('Upto Month Current'!$E$40="",0,'Upto Month Current'!$E$40)</f>
        <v>0</v>
      </c>
      <c r="Y41" s="9">
        <f>IF('Upto Month Current'!$E$42="",0,'Upto Month Current'!$E$42)</f>
        <v>13136</v>
      </c>
      <c r="Z41" s="9">
        <f>IF('Upto Month Current'!$E$43="",0,'Upto Month Current'!$E$43)</f>
        <v>1244</v>
      </c>
      <c r="AA41" s="9">
        <f>IF('Upto Month Current'!$E$44="",0,'Upto Month Current'!$E$44)</f>
        <v>766</v>
      </c>
      <c r="AB41" s="9">
        <f>IF('Upto Month Current'!$E$48="",0,'Upto Month Current'!$E$48)</f>
        <v>54</v>
      </c>
      <c r="AC41" s="10">
        <f>IF('Upto Month Current'!$E$51="",0,'Upto Month Current'!$E$51)</f>
        <v>696034</v>
      </c>
      <c r="AD41" s="229">
        <f t="shared" si="391"/>
        <v>2453603</v>
      </c>
      <c r="AE41" s="9">
        <f>IF('Upto Month Current'!$E$19="",0,'Upto Month Current'!$E$19)</f>
        <v>287</v>
      </c>
      <c r="AF41" s="9">
        <f>IF('Upto Month Current'!$E$20="",0,'Upto Month Current'!$E$20)</f>
        <v>150</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136657</v>
      </c>
      <c r="AL41" s="9">
        <f>IF('Upto Month Current'!$E$29="",0,'Upto Month Current'!$E$29)</f>
        <v>10064</v>
      </c>
      <c r="AM41" s="9">
        <f>IF('Upto Month Current'!$E$31="",0,'Upto Month Current'!$E$31)</f>
        <v>82</v>
      </c>
      <c r="AN41" s="9">
        <f>IF('Upto Month Current'!$E$32="",0,'Upto Month Current'!$E$32)</f>
        <v>0</v>
      </c>
      <c r="AO41" s="9">
        <f>IF('Upto Month Current'!$E$33="",0,'Upto Month Current'!$E$33)</f>
        <v>71184</v>
      </c>
      <c r="AP41" s="9">
        <f>IF('Upto Month Current'!$E$34="",0,'Upto Month Current'!$E$34)</f>
        <v>-160695</v>
      </c>
      <c r="AQ41" s="10">
        <f>IF('Upto Month Current'!$E$36="",0,'Upto Month Current'!$E$36)</f>
        <v>205683</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186</v>
      </c>
      <c r="AZ41" s="9">
        <f>IF('Upto Month Current'!$E$49="",0,'Upto Month Current'!$E$49)</f>
        <v>0</v>
      </c>
      <c r="BA41" s="9">
        <f>IF('Upto Month Current'!$E$50="",0,'Upto Month Current'!$E$50)</f>
        <v>0</v>
      </c>
      <c r="BB41" s="10">
        <f>IF('Upto Month Current'!$E$52="",0,'Upto Month Current'!$E$52)</f>
        <v>610282</v>
      </c>
      <c r="BC41" s="9">
        <f>IF('Upto Month Current'!$E$53="",0,'Upto Month Current'!$E$53)</f>
        <v>1387</v>
      </c>
      <c r="BD41" s="9">
        <f>IF('Upto Month Current'!$E$54="",0,'Upto Month Current'!$E$54)</f>
        <v>1387</v>
      </c>
      <c r="BE41" s="9">
        <f>IF('Upto Month Current'!$E$55="",0,'Upto Month Current'!$E$55)</f>
        <v>0</v>
      </c>
      <c r="BF41" s="9">
        <f>IF('Upto Month Current'!$E$56="",0,'Upto Month Current'!$E$56)</f>
        <v>8711</v>
      </c>
      <c r="BG41" s="9">
        <f>IF('Upto Month Current'!$E$58="",0,'Upto Month Current'!$E$58)</f>
        <v>-1</v>
      </c>
      <c r="BH41" s="9">
        <f>SUM(AE41:BG41)</f>
        <v>885364</v>
      </c>
      <c r="BI41" s="222">
        <f>AD41+BH41</f>
        <v>3338967</v>
      </c>
      <c r="BJ41" s="9">
        <f>IF('Upto Month Current'!$E$60="",0,'Upto Month Current'!$E$60)</f>
        <v>46524</v>
      </c>
      <c r="BK41" s="49">
        <f t="shared" si="392"/>
        <v>3292443</v>
      </c>
      <c r="BL41">
        <f>'Upto Month Current'!$E$61</f>
        <v>3292443</v>
      </c>
      <c r="BM41" s="30">
        <f t="shared" si="393"/>
        <v>838840</v>
      </c>
    </row>
    <row r="42" spans="1:65" ht="15.75" x14ac:dyDescent="0.25">
      <c r="A42" s="128"/>
      <c r="B42" s="5" t="s">
        <v>132</v>
      </c>
      <c r="C42" s="11">
        <f>C41-C39</f>
        <v>10162</v>
      </c>
      <c r="D42" s="11">
        <f t="shared" ref="D42" si="394">D41-D39</f>
        <v>-6318</v>
      </c>
      <c r="E42" s="11">
        <f t="shared" ref="E42" si="395">E41-E39</f>
        <v>-3440</v>
      </c>
      <c r="F42" s="11">
        <f t="shared" ref="F42" si="396">F41-F39</f>
        <v>-990</v>
      </c>
      <c r="G42" s="11">
        <f t="shared" ref="G42" si="397">G41-G39</f>
        <v>-455</v>
      </c>
      <c r="H42" s="11">
        <f t="shared" ref="H42" si="398">H41-H39</f>
        <v>0</v>
      </c>
      <c r="I42" s="11">
        <f t="shared" ref="I42" si="399">I41-I39</f>
        <v>0</v>
      </c>
      <c r="J42" s="11">
        <f t="shared" ref="J42" si="400">J41-J39</f>
        <v>0</v>
      </c>
      <c r="K42" s="11">
        <f t="shared" ref="K42" si="401">K41-K39</f>
        <v>-387</v>
      </c>
      <c r="L42" s="11">
        <f t="shared" ref="L42" si="402">L41-L39</f>
        <v>-6326</v>
      </c>
      <c r="M42" s="11">
        <f t="shared" ref="M42" si="403">M41-M39</f>
        <v>-9757</v>
      </c>
      <c r="N42" s="11">
        <f t="shared" ref="N42" si="404">N41-N39</f>
        <v>-23</v>
      </c>
      <c r="O42" s="11">
        <f t="shared" ref="O42" si="405">O41-O39</f>
        <v>-531</v>
      </c>
      <c r="P42" s="11">
        <f t="shared" ref="P42" si="406">P41-P39</f>
        <v>3589</v>
      </c>
      <c r="Q42" s="11">
        <f t="shared" ref="Q42" si="407">Q41-Q39</f>
        <v>0</v>
      </c>
      <c r="R42" s="11">
        <f t="shared" ref="R42" si="408">R41-R39</f>
        <v>-616</v>
      </c>
      <c r="S42" s="11">
        <f t="shared" ref="S42" si="409">S41-S39</f>
        <v>0</v>
      </c>
      <c r="T42" s="11">
        <f t="shared" ref="T42:U42" si="410">T41-T39</f>
        <v>0</v>
      </c>
      <c r="U42" s="11">
        <f t="shared" si="410"/>
        <v>0</v>
      </c>
      <c r="V42" s="9">
        <f t="shared" ref="V42" si="411">V41-V39</f>
        <v>80674</v>
      </c>
      <c r="W42" s="11">
        <f t="shared" ref="W42" si="412">W41-W39</f>
        <v>0</v>
      </c>
      <c r="X42" s="11">
        <f t="shared" ref="X42" si="413">X41-X39</f>
        <v>0</v>
      </c>
      <c r="Y42" s="11">
        <f t="shared" ref="Y42" si="414">Y41-Y39</f>
        <v>12992</v>
      </c>
      <c r="Z42" s="11">
        <f t="shared" ref="Z42" si="415">Z41-Z39</f>
        <v>1230</v>
      </c>
      <c r="AA42" s="11">
        <f t="shared" ref="AA42:AD42" si="416">AA41-AA39</f>
        <v>644</v>
      </c>
      <c r="AB42" s="11">
        <f t="shared" si="416"/>
        <v>-1632</v>
      </c>
      <c r="AC42" s="10">
        <f t="shared" si="416"/>
        <v>2553</v>
      </c>
      <c r="AD42" s="223">
        <f t="shared" si="416"/>
        <v>81369</v>
      </c>
      <c r="AE42" s="11">
        <f t="shared" ref="AE42" si="417">AE41-AE39</f>
        <v>-343</v>
      </c>
      <c r="AF42" s="11">
        <f t="shared" ref="AF42" si="418">AF41-AF39</f>
        <v>16</v>
      </c>
      <c r="AG42" s="11">
        <f t="shared" ref="AG42" si="419">AG41-AG39</f>
        <v>-2769</v>
      </c>
      <c r="AH42" s="11">
        <f t="shared" ref="AH42" si="420">AH41-AH39</f>
        <v>0</v>
      </c>
      <c r="AI42" s="11">
        <f t="shared" ref="AI42" si="421">AI41-AI39</f>
        <v>0</v>
      </c>
      <c r="AJ42" s="11">
        <f t="shared" ref="AJ42" si="422">AJ41-AJ39</f>
        <v>0</v>
      </c>
      <c r="AK42" s="11">
        <f t="shared" ref="AK42" si="423">AK41-AK39</f>
        <v>32633</v>
      </c>
      <c r="AL42" s="11">
        <f t="shared" ref="AL42" si="424">AL41-AL39</f>
        <v>-7988</v>
      </c>
      <c r="AM42" s="11">
        <f t="shared" ref="AM42" si="425">AM41-AM39</f>
        <v>-234</v>
      </c>
      <c r="AN42" s="11">
        <f t="shared" ref="AN42" si="426">AN41-AN39</f>
        <v>0</v>
      </c>
      <c r="AO42" s="9">
        <f t="shared" ref="AO42" si="427">AO41-AO39</f>
        <v>-2422</v>
      </c>
      <c r="AP42" s="11">
        <f t="shared" ref="AP42" si="428">AP41-AP39</f>
        <v>-112464</v>
      </c>
      <c r="AQ42" s="10">
        <f t="shared" ref="AQ42" si="429">AQ41-AQ39</f>
        <v>118369</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82</v>
      </c>
      <c r="AZ42" s="11">
        <f t="shared" ref="AZ42" si="438">AZ41-AZ39</f>
        <v>0</v>
      </c>
      <c r="BA42" s="11">
        <f t="shared" ref="BA42" si="439">BA41-BA39</f>
        <v>0</v>
      </c>
      <c r="BB42" s="10">
        <f t="shared" ref="BB42" si="440">BB41-BB39</f>
        <v>220100</v>
      </c>
      <c r="BC42" s="11">
        <f t="shared" ref="BC42" si="441">BC41-BC39</f>
        <v>-1657</v>
      </c>
      <c r="BD42" s="11">
        <f t="shared" ref="BD42" si="442">BD41-BD39</f>
        <v>-1627</v>
      </c>
      <c r="BE42" s="11">
        <f t="shared" ref="BE42" si="443">BE41-BE39</f>
        <v>0</v>
      </c>
      <c r="BF42" s="11">
        <f t="shared" ref="BF42" si="444">BF41-BF39</f>
        <v>1872</v>
      </c>
      <c r="BG42" s="11">
        <f t="shared" ref="BG42:BH42" si="445">BG41-BG39</f>
        <v>-299</v>
      </c>
      <c r="BH42" s="9">
        <f t="shared" si="445"/>
        <v>243269</v>
      </c>
      <c r="BI42" s="223">
        <f t="shared" ref="BI42" si="446">BI41-BI39</f>
        <v>324638</v>
      </c>
      <c r="BJ42" s="11">
        <f t="shared" ref="BJ42:BK42" si="447">BJ41-BJ39</f>
        <v>-867</v>
      </c>
      <c r="BK42" s="49">
        <f t="shared" si="447"/>
        <v>325505</v>
      </c>
      <c r="BM42" s="30">
        <f t="shared" si="393"/>
        <v>244136</v>
      </c>
    </row>
    <row r="43" spans="1:65" ht="15.75" x14ac:dyDescent="0.25">
      <c r="A43" s="128"/>
      <c r="B43" s="5" t="s">
        <v>133</v>
      </c>
      <c r="C43" s="13">
        <f>C42/C39</f>
        <v>1.1008355387236938E-2</v>
      </c>
      <c r="D43" s="13">
        <f t="shared" ref="D43" si="448">D42/D39</f>
        <v>-2.6691564147627418E-2</v>
      </c>
      <c r="E43" s="13">
        <f t="shared" ref="E43" si="449">E42/E39</f>
        <v>-5.2726771098372212E-2</v>
      </c>
      <c r="F43" s="13">
        <f t="shared" ref="F43" si="450">F42/F39</f>
        <v>-8.8890485126556697E-3</v>
      </c>
      <c r="G43" s="13">
        <f t="shared" ref="G43" si="451">G42/G39</f>
        <v>-7.7059869590989927E-3</v>
      </c>
      <c r="H43" s="13" t="e">
        <f t="shared" ref="H43" si="452">H42/H39</f>
        <v>#DIV/0!</v>
      </c>
      <c r="I43" s="13" t="e">
        <f t="shared" ref="I43" si="453">I42/I39</f>
        <v>#DIV/0!</v>
      </c>
      <c r="J43" s="13" t="e">
        <f t="shared" ref="J43" si="454">J42/J39</f>
        <v>#DIV/0!</v>
      </c>
      <c r="K43" s="13">
        <f t="shared" ref="K43" si="455">K42/K39</f>
        <v>-0.44482758620689655</v>
      </c>
      <c r="L43" s="13">
        <f t="shared" ref="L43" si="456">L42/L39</f>
        <v>-0.25825678709940803</v>
      </c>
      <c r="M43" s="13">
        <f t="shared" ref="M43" si="457">M42/M39</f>
        <v>-0.28515898994622396</v>
      </c>
      <c r="N43" s="13">
        <f t="shared" ref="N43" si="458">N42/N39</f>
        <v>-0.18110236220472442</v>
      </c>
      <c r="O43" s="13">
        <f t="shared" ref="O43" si="459">O42/O39</f>
        <v>-0.26339285714285715</v>
      </c>
      <c r="P43" s="13">
        <f t="shared" ref="P43" si="460">P42/P39</f>
        <v>0.21307290429826645</v>
      </c>
      <c r="Q43" s="13" t="e">
        <f t="shared" ref="Q43" si="461">Q42/Q39</f>
        <v>#DIV/0!</v>
      </c>
      <c r="R43" s="13">
        <f t="shared" ref="R43" si="462">R42/R39</f>
        <v>-0.20190101606030811</v>
      </c>
      <c r="S43" s="13" t="e">
        <f t="shared" ref="S43" si="463">S42/S39</f>
        <v>#DIV/0!</v>
      </c>
      <c r="T43" s="13" t="e">
        <f t="shared" ref="T43:U43" si="464">T42/T39</f>
        <v>#DIV/0!</v>
      </c>
      <c r="U43" s="13" t="e">
        <f t="shared" si="464"/>
        <v>#DIV/0!</v>
      </c>
      <c r="V43" s="162">
        <f t="shared" ref="V43" si="465">V42/V39</f>
        <v>0.40400226354244395</v>
      </c>
      <c r="W43" s="13" t="e">
        <f t="shared" ref="W43" si="466">W42/W39</f>
        <v>#DIV/0!</v>
      </c>
      <c r="X43" s="13" t="e">
        <f t="shared" ref="X43" si="467">X42/X39</f>
        <v>#DIV/0!</v>
      </c>
      <c r="Y43" s="13">
        <f t="shared" ref="Y43" si="468">Y42/Y39</f>
        <v>90.222222222222229</v>
      </c>
      <c r="Z43" s="13">
        <f t="shared" ref="Z43" si="469">Z42/Z39</f>
        <v>87.857142857142861</v>
      </c>
      <c r="AA43" s="13">
        <f t="shared" ref="AA43:AD43" si="470">AA42/AA39</f>
        <v>5.278688524590164</v>
      </c>
      <c r="AB43" s="13">
        <f t="shared" si="470"/>
        <v>-0.96797153024911031</v>
      </c>
      <c r="AC43" s="14">
        <f t="shared" si="470"/>
        <v>3.6814274652081313E-3</v>
      </c>
      <c r="AD43" s="224">
        <f t="shared" si="470"/>
        <v>3.4300579116562702E-2</v>
      </c>
      <c r="AE43" s="13">
        <f t="shared" ref="AE43" si="471">AE42/AE39</f>
        <v>-0.5444444444444444</v>
      </c>
      <c r="AF43" s="13">
        <f t="shared" ref="AF43" si="472">AF42/AF39</f>
        <v>0.11940298507462686</v>
      </c>
      <c r="AG43" s="13">
        <f t="shared" ref="AG43" si="473">AG42/AG39</f>
        <v>-1</v>
      </c>
      <c r="AH43" s="13" t="e">
        <f t="shared" ref="AH43" si="474">AH42/AH39</f>
        <v>#DIV/0!</v>
      </c>
      <c r="AI43" s="13" t="e">
        <f t="shared" ref="AI43" si="475">AI42/AI39</f>
        <v>#DIV/0!</v>
      </c>
      <c r="AJ43" s="13" t="e">
        <f t="shared" ref="AJ43" si="476">AJ42/AJ39</f>
        <v>#DIV/0!</v>
      </c>
      <c r="AK43" s="13">
        <f t="shared" ref="AK43" si="477">AK42/AK39</f>
        <v>0.31370645235714834</v>
      </c>
      <c r="AL43" s="13">
        <f t="shared" ref="AL43" si="478">AL42/AL39</f>
        <v>-0.4424994460447596</v>
      </c>
      <c r="AM43" s="13">
        <f t="shared" ref="AM43" si="479">AM42/AM39</f>
        <v>-0.740506329113924</v>
      </c>
      <c r="AN43" s="13" t="e">
        <f t="shared" ref="AN43" si="480">AN42/AN39</f>
        <v>#DIV/0!</v>
      </c>
      <c r="AO43" s="162">
        <f t="shared" ref="AO43" si="481">AO42/AO39</f>
        <v>-3.2904926228840038E-2</v>
      </c>
      <c r="AP43" s="13">
        <f t="shared" ref="AP43" si="482">AP42/AP39</f>
        <v>2.3317783168501585</v>
      </c>
      <c r="AQ43" s="14">
        <f t="shared" ref="AQ43" si="483">AQ42/AQ39</f>
        <v>1.3556703392354033</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f t="shared" ref="AY43" si="491">AY42/AY39</f>
        <v>0.78846153846153844</v>
      </c>
      <c r="AZ43" s="13" t="e">
        <f t="shared" ref="AZ43" si="492">AZ42/AZ39</f>
        <v>#DIV/0!</v>
      </c>
      <c r="BA43" s="13" t="e">
        <f t="shared" ref="BA43" si="493">BA42/BA39</f>
        <v>#DIV/0!</v>
      </c>
      <c r="BB43" s="14">
        <f t="shared" ref="BB43" si="494">BB42/BB39</f>
        <v>0.56409572968512134</v>
      </c>
      <c r="BC43" s="13">
        <f t="shared" ref="BC43" si="495">BC42/BC39</f>
        <v>-0.54434954007884362</v>
      </c>
      <c r="BD43" s="13">
        <f t="shared" ref="BD43" si="496">BD42/BD39</f>
        <v>-0.53981420039814199</v>
      </c>
      <c r="BE43" s="13" t="e">
        <f t="shared" ref="BE43" si="497">BE42/BE39</f>
        <v>#DIV/0!</v>
      </c>
      <c r="BF43" s="13">
        <f t="shared" ref="BF43" si="498">BF42/BF39</f>
        <v>0.27372422868840474</v>
      </c>
      <c r="BG43" s="13">
        <f t="shared" ref="BG43:BH43" si="499">BG42/BG39</f>
        <v>-1.0033557046979866</v>
      </c>
      <c r="BH43" s="162">
        <f t="shared" si="499"/>
        <v>0.3788676130479135</v>
      </c>
      <c r="BI43" s="224">
        <f t="shared" ref="BI43" si="500">BI42/BI39</f>
        <v>0.10769826385905454</v>
      </c>
      <c r="BJ43" s="13">
        <f t="shared" ref="BJ43:BK43" si="501">BJ42/BJ39</f>
        <v>-1.8294612901183768E-2</v>
      </c>
      <c r="BK43" s="50">
        <f t="shared" si="501"/>
        <v>0.1097107522974865</v>
      </c>
      <c r="BM43" s="162" t="e">
        <f t="shared" ref="BM43" si="502">BM42/BM39</f>
        <v>#DIV/0!</v>
      </c>
    </row>
    <row r="44" spans="1:65" ht="15.75" x14ac:dyDescent="0.25">
      <c r="A44" s="128"/>
      <c r="B44" s="5" t="s">
        <v>134</v>
      </c>
      <c r="C44" s="11">
        <f>C41-C40</f>
        <v>32851</v>
      </c>
      <c r="D44" s="11">
        <f t="shared" ref="D44:BK44" si="503">D41-D40</f>
        <v>79839</v>
      </c>
      <c r="E44" s="11">
        <f t="shared" si="503"/>
        <v>1446</v>
      </c>
      <c r="F44" s="11">
        <f t="shared" si="503"/>
        <v>9144</v>
      </c>
      <c r="G44" s="11">
        <f t="shared" si="503"/>
        <v>6062</v>
      </c>
      <c r="H44" s="11">
        <f t="shared" si="503"/>
        <v>0</v>
      </c>
      <c r="I44" s="11">
        <f t="shared" si="503"/>
        <v>0</v>
      </c>
      <c r="J44" s="11">
        <f t="shared" si="503"/>
        <v>0</v>
      </c>
      <c r="K44" s="11">
        <f t="shared" si="503"/>
        <v>-315</v>
      </c>
      <c r="L44" s="11">
        <f t="shared" si="503"/>
        <v>-6565</v>
      </c>
      <c r="M44" s="11">
        <f t="shared" si="503"/>
        <v>1644</v>
      </c>
      <c r="N44" s="11">
        <f t="shared" si="503"/>
        <v>33</v>
      </c>
      <c r="O44" s="11">
        <f t="shared" si="503"/>
        <v>-145</v>
      </c>
      <c r="P44" s="11">
        <f t="shared" si="503"/>
        <v>5024</v>
      </c>
      <c r="Q44" s="11">
        <f t="shared" si="503"/>
        <v>0</v>
      </c>
      <c r="R44" s="11">
        <f t="shared" si="503"/>
        <v>1351</v>
      </c>
      <c r="S44" s="11">
        <f t="shared" si="503"/>
        <v>0</v>
      </c>
      <c r="T44" s="11">
        <f t="shared" si="503"/>
        <v>0</v>
      </c>
      <c r="U44" s="11">
        <f t="shared" ref="U44" si="504">U41-U40</f>
        <v>-1355</v>
      </c>
      <c r="V44" s="9">
        <f t="shared" si="503"/>
        <v>72847</v>
      </c>
      <c r="W44" s="11">
        <f t="shared" si="503"/>
        <v>0</v>
      </c>
      <c r="X44" s="11">
        <f t="shared" si="503"/>
        <v>0</v>
      </c>
      <c r="Y44" s="11">
        <f t="shared" si="503"/>
        <v>13117</v>
      </c>
      <c r="Z44" s="11">
        <f t="shared" si="503"/>
        <v>1241</v>
      </c>
      <c r="AA44" s="11">
        <f t="shared" si="503"/>
        <v>692</v>
      </c>
      <c r="AB44" s="11">
        <f t="shared" ref="AB44" si="505">AB41-AB40</f>
        <v>54</v>
      </c>
      <c r="AC44" s="10">
        <f t="shared" ref="AC44:AD44" si="506">AC41-AC40</f>
        <v>-33087</v>
      </c>
      <c r="AD44" s="223">
        <f t="shared" si="506"/>
        <v>183878</v>
      </c>
      <c r="AE44" s="11">
        <f t="shared" si="503"/>
        <v>0</v>
      </c>
      <c r="AF44" s="11">
        <f t="shared" si="503"/>
        <v>-27</v>
      </c>
      <c r="AG44" s="11">
        <f t="shared" si="503"/>
        <v>-3886</v>
      </c>
      <c r="AH44" s="11">
        <f t="shared" si="503"/>
        <v>0</v>
      </c>
      <c r="AI44" s="11">
        <f t="shared" si="503"/>
        <v>0</v>
      </c>
      <c r="AJ44" s="11">
        <f t="shared" si="503"/>
        <v>0</v>
      </c>
      <c r="AK44" s="11">
        <f t="shared" si="503"/>
        <v>-1975</v>
      </c>
      <c r="AL44" s="11">
        <f t="shared" si="503"/>
        <v>-8183</v>
      </c>
      <c r="AM44" s="11">
        <f t="shared" si="503"/>
        <v>-193</v>
      </c>
      <c r="AN44" s="11">
        <f t="shared" si="503"/>
        <v>0</v>
      </c>
      <c r="AO44" s="9">
        <f t="shared" si="503"/>
        <v>-22617</v>
      </c>
      <c r="AP44" s="11">
        <f t="shared" si="503"/>
        <v>-47283</v>
      </c>
      <c r="AQ44" s="10">
        <f t="shared" si="503"/>
        <v>96509</v>
      </c>
      <c r="AR44" s="11">
        <f t="shared" si="503"/>
        <v>0</v>
      </c>
      <c r="AS44" s="11">
        <f t="shared" si="503"/>
        <v>0</v>
      </c>
      <c r="AT44" s="11">
        <f t="shared" si="503"/>
        <v>0</v>
      </c>
      <c r="AU44" s="11">
        <f t="shared" si="503"/>
        <v>0</v>
      </c>
      <c r="AV44" s="11">
        <f t="shared" si="503"/>
        <v>0</v>
      </c>
      <c r="AW44" s="11">
        <f t="shared" si="503"/>
        <v>0</v>
      </c>
      <c r="AX44" s="11">
        <f t="shared" si="503"/>
        <v>0</v>
      </c>
      <c r="AY44" s="11">
        <f t="shared" si="503"/>
        <v>111</v>
      </c>
      <c r="AZ44" s="11">
        <f t="shared" si="503"/>
        <v>0</v>
      </c>
      <c r="BA44" s="11">
        <f t="shared" si="503"/>
        <v>0</v>
      </c>
      <c r="BB44" s="10">
        <f t="shared" si="503"/>
        <v>209333</v>
      </c>
      <c r="BC44" s="11">
        <f t="shared" si="503"/>
        <v>-933</v>
      </c>
      <c r="BD44" s="11">
        <f t="shared" si="503"/>
        <v>-933</v>
      </c>
      <c r="BE44" s="11">
        <f t="shared" si="503"/>
        <v>0</v>
      </c>
      <c r="BF44" s="11">
        <f t="shared" si="503"/>
        <v>-109</v>
      </c>
      <c r="BG44" s="11">
        <f t="shared" si="503"/>
        <v>-73</v>
      </c>
      <c r="BH44" s="9">
        <f t="shared" si="503"/>
        <v>219741</v>
      </c>
      <c r="BI44" s="223">
        <f t="shared" si="503"/>
        <v>403619</v>
      </c>
      <c r="BJ44" s="11">
        <f t="shared" si="503"/>
        <v>42733</v>
      </c>
      <c r="BK44" s="49">
        <f t="shared" si="503"/>
        <v>360886</v>
      </c>
      <c r="BM44" s="30">
        <f t="shared" si="393"/>
        <v>177008</v>
      </c>
    </row>
    <row r="45" spans="1:65" ht="15.75" x14ac:dyDescent="0.25">
      <c r="A45" s="128"/>
      <c r="B45" s="5" t="s">
        <v>135</v>
      </c>
      <c r="C45" s="13">
        <f>C44/C40</f>
        <v>3.6483761055853436E-2</v>
      </c>
      <c r="D45" s="13">
        <f t="shared" ref="D45" si="507">D44/D40</f>
        <v>0.53032607757045969</v>
      </c>
      <c r="E45" s="13">
        <f t="shared" ref="E45" si="508">E44/E40</f>
        <v>2.395785008946915E-2</v>
      </c>
      <c r="F45" s="13">
        <f t="shared" ref="F45" si="509">F44/F40</f>
        <v>9.0320923754679525E-2</v>
      </c>
      <c r="G45" s="13">
        <f t="shared" ref="G45" si="510">G44/G40</f>
        <v>0.11540511727078891</v>
      </c>
      <c r="H45" s="13" t="e">
        <f t="shared" ref="H45" si="511">H44/H40</f>
        <v>#DIV/0!</v>
      </c>
      <c r="I45" s="13" t="e">
        <f t="shared" ref="I45" si="512">I44/I40</f>
        <v>#DIV/0!</v>
      </c>
      <c r="J45" s="13" t="e">
        <f t="shared" ref="J45" si="513">J44/J40</f>
        <v>#DIV/0!</v>
      </c>
      <c r="K45" s="13">
        <f t="shared" ref="K45" si="514">K44/K40</f>
        <v>-0.39473684210526316</v>
      </c>
      <c r="L45" s="13">
        <f t="shared" ref="L45" si="515">L44/L40</f>
        <v>-0.265424112557613</v>
      </c>
      <c r="M45" s="13">
        <f t="shared" ref="M45" si="516">M44/M40</f>
        <v>7.2057856673241286E-2</v>
      </c>
      <c r="N45" s="13">
        <f t="shared" ref="N45" si="517">N44/N40</f>
        <v>0.46478873239436619</v>
      </c>
      <c r="O45" s="13">
        <f t="shared" ref="O45" si="518">O44/O40</f>
        <v>-8.8957055214723926E-2</v>
      </c>
      <c r="P45" s="13">
        <f t="shared" ref="P45" si="519">P44/P40</f>
        <v>0.32604322149393211</v>
      </c>
      <c r="Q45" s="13" t="e">
        <f t="shared" ref="Q45" si="520">Q44/Q40</f>
        <v>#DIV/0!</v>
      </c>
      <c r="R45" s="13">
        <f t="shared" ref="R45" si="521">R44/R40</f>
        <v>1.246309963099631</v>
      </c>
      <c r="S45" s="13" t="e">
        <f t="shared" ref="S45" si="522">S44/S40</f>
        <v>#DIV/0!</v>
      </c>
      <c r="T45" s="13" t="e">
        <f t="shared" ref="T45:U45" si="523">T44/T40</f>
        <v>#DIV/0!</v>
      </c>
      <c r="U45" s="13">
        <f t="shared" si="523"/>
        <v>-1</v>
      </c>
      <c r="V45" s="162">
        <f t="shared" ref="V45" si="524">V44/V40</f>
        <v>0.35104619447362589</v>
      </c>
      <c r="W45" s="13" t="e">
        <f t="shared" ref="W45" si="525">W44/W40</f>
        <v>#DIV/0!</v>
      </c>
      <c r="X45" s="13" t="e">
        <f t="shared" ref="X45" si="526">X44/X40</f>
        <v>#DIV/0!</v>
      </c>
      <c r="Y45" s="13">
        <f t="shared" ref="Y45" si="527">Y44/Y40</f>
        <v>690.36842105263156</v>
      </c>
      <c r="Z45" s="13">
        <f t="shared" ref="Z45" si="528">Z44/Z40</f>
        <v>413.66666666666669</v>
      </c>
      <c r="AA45" s="13">
        <f t="shared" ref="AA45:AD45" si="529">AA44/AA40</f>
        <v>9.3513513513513509</v>
      </c>
      <c r="AB45" s="13" t="e">
        <f t="shared" ref="AB45" si="530">AB44/AB40</f>
        <v>#DIV/0!</v>
      </c>
      <c r="AC45" s="14">
        <f t="shared" si="529"/>
        <v>-4.537929918353744E-2</v>
      </c>
      <c r="AD45" s="224">
        <f t="shared" si="529"/>
        <v>8.101333862031744E-2</v>
      </c>
      <c r="AE45" s="13">
        <f t="shared" ref="AE45" si="531">AE44/AE40</f>
        <v>0</v>
      </c>
      <c r="AF45" s="13">
        <f t="shared" ref="AF45" si="532">AF44/AF40</f>
        <v>-0.15254237288135594</v>
      </c>
      <c r="AG45" s="13">
        <f t="shared" ref="AG45" si="533">AG44/AG40</f>
        <v>-1</v>
      </c>
      <c r="AH45" s="13" t="e">
        <f t="shared" ref="AH45" si="534">AH44/AH40</f>
        <v>#DIV/0!</v>
      </c>
      <c r="AI45" s="13" t="e">
        <f t="shared" ref="AI45" si="535">AI44/AI40</f>
        <v>#DIV/0!</v>
      </c>
      <c r="AJ45" s="13" t="e">
        <f t="shared" ref="AJ45" si="536">AJ44/AJ40</f>
        <v>#DIV/0!</v>
      </c>
      <c r="AK45" s="13">
        <f t="shared" ref="AK45" si="537">AK44/AK40</f>
        <v>-1.4246350049050725E-2</v>
      </c>
      <c r="AL45" s="13">
        <f t="shared" ref="AL45" si="538">AL44/AL40</f>
        <v>-0.4484572806488738</v>
      </c>
      <c r="AM45" s="13">
        <f t="shared" ref="AM45" si="539">AM44/AM40</f>
        <v>-0.70181818181818179</v>
      </c>
      <c r="AN45" s="13" t="e">
        <f t="shared" ref="AN45" si="540">AN44/AN40</f>
        <v>#DIV/0!</v>
      </c>
      <c r="AO45" s="162">
        <f t="shared" ref="AO45" si="541">AO44/AO40</f>
        <v>-0.24111683244315094</v>
      </c>
      <c r="AP45" s="13">
        <f t="shared" ref="AP45" si="542">AP44/AP40</f>
        <v>0.41691355412125702</v>
      </c>
      <c r="AQ45" s="14">
        <f t="shared" ref="AQ45" si="543">AQ44/AQ40</f>
        <v>0.88399252569293052</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t="e">
        <f t="shared" ref="AX45" si="550">AX44/AX40</f>
        <v>#DIV/0!</v>
      </c>
      <c r="AY45" s="13">
        <f t="shared" ref="AY45" si="551">AY44/AY40</f>
        <v>1.48</v>
      </c>
      <c r="AZ45" s="13" t="e">
        <f t="shared" ref="AZ45" si="552">AZ44/AZ40</f>
        <v>#DIV/0!</v>
      </c>
      <c r="BA45" s="13" t="e">
        <f t="shared" ref="BA45" si="553">BA44/BA40</f>
        <v>#DIV/0!</v>
      </c>
      <c r="BB45" s="14">
        <f t="shared" ref="BB45" si="554">BB44/BB40</f>
        <v>0.52209383238267215</v>
      </c>
      <c r="BC45" s="13">
        <f t="shared" ref="BC45" si="555">BC44/BC40</f>
        <v>-0.40215517241379312</v>
      </c>
      <c r="BD45" s="13">
        <f t="shared" ref="BD45" si="556">BD44/BD40</f>
        <v>-0.40215517241379312</v>
      </c>
      <c r="BE45" s="13" t="e">
        <f t="shared" ref="BE45" si="557">BE44/BE40</f>
        <v>#DIV/0!</v>
      </c>
      <c r="BF45" s="13">
        <f t="shared" ref="BF45" si="558">BF44/BF40</f>
        <v>-1.235827664399093E-2</v>
      </c>
      <c r="BG45" s="13">
        <f t="shared" ref="BG45:BH45" si="559">BG44/BG40</f>
        <v>-1.0138888888888888</v>
      </c>
      <c r="BH45" s="162">
        <f t="shared" si="559"/>
        <v>0.33012831587850783</v>
      </c>
      <c r="BI45" s="224">
        <f t="shared" ref="BI45" si="560">BI44/BI40</f>
        <v>0.13750294683969327</v>
      </c>
      <c r="BJ45" s="13">
        <f t="shared" ref="BJ45:BK45" si="561">BJ44/BJ40</f>
        <v>11.27222368768135</v>
      </c>
      <c r="BK45" s="50">
        <f t="shared" si="561"/>
        <v>0.12310386596610606</v>
      </c>
      <c r="BM45" s="14">
        <f t="shared" ref="BM45" si="562">BM44/BM40</f>
        <v>0.26745155870371939</v>
      </c>
    </row>
    <row r="46" spans="1:65" ht="15.75" x14ac:dyDescent="0.25">
      <c r="A46" s="128"/>
      <c r="B46" s="5" t="s">
        <v>296</v>
      </c>
      <c r="C46" s="126">
        <f>C41/C38</f>
        <v>0.60660514465775084</v>
      </c>
      <c r="D46" s="126">
        <f t="shared" ref="D46:BK46" si="563">D41/D38</f>
        <v>0.52527827304274077</v>
      </c>
      <c r="E46" s="126">
        <f t="shared" si="563"/>
        <v>0.9472732289016278</v>
      </c>
      <c r="F46" s="126">
        <f t="shared" si="563"/>
        <v>0.59467511407776141</v>
      </c>
      <c r="G46" s="126">
        <f t="shared" si="563"/>
        <v>0.59536632456051219</v>
      </c>
      <c r="H46" s="126" t="e">
        <f t="shared" si="563"/>
        <v>#DIV/0!</v>
      </c>
      <c r="I46" s="126" t="e">
        <f t="shared" si="563"/>
        <v>#DIV/0!</v>
      </c>
      <c r="J46" s="126" t="e">
        <f t="shared" si="563"/>
        <v>#DIV/0!</v>
      </c>
      <c r="K46" s="126">
        <f t="shared" si="563"/>
        <v>0.33287388008270158</v>
      </c>
      <c r="L46" s="126">
        <f t="shared" si="563"/>
        <v>0.44507863406986431</v>
      </c>
      <c r="M46" s="126">
        <f t="shared" si="563"/>
        <v>0.4289171416045594</v>
      </c>
      <c r="N46" s="126">
        <f t="shared" si="563"/>
        <v>0.49760765550239233</v>
      </c>
      <c r="O46" s="126">
        <f t="shared" si="563"/>
        <v>0.4419642857142857</v>
      </c>
      <c r="P46" s="126">
        <f t="shared" si="563"/>
        <v>0.72782645864500961</v>
      </c>
      <c r="Q46" s="126" t="e">
        <f t="shared" si="563"/>
        <v>#DIV/0!</v>
      </c>
      <c r="R46" s="126">
        <f t="shared" si="563"/>
        <v>0.47904780641353534</v>
      </c>
      <c r="S46" s="126" t="e">
        <f t="shared" si="563"/>
        <v>#DIV/0!</v>
      </c>
      <c r="T46" s="126" t="e">
        <f t="shared" si="563"/>
        <v>#DIV/0!</v>
      </c>
      <c r="U46" s="126" t="e">
        <f t="shared" si="563"/>
        <v>#DIV/0!</v>
      </c>
      <c r="V46" s="177">
        <f t="shared" si="563"/>
        <v>0.84240557675550609</v>
      </c>
      <c r="W46" s="126" t="e">
        <f t="shared" si="563"/>
        <v>#DIV/0!</v>
      </c>
      <c r="X46" s="126" t="e">
        <f t="shared" si="563"/>
        <v>#DIV/0!</v>
      </c>
      <c r="Y46" s="126">
        <f t="shared" si="563"/>
        <v>54.057613168724281</v>
      </c>
      <c r="Z46" s="126">
        <f t="shared" si="563"/>
        <v>51.833333333333336</v>
      </c>
      <c r="AA46" s="126">
        <f t="shared" si="563"/>
        <v>3.7184466019417477</v>
      </c>
      <c r="AB46" s="126">
        <f t="shared" ref="AB46" si="564">AB41/AB38</f>
        <v>1.9230769230769232E-2</v>
      </c>
      <c r="AC46" s="215">
        <f t="shared" si="563"/>
        <v>0.60220711971310037</v>
      </c>
      <c r="AD46" s="225">
        <f t="shared" si="563"/>
        <v>0.62048717894898153</v>
      </c>
      <c r="AE46" s="126">
        <f t="shared" si="563"/>
        <v>0.27359389895138225</v>
      </c>
      <c r="AF46" s="126">
        <f t="shared" si="563"/>
        <v>0.6696428571428571</v>
      </c>
      <c r="AG46" s="126">
        <f t="shared" si="563"/>
        <v>0</v>
      </c>
      <c r="AH46" s="126" t="e">
        <f t="shared" si="563"/>
        <v>#DIV/0!</v>
      </c>
      <c r="AI46" s="126" t="e">
        <f t="shared" si="563"/>
        <v>#DIV/0!</v>
      </c>
      <c r="AJ46" s="126" t="e">
        <f t="shared" si="563"/>
        <v>#DIV/0!</v>
      </c>
      <c r="AK46" s="126">
        <f t="shared" si="563"/>
        <v>0.78824357295710301</v>
      </c>
      <c r="AL46" s="126">
        <f t="shared" si="563"/>
        <v>0.33449662644996175</v>
      </c>
      <c r="AM46" s="126">
        <f t="shared" si="563"/>
        <v>0.15619047619047619</v>
      </c>
      <c r="AN46" s="126" t="e">
        <f t="shared" si="563"/>
        <v>#DIV/0!</v>
      </c>
      <c r="AO46" s="177">
        <f t="shared" si="563"/>
        <v>0.58026019759366132</v>
      </c>
      <c r="AP46" s="126">
        <f t="shared" si="563"/>
        <v>1.999116728661533</v>
      </c>
      <c r="AQ46" s="215">
        <f t="shared" si="563"/>
        <v>1.4134345794392524</v>
      </c>
      <c r="AR46" s="126" t="e">
        <f t="shared" si="563"/>
        <v>#DIV/0!</v>
      </c>
      <c r="AS46" s="126" t="e">
        <f t="shared" si="563"/>
        <v>#DIV/0!</v>
      </c>
      <c r="AT46" s="126" t="e">
        <f t="shared" si="563"/>
        <v>#DIV/0!</v>
      </c>
      <c r="AU46" s="126" t="e">
        <f t="shared" si="563"/>
        <v>#DIV/0!</v>
      </c>
      <c r="AV46" s="126" t="e">
        <f t="shared" si="563"/>
        <v>#DIV/0!</v>
      </c>
      <c r="AW46" s="126" t="e">
        <f t="shared" si="563"/>
        <v>#DIV/0!</v>
      </c>
      <c r="AX46" s="126" t="e">
        <f t="shared" si="563"/>
        <v>#DIV/0!</v>
      </c>
      <c r="AY46" s="126">
        <f t="shared" si="563"/>
        <v>1.1005917159763314</v>
      </c>
      <c r="AZ46" s="126" t="e">
        <f t="shared" si="563"/>
        <v>#DIV/0!</v>
      </c>
      <c r="BA46" s="126" t="e">
        <f t="shared" si="563"/>
        <v>#DIV/0!</v>
      </c>
      <c r="BB46" s="215">
        <f t="shared" si="563"/>
        <v>0.93845791884706053</v>
      </c>
      <c r="BC46" s="126">
        <f t="shared" si="563"/>
        <v>0.27351607178071385</v>
      </c>
      <c r="BD46" s="126">
        <f t="shared" si="563"/>
        <v>0.27351607178071385</v>
      </c>
      <c r="BE46" s="126" t="e">
        <f t="shared" si="563"/>
        <v>#DIV/0!</v>
      </c>
      <c r="BF46" s="126">
        <f t="shared" si="563"/>
        <v>0.76445809565598943</v>
      </c>
      <c r="BG46" s="126">
        <f t="shared" si="563"/>
        <v>-2.1231422505307855E-3</v>
      </c>
      <c r="BH46" s="177">
        <f t="shared" si="563"/>
        <v>0.82731541397821828</v>
      </c>
      <c r="BI46" s="225">
        <f t="shared" si="563"/>
        <v>0.66453954855445796</v>
      </c>
      <c r="BJ46" s="126">
        <f t="shared" si="563"/>
        <v>0.57265241313097748</v>
      </c>
      <c r="BK46" s="126">
        <f t="shared" si="563"/>
        <v>0.66604972974197685</v>
      </c>
      <c r="BM46" s="126" t="e">
        <f t="shared" ref="BM46" si="565">BM41/BM38</f>
        <v>#DIV/0!</v>
      </c>
    </row>
    <row r="47" spans="1:65" s="180" customFormat="1" ht="15.75" x14ac:dyDescent="0.25">
      <c r="A47" s="128"/>
      <c r="B47" s="5" t="s">
        <v>297</v>
      </c>
      <c r="C47" s="11">
        <f>C41-C38</f>
        <v>-605249</v>
      </c>
      <c r="D47" s="11">
        <f t="shared" ref="D47:BM47" si="566">D41-D38</f>
        <v>-208212</v>
      </c>
      <c r="E47" s="11">
        <f t="shared" si="566"/>
        <v>-3440</v>
      </c>
      <c r="F47" s="11">
        <f t="shared" si="566"/>
        <v>-75236</v>
      </c>
      <c r="G47" s="11">
        <f t="shared" si="566"/>
        <v>-39820</v>
      </c>
      <c r="H47" s="11">
        <f t="shared" si="566"/>
        <v>0</v>
      </c>
      <c r="I47" s="11">
        <f t="shared" si="566"/>
        <v>0</v>
      </c>
      <c r="J47" s="11">
        <f t="shared" si="566"/>
        <v>0</v>
      </c>
      <c r="K47" s="11">
        <f t="shared" si="566"/>
        <v>-968</v>
      </c>
      <c r="L47" s="11">
        <f t="shared" si="566"/>
        <v>-22653</v>
      </c>
      <c r="M47" s="11">
        <f t="shared" si="566"/>
        <v>-32566</v>
      </c>
      <c r="N47" s="11">
        <f t="shared" si="566"/>
        <v>-105</v>
      </c>
      <c r="O47" s="11">
        <f t="shared" si="566"/>
        <v>-1875</v>
      </c>
      <c r="P47" s="11">
        <f t="shared" si="566"/>
        <v>-7641</v>
      </c>
      <c r="Q47" s="11">
        <f t="shared" si="566"/>
        <v>0</v>
      </c>
      <c r="R47" s="11">
        <f t="shared" si="566"/>
        <v>-2648</v>
      </c>
      <c r="S47" s="11">
        <f t="shared" si="566"/>
        <v>0</v>
      </c>
      <c r="T47" s="11">
        <f t="shared" si="566"/>
        <v>0</v>
      </c>
      <c r="U47" s="11">
        <f t="shared" si="566"/>
        <v>0</v>
      </c>
      <c r="V47" s="9">
        <f t="shared" si="566"/>
        <v>-52449</v>
      </c>
      <c r="W47" s="11">
        <f t="shared" si="566"/>
        <v>0</v>
      </c>
      <c r="X47" s="11">
        <f t="shared" si="566"/>
        <v>0</v>
      </c>
      <c r="Y47" s="11">
        <f t="shared" si="566"/>
        <v>12893</v>
      </c>
      <c r="Z47" s="11">
        <f t="shared" si="566"/>
        <v>1220</v>
      </c>
      <c r="AA47" s="11">
        <f t="shared" si="566"/>
        <v>560</v>
      </c>
      <c r="AB47" s="11">
        <f t="shared" ref="AB47" si="567">AB41-AB38</f>
        <v>-2754</v>
      </c>
      <c r="AC47" s="10">
        <f t="shared" si="566"/>
        <v>-459771</v>
      </c>
      <c r="AD47" s="223">
        <f t="shared" si="566"/>
        <v>-1500714</v>
      </c>
      <c r="AE47" s="11">
        <f t="shared" si="566"/>
        <v>-762</v>
      </c>
      <c r="AF47" s="11">
        <f t="shared" si="566"/>
        <v>-74</v>
      </c>
      <c r="AG47" s="11">
        <f t="shared" si="566"/>
        <v>-4618</v>
      </c>
      <c r="AH47" s="11">
        <f t="shared" si="566"/>
        <v>0</v>
      </c>
      <c r="AI47" s="11">
        <f t="shared" si="566"/>
        <v>0</v>
      </c>
      <c r="AJ47" s="11">
        <f t="shared" si="566"/>
        <v>0</v>
      </c>
      <c r="AK47" s="11">
        <f t="shared" si="566"/>
        <v>-36712</v>
      </c>
      <c r="AL47" s="11">
        <f t="shared" si="566"/>
        <v>-20023</v>
      </c>
      <c r="AM47" s="11">
        <f t="shared" si="566"/>
        <v>-443</v>
      </c>
      <c r="AN47" s="11">
        <f t="shared" si="566"/>
        <v>0</v>
      </c>
      <c r="AO47" s="9">
        <f t="shared" si="566"/>
        <v>-51492</v>
      </c>
      <c r="AP47" s="11">
        <f t="shared" si="566"/>
        <v>-80312</v>
      </c>
      <c r="AQ47" s="10">
        <f t="shared" si="566"/>
        <v>60163</v>
      </c>
      <c r="AR47" s="11">
        <f t="shared" si="566"/>
        <v>0</v>
      </c>
      <c r="AS47" s="11">
        <f t="shared" si="566"/>
        <v>0</v>
      </c>
      <c r="AT47" s="11">
        <f t="shared" si="566"/>
        <v>0</v>
      </c>
      <c r="AU47" s="11">
        <f t="shared" si="566"/>
        <v>0</v>
      </c>
      <c r="AV47" s="11">
        <f t="shared" si="566"/>
        <v>0</v>
      </c>
      <c r="AW47" s="11">
        <f t="shared" si="566"/>
        <v>0</v>
      </c>
      <c r="AX47" s="11">
        <f t="shared" si="566"/>
        <v>0</v>
      </c>
      <c r="AY47" s="11">
        <f t="shared" si="566"/>
        <v>17</v>
      </c>
      <c r="AZ47" s="11">
        <f t="shared" si="566"/>
        <v>0</v>
      </c>
      <c r="BA47" s="11">
        <f t="shared" si="566"/>
        <v>0</v>
      </c>
      <c r="BB47" s="10">
        <f t="shared" si="566"/>
        <v>-40021</v>
      </c>
      <c r="BC47" s="11">
        <f t="shared" si="566"/>
        <v>-3684</v>
      </c>
      <c r="BD47" s="11">
        <f t="shared" si="566"/>
        <v>-3684</v>
      </c>
      <c r="BE47" s="11">
        <f t="shared" si="566"/>
        <v>0</v>
      </c>
      <c r="BF47" s="11">
        <f t="shared" si="566"/>
        <v>-2684</v>
      </c>
      <c r="BG47" s="11">
        <f t="shared" si="566"/>
        <v>-472</v>
      </c>
      <c r="BH47" s="11">
        <f t="shared" si="566"/>
        <v>-184801</v>
      </c>
      <c r="BI47" s="223">
        <f t="shared" si="566"/>
        <v>-1685515</v>
      </c>
      <c r="BJ47" s="11">
        <f t="shared" si="566"/>
        <v>-34719</v>
      </c>
      <c r="BK47" s="11">
        <f t="shared" si="566"/>
        <v>-1650796</v>
      </c>
      <c r="BL47" s="11">
        <f t="shared" si="566"/>
        <v>3292439</v>
      </c>
      <c r="BM47" s="11">
        <f t="shared" si="566"/>
        <v>838840</v>
      </c>
    </row>
    <row r="48" spans="1:65" s="180" customFormat="1" ht="15.75" x14ac:dyDescent="0.25">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226"/>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226"/>
      <c r="BJ48" s="5"/>
      <c r="BK48" s="48"/>
    </row>
    <row r="49" spans="1:65" ht="15.75" x14ac:dyDescent="0.25">
      <c r="A49" s="15" t="s">
        <v>139</v>
      </c>
      <c r="B49" s="11" t="s">
        <v>300</v>
      </c>
      <c r="C49" s="120">
        <v>2439676</v>
      </c>
      <c r="D49" s="120">
        <v>693745</v>
      </c>
      <c r="E49" s="120">
        <v>118279</v>
      </c>
      <c r="F49" s="120">
        <v>213447</v>
      </c>
      <c r="G49" s="120">
        <v>149563</v>
      </c>
      <c r="H49" s="120">
        <v>0</v>
      </c>
      <c r="I49" s="120">
        <v>0</v>
      </c>
      <c r="J49" s="120">
        <v>2914</v>
      </c>
      <c r="K49" s="120">
        <v>1403</v>
      </c>
      <c r="L49" s="120">
        <v>36420</v>
      </c>
      <c r="M49" s="120">
        <v>81055</v>
      </c>
      <c r="N49" s="120">
        <v>225</v>
      </c>
      <c r="O49" s="120">
        <v>11691</v>
      </c>
      <c r="P49" s="120">
        <v>180354</v>
      </c>
      <c r="Q49" s="120">
        <v>0</v>
      </c>
      <c r="R49" s="120">
        <v>8728</v>
      </c>
      <c r="S49" s="120">
        <v>0</v>
      </c>
      <c r="T49" s="120">
        <v>0</v>
      </c>
      <c r="U49" s="120"/>
      <c r="V49" s="189">
        <v>5305</v>
      </c>
      <c r="W49" s="120">
        <v>0</v>
      </c>
      <c r="X49" s="120">
        <v>0</v>
      </c>
      <c r="Y49" s="120">
        <v>4708</v>
      </c>
      <c r="Z49" s="120">
        <v>482</v>
      </c>
      <c r="AA49" s="120">
        <v>686</v>
      </c>
      <c r="AB49" s="120">
        <v>4441</v>
      </c>
      <c r="AC49" s="151">
        <v>0</v>
      </c>
      <c r="AD49" s="229">
        <f t="shared" ref="AD49:AD50" si="568">SUM(C49:AC49)</f>
        <v>3953122</v>
      </c>
      <c r="AE49" s="120">
        <v>3034</v>
      </c>
      <c r="AF49" s="120">
        <v>24936</v>
      </c>
      <c r="AG49" s="120">
        <v>3185</v>
      </c>
      <c r="AH49" s="120">
        <v>0</v>
      </c>
      <c r="AI49" s="120">
        <v>0</v>
      </c>
      <c r="AJ49" s="120">
        <v>86</v>
      </c>
      <c r="AK49" s="120">
        <v>300181</v>
      </c>
      <c r="AL49" s="120">
        <v>325010</v>
      </c>
      <c r="AM49" s="120">
        <v>0</v>
      </c>
      <c r="AN49" s="120">
        <v>15163</v>
      </c>
      <c r="AO49" s="189">
        <v>624905</v>
      </c>
      <c r="AP49" s="120">
        <v>81947</v>
      </c>
      <c r="AQ49" s="151">
        <v>460</v>
      </c>
      <c r="AR49" s="120">
        <v>0</v>
      </c>
      <c r="AS49" s="120"/>
      <c r="AT49" s="120"/>
      <c r="AU49" s="120">
        <v>0</v>
      </c>
      <c r="AV49" s="120"/>
      <c r="AW49" s="120">
        <v>8</v>
      </c>
      <c r="AX49" s="120">
        <v>86</v>
      </c>
      <c r="AY49" s="120">
        <v>0</v>
      </c>
      <c r="AZ49" s="120">
        <v>0</v>
      </c>
      <c r="BA49" s="120">
        <v>0</v>
      </c>
      <c r="BB49" s="151">
        <v>0</v>
      </c>
      <c r="BC49" s="120">
        <v>26354</v>
      </c>
      <c r="BD49" s="120">
        <v>26352</v>
      </c>
      <c r="BE49" s="120">
        <v>0</v>
      </c>
      <c r="BF49" s="120">
        <v>47587</v>
      </c>
      <c r="BG49" s="120">
        <v>278892</v>
      </c>
      <c r="BH49" s="9">
        <f>SUM(AE49:BG49)</f>
        <v>1758186</v>
      </c>
      <c r="BI49" s="222">
        <f>AD49+BH49</f>
        <v>5711308</v>
      </c>
      <c r="BJ49" s="96">
        <v>85761</v>
      </c>
      <c r="BK49" s="49">
        <f t="shared" ref="BK49:BK50" si="569">BI49-BJ49</f>
        <v>5625547</v>
      </c>
      <c r="BL49">
        <v>5</v>
      </c>
      <c r="BM49" s="30"/>
    </row>
    <row r="50" spans="1:65" s="41" customFormat="1" ht="15.75" x14ac:dyDescent="0.25">
      <c r="A50" s="134" t="s">
        <v>139</v>
      </c>
      <c r="B50" s="216" t="s">
        <v>325</v>
      </c>
      <c r="C50" s="10">
        <v>1463805</v>
      </c>
      <c r="D50" s="10">
        <v>374401</v>
      </c>
      <c r="E50" s="10">
        <v>118279</v>
      </c>
      <c r="F50" s="10">
        <v>128069</v>
      </c>
      <c r="G50" s="10">
        <v>89734</v>
      </c>
      <c r="H50" s="10">
        <v>0</v>
      </c>
      <c r="I50" s="10">
        <v>0</v>
      </c>
      <c r="J50" s="10">
        <v>1748</v>
      </c>
      <c r="K50" s="10">
        <v>841</v>
      </c>
      <c r="L50" s="10">
        <v>21856</v>
      </c>
      <c r="M50" s="10">
        <v>48632</v>
      </c>
      <c r="N50" s="10">
        <v>136</v>
      </c>
      <c r="O50" s="10">
        <v>7012</v>
      </c>
      <c r="P50" s="10">
        <v>108213</v>
      </c>
      <c r="Q50" s="10">
        <v>0</v>
      </c>
      <c r="R50" s="10">
        <v>5235</v>
      </c>
      <c r="S50" s="10">
        <v>0</v>
      </c>
      <c r="T50" s="10">
        <v>0</v>
      </c>
      <c r="U50" s="10"/>
      <c r="V50" s="10">
        <v>3182</v>
      </c>
      <c r="W50" s="10">
        <v>0</v>
      </c>
      <c r="X50" s="10">
        <v>0</v>
      </c>
      <c r="Y50" s="10">
        <v>2826</v>
      </c>
      <c r="Z50" s="10">
        <v>291</v>
      </c>
      <c r="AA50" s="10">
        <v>413</v>
      </c>
      <c r="AB50" s="10">
        <v>2663</v>
      </c>
      <c r="AC50" s="10">
        <v>0</v>
      </c>
      <c r="AD50" s="229">
        <f t="shared" si="568"/>
        <v>2377336</v>
      </c>
      <c r="AE50" s="10">
        <v>1821</v>
      </c>
      <c r="AF50" s="10">
        <v>14961</v>
      </c>
      <c r="AG50" s="10">
        <v>1913</v>
      </c>
      <c r="AH50" s="10">
        <v>0</v>
      </c>
      <c r="AI50" s="10">
        <v>0</v>
      </c>
      <c r="AJ50" s="10">
        <v>52</v>
      </c>
      <c r="AK50" s="10">
        <v>180107</v>
      </c>
      <c r="AL50" s="10">
        <v>195007</v>
      </c>
      <c r="AM50" s="10">
        <v>0</v>
      </c>
      <c r="AN50" s="10">
        <v>9097</v>
      </c>
      <c r="AO50" s="10">
        <v>374944</v>
      </c>
      <c r="AP50" s="10">
        <v>49169</v>
      </c>
      <c r="AQ50" s="10">
        <v>277</v>
      </c>
      <c r="AR50" s="10">
        <v>0</v>
      </c>
      <c r="AS50" s="10"/>
      <c r="AT50" s="10"/>
      <c r="AU50" s="10">
        <v>0</v>
      </c>
      <c r="AV50" s="10"/>
      <c r="AW50" s="10">
        <v>6</v>
      </c>
      <c r="AX50" s="10">
        <v>52</v>
      </c>
      <c r="AY50" s="10">
        <v>0</v>
      </c>
      <c r="AZ50" s="10">
        <v>0</v>
      </c>
      <c r="BA50" s="10">
        <v>0</v>
      </c>
      <c r="BB50" s="10">
        <v>0</v>
      </c>
      <c r="BC50" s="10">
        <v>15811</v>
      </c>
      <c r="BD50" s="10">
        <v>15810</v>
      </c>
      <c r="BE50" s="10">
        <v>0</v>
      </c>
      <c r="BF50" s="10">
        <v>28553</v>
      </c>
      <c r="BG50" s="10">
        <v>167337</v>
      </c>
      <c r="BH50" s="10">
        <f>SUM(AE50:BG50)</f>
        <v>1054917</v>
      </c>
      <c r="BI50" s="222">
        <f>AD50+BH50</f>
        <v>3432253</v>
      </c>
      <c r="BJ50" s="10">
        <v>50030</v>
      </c>
      <c r="BK50" s="10">
        <f t="shared" si="569"/>
        <v>3382223</v>
      </c>
      <c r="BM50" s="217"/>
    </row>
    <row r="51" spans="1:65" ht="15.75" x14ac:dyDescent="0.25">
      <c r="A51" s="128"/>
      <c r="B51" s="12" t="s">
        <v>326</v>
      </c>
      <c r="C51" s="9">
        <f>IF('Upto Month COPPY'!$F$4="",0,'Upto Month COPPY'!$F$4)</f>
        <v>1413302</v>
      </c>
      <c r="D51" s="9">
        <f>IF('Upto Month COPPY'!$F$5="",0,'Upto Month COPPY'!$F$5)</f>
        <v>234876</v>
      </c>
      <c r="E51" s="9">
        <f>IF('Upto Month COPPY'!$F$6="",0,'Upto Month COPPY'!$F$6)</f>
        <v>110326</v>
      </c>
      <c r="F51" s="9">
        <f>IF('Upto Month COPPY'!$F$7="",0,'Upto Month COPPY'!$F$7)</f>
        <v>114532</v>
      </c>
      <c r="G51" s="9">
        <f>IF('Upto Month COPPY'!$F$8="",0,'Upto Month COPPY'!$F$8)</f>
        <v>77396</v>
      </c>
      <c r="H51" s="9">
        <f>IF('Upto Month COPPY'!$F$9="",0,'Upto Month COPPY'!$F$9)</f>
        <v>0</v>
      </c>
      <c r="I51" s="9">
        <f>IF('Upto Month COPPY'!$F$10="",0,'Upto Month COPPY'!$F$10)</f>
        <v>0</v>
      </c>
      <c r="J51" s="9">
        <f>IF('Upto Month COPPY'!$F$11="",0,'Upto Month COPPY'!$F$11)</f>
        <v>2588</v>
      </c>
      <c r="K51" s="9">
        <f>IF('Upto Month COPPY'!$F$12="",0,'Upto Month COPPY'!$F$12)</f>
        <v>413</v>
      </c>
      <c r="L51" s="9">
        <f>IF('Upto Month COPPY'!$F$13="",0,'Upto Month COPPY'!$F$13)</f>
        <v>20940</v>
      </c>
      <c r="M51" s="9">
        <f>IF('Upto Month COPPY'!$F$14="",0,'Upto Month COPPY'!$F$14)</f>
        <v>39392</v>
      </c>
      <c r="N51" s="9">
        <f>IF('Upto Month COPPY'!$F$15="",0,'Upto Month COPPY'!$F$15)</f>
        <v>65</v>
      </c>
      <c r="O51" s="9">
        <f>IF('Upto Month COPPY'!$F$16="",0,'Upto Month COPPY'!$F$16)</f>
        <v>4834</v>
      </c>
      <c r="P51" s="9">
        <f>IF('Upto Month COPPY'!$F$17="",0,'Upto Month COPPY'!$F$17)</f>
        <v>132527</v>
      </c>
      <c r="Q51" s="9">
        <f>IF('Upto Month COPPY'!$F$18="",0,'Upto Month COPPY'!$F$18)</f>
        <v>0</v>
      </c>
      <c r="R51" s="9">
        <f>IF('Upto Month COPPY'!$F$21="",0,'Upto Month COPPY'!$F$21)</f>
        <v>2170</v>
      </c>
      <c r="S51" s="9">
        <f>IF('Upto Month COPPY'!$F$26="",0,'Upto Month COPPY'!$F$26)</f>
        <v>0</v>
      </c>
      <c r="T51" s="9">
        <f>IF('Upto Month COPPY'!$F$27="",0,'Upto Month COPPY'!$F$27)</f>
        <v>0</v>
      </c>
      <c r="U51" s="9">
        <f>IF('Upto Month COPPY'!$F$30="",0,'Upto Month COPPY'!$F$30)</f>
        <v>0</v>
      </c>
      <c r="V51" s="9">
        <f>IF('Upto Month COPPY'!$F$35="",0,'Upto Month COPPY'!$F$35)</f>
        <v>71846</v>
      </c>
      <c r="W51" s="9">
        <f>IF('Upto Month COPPY'!$F$39="",0,'Upto Month COPPY'!$F$39)</f>
        <v>0</v>
      </c>
      <c r="X51" s="9">
        <f>IF('Upto Month COPPY'!$F$40="",0,'Upto Month COPPY'!$F$40)</f>
        <v>0</v>
      </c>
      <c r="Y51" s="9">
        <f>IF('Upto Month COPPY'!$F$42="",0,'Upto Month COPPY'!$F$42)</f>
        <v>3674</v>
      </c>
      <c r="Z51" s="9">
        <f>IF('Upto Month COPPY'!$F$43="",0,'Upto Month COPPY'!$F$43)</f>
        <v>184</v>
      </c>
      <c r="AA51" s="9">
        <f>IF('Upto Month COPPY'!$F$44="",0,'Upto Month COPPY'!$F$44)</f>
        <v>435</v>
      </c>
      <c r="AB51" s="9">
        <f>IF('Upto Month COPPY'!$F$48="",0,'Upto Month COPPY'!$F$48)</f>
        <v>0</v>
      </c>
      <c r="AC51" s="10">
        <f>IF('Upto Month COPPY'!$F$51="",0,'Upto Month COPPY'!$F$51)</f>
        <v>0</v>
      </c>
      <c r="AD51" s="229">
        <f t="shared" ref="AD51:AD52" si="570">SUM(C51:AC51)</f>
        <v>2229500</v>
      </c>
      <c r="AE51" s="9">
        <f>IF('Upto Month COPPY'!$F$19="",0,'Upto Month COPPY'!$F$19)</f>
        <v>1685</v>
      </c>
      <c r="AF51" s="9">
        <f>IF('Upto Month COPPY'!$F$20="",0,'Upto Month COPPY'!$F$20)</f>
        <v>23561</v>
      </c>
      <c r="AG51" s="9">
        <f>IF('Upto Month COPPY'!$F$22="",0,'Upto Month COPPY'!$F$22)</f>
        <v>4405</v>
      </c>
      <c r="AH51" s="9">
        <f>IF('Upto Month COPPY'!$F$23="",0,'Upto Month COPPY'!$F$23)</f>
        <v>18</v>
      </c>
      <c r="AI51" s="9">
        <f>IF('Upto Month COPPY'!$F$24="",0,'Upto Month COPPY'!$F$24)</f>
        <v>0</v>
      </c>
      <c r="AJ51" s="9">
        <f>IF('Upto Month COPPY'!$F$25="",0,'Upto Month COPPY'!$F$25)</f>
        <v>0</v>
      </c>
      <c r="AK51" s="9">
        <f>IF('Upto Month COPPY'!$F$28="",0,'Upto Month COPPY'!$F$28)</f>
        <v>200549</v>
      </c>
      <c r="AL51" s="9">
        <f>IF('Upto Month COPPY'!$F$29="",0,'Upto Month COPPY'!$F$29)</f>
        <v>261423</v>
      </c>
      <c r="AM51" s="9">
        <f>IF('Upto Month COPPY'!$F$31="",0,'Upto Month COPPY'!$F$31)</f>
        <v>0</v>
      </c>
      <c r="AN51" s="9">
        <f>IF('Upto Month COPPY'!$F$32="",0,'Upto Month COPPY'!$F$32)</f>
        <v>4139</v>
      </c>
      <c r="AO51" s="9">
        <f>IF('Upto Month COPPY'!$F$33="",0,'Upto Month COPPY'!$F$33)</f>
        <v>398165</v>
      </c>
      <c r="AP51" s="9">
        <f>IF('Upto Month COPPY'!$F$34="",0,'Upto Month COPPY'!$F$34)</f>
        <v>-12625</v>
      </c>
      <c r="AQ51" s="10">
        <f>IF('Upto Month COPPY'!$F$36="",0,'Upto Month COPPY'!$F$36)</f>
        <v>-3038</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-840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18373</v>
      </c>
      <c r="BD51" s="9">
        <f>IF('Upto Month COPPY'!$F$54="",0,'Upto Month COPPY'!$F$54)</f>
        <v>18356</v>
      </c>
      <c r="BE51" s="9">
        <f>IF('Upto Month COPPY'!$F$55="",0,'Upto Month COPPY'!$F$55)</f>
        <v>0</v>
      </c>
      <c r="BF51" s="9">
        <f>IF('Upto Month COPPY'!$F$56="",0,'Upto Month COPPY'!$F$56)</f>
        <v>40511</v>
      </c>
      <c r="BG51" s="9">
        <f>IF('Upto Month COPPY'!$F$58="",0,'Upto Month COPPY'!$F$58)</f>
        <v>279148</v>
      </c>
      <c r="BH51" s="9">
        <f>SUM(AE51:BG51)</f>
        <v>1233830</v>
      </c>
      <c r="BI51" s="222">
        <f>AD51+BH51</f>
        <v>3463330</v>
      </c>
      <c r="BJ51" s="9">
        <f>IF('Upto Month COPPY'!$F$60="",0,'Upto Month COPPY'!$F$60)</f>
        <v>15608</v>
      </c>
      <c r="BK51" s="49">
        <f t="shared" ref="BK51:BK52" si="571">BI51-BJ51</f>
        <v>3447722</v>
      </c>
      <c r="BL51">
        <f>'Upto Month COPPY'!$F$61</f>
        <v>3447722</v>
      </c>
      <c r="BM51" s="30">
        <f t="shared" ref="BM51:BM55" si="572">BK51-AD51</f>
        <v>1218222</v>
      </c>
    </row>
    <row r="52" spans="1:65" ht="15.75" x14ac:dyDescent="0.25">
      <c r="A52" s="128"/>
      <c r="B52" s="182" t="s">
        <v>327</v>
      </c>
      <c r="C52" s="9">
        <f>IF('Upto Month Current'!$F$4="",0,'Upto Month Current'!$F$4)</f>
        <v>1403536</v>
      </c>
      <c r="D52" s="9">
        <f>IF('Upto Month Current'!$F$5="",0,'Upto Month Current'!$F$5)</f>
        <v>350122</v>
      </c>
      <c r="E52" s="9">
        <f>IF('Upto Month Current'!$F$6="",0,'Upto Month Current'!$F$6)</f>
        <v>111381</v>
      </c>
      <c r="F52" s="9">
        <f>IF('Upto Month Current'!$F$7="",0,'Upto Month Current'!$F$7)</f>
        <v>121816</v>
      </c>
      <c r="G52" s="9">
        <f>IF('Upto Month Current'!$F$8="",0,'Upto Month Current'!$F$8)</f>
        <v>84986</v>
      </c>
      <c r="H52" s="9">
        <f>IF('Upto Month Current'!$F$9="",0,'Upto Month Current'!$F$9)</f>
        <v>0</v>
      </c>
      <c r="I52" s="9">
        <f>IF('Upto Month Current'!$F$10="",0,'Upto Month Current'!$F$10)</f>
        <v>0</v>
      </c>
      <c r="J52" s="9">
        <f>IF('Upto Month Current'!$F$11="",0,'Upto Month Current'!$F$11)</f>
        <v>1511</v>
      </c>
      <c r="K52" s="9">
        <f>IF('Upto Month Current'!$F$12="",0,'Upto Month Current'!$F$12)</f>
        <v>389</v>
      </c>
      <c r="L52" s="9">
        <f>IF('Upto Month Current'!$F$13="",0,'Upto Month Current'!$F$13)</f>
        <v>16902</v>
      </c>
      <c r="M52" s="9">
        <f>IF('Upto Month Current'!$F$14="",0,'Upto Month Current'!$F$14)</f>
        <v>36327</v>
      </c>
      <c r="N52" s="9">
        <f>IF('Upto Month Current'!$F$15="",0,'Upto Month Current'!$F$15)</f>
        <v>61</v>
      </c>
      <c r="O52" s="9">
        <f>IF('Upto Month Current'!$F$16="",0,'Upto Month Current'!$F$16)</f>
        <v>3222</v>
      </c>
      <c r="P52" s="9">
        <f>IF('Upto Month Current'!$F$17="",0,'Upto Month Current'!$F$17)</f>
        <v>131978</v>
      </c>
      <c r="Q52" s="9">
        <f>IF('Upto Month Current'!$F$18="",0,'Upto Month Current'!$F$18)</f>
        <v>0</v>
      </c>
      <c r="R52" s="9">
        <f>IF('Upto Month Current'!$F$21="",0,'Upto Month Current'!$F$21)</f>
        <v>4228</v>
      </c>
      <c r="S52" s="9">
        <f>IF('Upto Month Current'!$F$26="",0,'Upto Month Current'!$F$26)</f>
        <v>0</v>
      </c>
      <c r="T52" s="9">
        <f>IF('Upto Month Current'!$F$27="",0,'Upto Month Current'!$F$27)</f>
        <v>0</v>
      </c>
      <c r="U52" s="9">
        <f>IF('Upto Month Current'!$F$30="",0,'Upto Month Current'!$F$30)</f>
        <v>0</v>
      </c>
      <c r="V52" s="9">
        <f>IF('Upto Month Current'!$F$35="",0,'Upto Month Current'!$F$35)</f>
        <v>6715</v>
      </c>
      <c r="W52" s="9">
        <f>IF('Upto Month Current'!$F$39="",0,'Upto Month Current'!$F$39)</f>
        <v>0</v>
      </c>
      <c r="X52" s="9">
        <f>IF('Upto Month Current'!$F$40="",0,'Upto Month Current'!$F$40)</f>
        <v>0</v>
      </c>
      <c r="Y52" s="9">
        <f>IF('Upto Month Current'!$F$42="",0,'Upto Month Current'!$F$42)</f>
        <v>17890</v>
      </c>
      <c r="Z52" s="9">
        <f>IF('Upto Month Current'!$F$43="",0,'Upto Month Current'!$F$43)</f>
        <v>1881</v>
      </c>
      <c r="AA52" s="9">
        <f>IF('Upto Month Current'!$F$44="",0,'Upto Month Current'!$F$44)</f>
        <v>1431</v>
      </c>
      <c r="AB52" s="9">
        <f>IF('Upto Month Current'!$F$48="",0,'Upto Month Current'!$F$48)</f>
        <v>40</v>
      </c>
      <c r="AC52" s="10">
        <f>IF('Upto Month Current'!$F$51="",0,'Upto Month Current'!$F$51)</f>
        <v>0</v>
      </c>
      <c r="AD52" s="229">
        <f t="shared" si="570"/>
        <v>2294416</v>
      </c>
      <c r="AE52" s="9">
        <f>IF('Upto Month Current'!$F$19="",0,'Upto Month Current'!$F$19)</f>
        <v>1924</v>
      </c>
      <c r="AF52" s="9">
        <f>IF('Upto Month Current'!$F$20="",0,'Upto Month Current'!$F$20)</f>
        <v>8424</v>
      </c>
      <c r="AG52" s="9">
        <f>IF('Upto Month Current'!$F$22="",0,'Upto Month Current'!$F$22)</f>
        <v>1687</v>
      </c>
      <c r="AH52" s="9">
        <f>IF('Upto Month Current'!$F$23="",0,'Upto Month Current'!$F$23)</f>
        <v>0</v>
      </c>
      <c r="AI52" s="9">
        <f>IF('Upto Month Current'!$F$24="",0,'Upto Month Current'!$F$24)</f>
        <v>0</v>
      </c>
      <c r="AJ52" s="9">
        <f>IF('Upto Month Current'!$F$25="",0,'Upto Month Current'!$F$25)</f>
        <v>222</v>
      </c>
      <c r="AK52" s="9">
        <f>IF('Upto Month Current'!$F$28="",0,'Upto Month Current'!$F$28)</f>
        <v>126394</v>
      </c>
      <c r="AL52" s="9">
        <f>IF('Upto Month Current'!$F$29="",0,'Upto Month Current'!$F$29)</f>
        <v>144580</v>
      </c>
      <c r="AM52" s="9">
        <f>IF('Upto Month Current'!$F$31="",0,'Upto Month Current'!$F$31)</f>
        <v>0</v>
      </c>
      <c r="AN52" s="9">
        <f>IF('Upto Month Current'!$F$32="",0,'Upto Month Current'!$F$32)</f>
        <v>2116</v>
      </c>
      <c r="AO52" s="9">
        <f>IF('Upto Month Current'!$F$33="",0,'Upto Month Current'!$F$33)</f>
        <v>449368</v>
      </c>
      <c r="AP52" s="9">
        <f>IF('Upto Month Current'!$F$34="",0,'Upto Month Current'!$F$34)</f>
        <v>31126</v>
      </c>
      <c r="AQ52" s="10">
        <f>IF('Upto Month Current'!$F$36="",0,'Upto Month Current'!$F$36)</f>
        <v>14767</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12</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14939</v>
      </c>
      <c r="BD52" s="9">
        <f>IF('Upto Month Current'!$F$54="",0,'Upto Month Current'!$F$54)</f>
        <v>14939</v>
      </c>
      <c r="BE52" s="9">
        <f>IF('Upto Month Current'!$F$55="",0,'Upto Month Current'!$F$55)</f>
        <v>0</v>
      </c>
      <c r="BF52" s="9">
        <f>IF('Upto Month Current'!$F$56="",0,'Upto Month Current'!$F$56)</f>
        <v>42022</v>
      </c>
      <c r="BG52" s="9">
        <f>IF('Upto Month Current'!$F$58="",0,'Upto Month Current'!$F$58)</f>
        <v>296096</v>
      </c>
      <c r="BH52" s="9">
        <f>SUM(AE52:BG52)</f>
        <v>1148616</v>
      </c>
      <c r="BI52" s="222">
        <f>AD52+BH52</f>
        <v>3443032</v>
      </c>
      <c r="BJ52" s="9">
        <f>IF('Upto Month Current'!$F$60="",0,'Upto Month Current'!$F$60)</f>
        <v>35781</v>
      </c>
      <c r="BK52" s="49">
        <f t="shared" si="571"/>
        <v>3407251</v>
      </c>
      <c r="BL52">
        <f>'Upto Month Current'!$F$61</f>
        <v>3407250</v>
      </c>
      <c r="BM52" s="30">
        <f t="shared" si="572"/>
        <v>1112835</v>
      </c>
    </row>
    <row r="53" spans="1:65" ht="15.75" x14ac:dyDescent="0.25">
      <c r="A53" s="128"/>
      <c r="B53" s="5" t="s">
        <v>132</v>
      </c>
      <c r="C53" s="11">
        <f>C52-C50</f>
        <v>-60269</v>
      </c>
      <c r="D53" s="11">
        <f t="shared" ref="D53" si="573">D52-D50</f>
        <v>-24279</v>
      </c>
      <c r="E53" s="11">
        <f t="shared" ref="E53" si="574">E52-E50</f>
        <v>-6898</v>
      </c>
      <c r="F53" s="11">
        <f t="shared" ref="F53" si="575">F52-F50</f>
        <v>-6253</v>
      </c>
      <c r="G53" s="11">
        <f t="shared" ref="G53" si="576">G52-G50</f>
        <v>-4748</v>
      </c>
      <c r="H53" s="11">
        <f t="shared" ref="H53" si="577">H52-H50</f>
        <v>0</v>
      </c>
      <c r="I53" s="11">
        <f t="shared" ref="I53" si="578">I52-I50</f>
        <v>0</v>
      </c>
      <c r="J53" s="11">
        <f t="shared" ref="J53" si="579">J52-J50</f>
        <v>-237</v>
      </c>
      <c r="K53" s="11">
        <f t="shared" ref="K53" si="580">K52-K50</f>
        <v>-452</v>
      </c>
      <c r="L53" s="11">
        <f t="shared" ref="L53" si="581">L52-L50</f>
        <v>-4954</v>
      </c>
      <c r="M53" s="11">
        <f t="shared" ref="M53" si="582">M52-M50</f>
        <v>-12305</v>
      </c>
      <c r="N53" s="11">
        <f t="shared" ref="N53" si="583">N52-N50</f>
        <v>-75</v>
      </c>
      <c r="O53" s="11">
        <f t="shared" ref="O53" si="584">O52-O50</f>
        <v>-3790</v>
      </c>
      <c r="P53" s="11">
        <f t="shared" ref="P53" si="585">P52-P50</f>
        <v>23765</v>
      </c>
      <c r="Q53" s="11">
        <f t="shared" ref="Q53" si="586">Q52-Q50</f>
        <v>0</v>
      </c>
      <c r="R53" s="11">
        <f t="shared" ref="R53" si="587">R52-R50</f>
        <v>-1007</v>
      </c>
      <c r="S53" s="11">
        <f t="shared" ref="S53" si="588">S52-S50</f>
        <v>0</v>
      </c>
      <c r="T53" s="11">
        <f t="shared" ref="T53:U53" si="589">T52-T50</f>
        <v>0</v>
      </c>
      <c r="U53" s="11">
        <f t="shared" si="589"/>
        <v>0</v>
      </c>
      <c r="V53" s="9">
        <f t="shared" ref="V53" si="590">V52-V50</f>
        <v>3533</v>
      </c>
      <c r="W53" s="11">
        <f t="shared" ref="W53" si="591">W52-W50</f>
        <v>0</v>
      </c>
      <c r="X53" s="11">
        <f t="shared" ref="X53" si="592">X52-X50</f>
        <v>0</v>
      </c>
      <c r="Y53" s="11">
        <f t="shared" ref="Y53" si="593">Y52-Y50</f>
        <v>15064</v>
      </c>
      <c r="Z53" s="11">
        <f t="shared" ref="Z53" si="594">Z52-Z50</f>
        <v>1590</v>
      </c>
      <c r="AA53" s="11">
        <f t="shared" ref="AA53:AD53" si="595">AA52-AA50</f>
        <v>1018</v>
      </c>
      <c r="AB53" s="11">
        <f t="shared" ref="AB53" si="596">AB52-AB50</f>
        <v>-2623</v>
      </c>
      <c r="AC53" s="10">
        <f t="shared" si="595"/>
        <v>0</v>
      </c>
      <c r="AD53" s="223">
        <f t="shared" si="595"/>
        <v>-82920</v>
      </c>
      <c r="AE53" s="11">
        <f t="shared" ref="AE53" si="597">AE52-AE50</f>
        <v>103</v>
      </c>
      <c r="AF53" s="11">
        <f t="shared" ref="AF53" si="598">AF52-AF50</f>
        <v>-6537</v>
      </c>
      <c r="AG53" s="11">
        <f t="shared" ref="AG53" si="599">AG52-AG50</f>
        <v>-226</v>
      </c>
      <c r="AH53" s="11">
        <f t="shared" ref="AH53" si="600">AH52-AH50</f>
        <v>0</v>
      </c>
      <c r="AI53" s="11">
        <f t="shared" ref="AI53" si="601">AI52-AI50</f>
        <v>0</v>
      </c>
      <c r="AJ53" s="11">
        <f t="shared" ref="AJ53" si="602">AJ52-AJ50</f>
        <v>170</v>
      </c>
      <c r="AK53" s="11">
        <f t="shared" ref="AK53" si="603">AK52-AK50</f>
        <v>-53713</v>
      </c>
      <c r="AL53" s="11">
        <f t="shared" ref="AL53" si="604">AL52-AL50</f>
        <v>-50427</v>
      </c>
      <c r="AM53" s="11">
        <f t="shared" ref="AM53" si="605">AM52-AM50</f>
        <v>0</v>
      </c>
      <c r="AN53" s="11">
        <f t="shared" ref="AN53" si="606">AN52-AN50</f>
        <v>-6981</v>
      </c>
      <c r="AO53" s="9">
        <f t="shared" ref="AO53" si="607">AO52-AO50</f>
        <v>74424</v>
      </c>
      <c r="AP53" s="11">
        <f t="shared" ref="AP53" si="608">AP52-AP50</f>
        <v>-18043</v>
      </c>
      <c r="AQ53" s="10">
        <f t="shared" ref="AQ53" si="609">AQ52-AQ50</f>
        <v>14490</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6</v>
      </c>
      <c r="AX53" s="11">
        <f t="shared" ref="AX53" si="616">AX52-AX50</f>
        <v>-52</v>
      </c>
      <c r="AY53" s="11">
        <f t="shared" ref="AY53" si="617">AY52-AY50</f>
        <v>0</v>
      </c>
      <c r="AZ53" s="11">
        <f t="shared" ref="AZ53" si="618">AZ52-AZ50</f>
        <v>0</v>
      </c>
      <c r="BA53" s="11">
        <f t="shared" ref="BA53" si="619">BA52-BA50</f>
        <v>0</v>
      </c>
      <c r="BB53" s="10">
        <f t="shared" ref="BB53" si="620">BB52-BB50</f>
        <v>0</v>
      </c>
      <c r="BC53" s="11">
        <f t="shared" ref="BC53" si="621">BC52-BC50</f>
        <v>-872</v>
      </c>
      <c r="BD53" s="11">
        <f t="shared" ref="BD53" si="622">BD52-BD50</f>
        <v>-871</v>
      </c>
      <c r="BE53" s="11">
        <f t="shared" ref="BE53" si="623">BE52-BE50</f>
        <v>0</v>
      </c>
      <c r="BF53" s="11">
        <f t="shared" ref="BF53" si="624">BF52-BF50</f>
        <v>13469</v>
      </c>
      <c r="BG53" s="11">
        <f t="shared" ref="BG53:BH53" si="625">BG52-BG50</f>
        <v>128759</v>
      </c>
      <c r="BH53" s="9">
        <f t="shared" si="625"/>
        <v>93699</v>
      </c>
      <c r="BI53" s="223">
        <f t="shared" ref="BI53" si="626">BI52-BI50</f>
        <v>10779</v>
      </c>
      <c r="BJ53" s="11">
        <f t="shared" ref="BJ53:BK53" si="627">BJ52-BJ50</f>
        <v>-14249</v>
      </c>
      <c r="BK53" s="49">
        <f t="shared" si="627"/>
        <v>25028</v>
      </c>
      <c r="BM53" s="30">
        <f t="shared" si="572"/>
        <v>107948</v>
      </c>
    </row>
    <row r="54" spans="1:65" ht="15.75" x14ac:dyDescent="0.25">
      <c r="A54" s="128"/>
      <c r="B54" s="5" t="s">
        <v>133</v>
      </c>
      <c r="C54" s="13">
        <f>C53/C50</f>
        <v>-4.1172833813246983E-2</v>
      </c>
      <c r="D54" s="13">
        <f t="shared" ref="D54" si="628">D53/D50</f>
        <v>-6.4847583206241441E-2</v>
      </c>
      <c r="E54" s="13">
        <f t="shared" ref="E54" si="629">E53/E50</f>
        <v>-5.8319735540543968E-2</v>
      </c>
      <c r="F54" s="13">
        <f t="shared" ref="F54" si="630">F53/F50</f>
        <v>-4.8825242642637955E-2</v>
      </c>
      <c r="G54" s="13">
        <f t="shared" ref="G54" si="631">G53/G50</f>
        <v>-5.2911939732988612E-2</v>
      </c>
      <c r="H54" s="13" t="e">
        <f t="shared" ref="H54" si="632">H53/H50</f>
        <v>#DIV/0!</v>
      </c>
      <c r="I54" s="13" t="e">
        <f t="shared" ref="I54" si="633">I53/I50</f>
        <v>#DIV/0!</v>
      </c>
      <c r="J54" s="13">
        <f t="shared" ref="J54" si="634">J53/J50</f>
        <v>-0.13558352402745996</v>
      </c>
      <c r="K54" s="13">
        <f t="shared" ref="K54" si="635">K53/K50</f>
        <v>-0.53745541022592147</v>
      </c>
      <c r="L54" s="13">
        <f t="shared" ref="L54" si="636">L53/L50</f>
        <v>-0.22666544655929721</v>
      </c>
      <c r="M54" s="13">
        <f t="shared" ref="M54" si="637">M53/M50</f>
        <v>-0.25302270110215497</v>
      </c>
      <c r="N54" s="13">
        <f t="shared" ref="N54" si="638">N53/N50</f>
        <v>-0.55147058823529416</v>
      </c>
      <c r="O54" s="13">
        <f t="shared" ref="O54" si="639">O53/O50</f>
        <v>-0.54050199657729603</v>
      </c>
      <c r="P54" s="13">
        <f t="shared" ref="P54" si="640">P53/P50</f>
        <v>0.21961317032149558</v>
      </c>
      <c r="Q54" s="13" t="e">
        <f t="shared" ref="Q54" si="641">Q53/Q50</f>
        <v>#DIV/0!</v>
      </c>
      <c r="R54" s="13">
        <f t="shared" ref="R54" si="642">R53/R50</f>
        <v>-0.19235912129894939</v>
      </c>
      <c r="S54" s="13" t="e">
        <f t="shared" ref="S54" si="643">S53/S50</f>
        <v>#DIV/0!</v>
      </c>
      <c r="T54" s="13" t="e">
        <f t="shared" ref="T54:U54" si="644">T53/T50</f>
        <v>#DIV/0!</v>
      </c>
      <c r="U54" s="13" t="e">
        <f t="shared" si="644"/>
        <v>#DIV/0!</v>
      </c>
      <c r="V54" s="162">
        <f t="shared" ref="V54" si="645">V53/V50</f>
        <v>1.1103079824010056</v>
      </c>
      <c r="W54" s="13" t="e">
        <f t="shared" ref="W54" si="646">W53/W50</f>
        <v>#DIV/0!</v>
      </c>
      <c r="X54" s="13" t="e">
        <f t="shared" ref="X54" si="647">X53/X50</f>
        <v>#DIV/0!</v>
      </c>
      <c r="Y54" s="13">
        <f t="shared" ref="Y54" si="648">Y53/Y50</f>
        <v>5.3305024769992926</v>
      </c>
      <c r="Z54" s="13">
        <f t="shared" ref="Z54" si="649">Z53/Z50</f>
        <v>5.463917525773196</v>
      </c>
      <c r="AA54" s="13">
        <f t="shared" ref="AA54:AD54" si="650">AA53/AA50</f>
        <v>2.4648910411622276</v>
      </c>
      <c r="AB54" s="13">
        <f t="shared" ref="AB54" si="651">AB53/AB50</f>
        <v>-0.98497934660157715</v>
      </c>
      <c r="AC54" s="14" t="e">
        <f t="shared" si="650"/>
        <v>#DIV/0!</v>
      </c>
      <c r="AD54" s="224">
        <f t="shared" si="650"/>
        <v>-3.487937758903243E-2</v>
      </c>
      <c r="AE54" s="13">
        <f t="shared" ref="AE54" si="652">AE53/AE50</f>
        <v>5.6562328390993961E-2</v>
      </c>
      <c r="AF54" s="13">
        <f t="shared" ref="AF54" si="653">AF53/AF50</f>
        <v>-0.43693603368758771</v>
      </c>
      <c r="AG54" s="13">
        <f t="shared" ref="AG54" si="654">AG53/AG50</f>
        <v>-0.11813904861474124</v>
      </c>
      <c r="AH54" s="13" t="e">
        <f t="shared" ref="AH54" si="655">AH53/AH50</f>
        <v>#DIV/0!</v>
      </c>
      <c r="AI54" s="13" t="e">
        <f t="shared" ref="AI54" si="656">AI53/AI50</f>
        <v>#DIV/0!</v>
      </c>
      <c r="AJ54" s="13">
        <f t="shared" ref="AJ54" si="657">AJ53/AJ50</f>
        <v>3.2692307692307692</v>
      </c>
      <c r="AK54" s="13">
        <f t="shared" ref="AK54" si="658">AK53/AK50</f>
        <v>-0.29822827541405944</v>
      </c>
      <c r="AL54" s="13">
        <f t="shared" ref="AL54" si="659">AL53/AL50</f>
        <v>-0.25859071725630361</v>
      </c>
      <c r="AM54" s="13" t="e">
        <f t="shared" ref="AM54" si="660">AM53/AM50</f>
        <v>#DIV/0!</v>
      </c>
      <c r="AN54" s="13">
        <f t="shared" ref="AN54" si="661">AN53/AN50</f>
        <v>-0.7673958447839947</v>
      </c>
      <c r="AO54" s="162">
        <f t="shared" ref="AO54" si="662">AO53/AO50</f>
        <v>0.19849364171716311</v>
      </c>
      <c r="AP54" s="13">
        <f t="shared" ref="AP54" si="663">AP53/AP50</f>
        <v>-0.36695885618987573</v>
      </c>
      <c r="AQ54" s="14">
        <f t="shared" ref="AQ54" si="664">AQ53/AQ50</f>
        <v>52.31046931407942</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1</v>
      </c>
      <c r="AX54" s="13">
        <f t="shared" ref="AX54" si="671">AX53/AX50</f>
        <v>-1</v>
      </c>
      <c r="AY54" s="13" t="e">
        <f t="shared" ref="AY54" si="672">AY53/AY50</f>
        <v>#DIV/0!</v>
      </c>
      <c r="AZ54" s="13" t="e">
        <f t="shared" ref="AZ54" si="673">AZ53/AZ50</f>
        <v>#DIV/0!</v>
      </c>
      <c r="BA54" s="13" t="e">
        <f t="shared" ref="BA54" si="674">BA53/BA50</f>
        <v>#DIV/0!</v>
      </c>
      <c r="BB54" s="14" t="e">
        <f t="shared" ref="BB54" si="675">BB53/BB50</f>
        <v>#DIV/0!</v>
      </c>
      <c r="BC54" s="13">
        <f t="shared" ref="BC54" si="676">BC53/BC50</f>
        <v>-5.5151476819935485E-2</v>
      </c>
      <c r="BD54" s="13">
        <f t="shared" ref="BD54" si="677">BD53/BD50</f>
        <v>-5.5091714104996838E-2</v>
      </c>
      <c r="BE54" s="13" t="e">
        <f t="shared" ref="BE54" si="678">BE53/BE50</f>
        <v>#DIV/0!</v>
      </c>
      <c r="BF54" s="13">
        <f t="shared" ref="BF54" si="679">BF53/BF50</f>
        <v>0.47171925892200467</v>
      </c>
      <c r="BG54" s="13">
        <f t="shared" ref="BG54:BH54" si="680">BG53/BG50</f>
        <v>0.76945923495700297</v>
      </c>
      <c r="BH54" s="162">
        <f t="shared" si="680"/>
        <v>8.8821205838942777E-2</v>
      </c>
      <c r="BI54" s="224">
        <f t="shared" ref="BI54" si="681">BI53/BI50</f>
        <v>3.1405027543132745E-3</v>
      </c>
      <c r="BJ54" s="13">
        <f t="shared" ref="BJ54:BK54" si="682">BJ53/BJ50</f>
        <v>-0.28480911453128122</v>
      </c>
      <c r="BK54" s="50">
        <f t="shared" si="682"/>
        <v>7.3998668922776525E-3</v>
      </c>
      <c r="BM54" s="162" t="e">
        <f t="shared" ref="BM54" si="683">BM53/BM50</f>
        <v>#DIV/0!</v>
      </c>
    </row>
    <row r="55" spans="1:65" ht="15.75" x14ac:dyDescent="0.25">
      <c r="A55" s="128"/>
      <c r="B55" s="5" t="s">
        <v>134</v>
      </c>
      <c r="C55" s="11">
        <f>C52-C51</f>
        <v>-9766</v>
      </c>
      <c r="D55" s="11">
        <f t="shared" ref="D55:BK55" si="684">D52-D51</f>
        <v>115246</v>
      </c>
      <c r="E55" s="11">
        <f t="shared" si="684"/>
        <v>1055</v>
      </c>
      <c r="F55" s="11">
        <f t="shared" si="684"/>
        <v>7284</v>
      </c>
      <c r="G55" s="11">
        <f t="shared" si="684"/>
        <v>7590</v>
      </c>
      <c r="H55" s="11">
        <f t="shared" si="684"/>
        <v>0</v>
      </c>
      <c r="I55" s="11">
        <f t="shared" si="684"/>
        <v>0</v>
      </c>
      <c r="J55" s="11">
        <f t="shared" si="684"/>
        <v>-1077</v>
      </c>
      <c r="K55" s="11">
        <f t="shared" si="684"/>
        <v>-24</v>
      </c>
      <c r="L55" s="11">
        <f t="shared" si="684"/>
        <v>-4038</v>
      </c>
      <c r="M55" s="11">
        <f t="shared" si="684"/>
        <v>-3065</v>
      </c>
      <c r="N55" s="11">
        <f t="shared" si="684"/>
        <v>-4</v>
      </c>
      <c r="O55" s="11">
        <f t="shared" si="684"/>
        <v>-1612</v>
      </c>
      <c r="P55" s="11">
        <f t="shared" si="684"/>
        <v>-549</v>
      </c>
      <c r="Q55" s="11">
        <f t="shared" si="684"/>
        <v>0</v>
      </c>
      <c r="R55" s="11">
        <f t="shared" si="684"/>
        <v>2058</v>
      </c>
      <c r="S55" s="11">
        <f t="shared" si="684"/>
        <v>0</v>
      </c>
      <c r="T55" s="11">
        <f t="shared" si="684"/>
        <v>0</v>
      </c>
      <c r="U55" s="11">
        <f t="shared" ref="U55" si="685">U52-U51</f>
        <v>0</v>
      </c>
      <c r="V55" s="9">
        <f t="shared" si="684"/>
        <v>-65131</v>
      </c>
      <c r="W55" s="11">
        <f t="shared" si="684"/>
        <v>0</v>
      </c>
      <c r="X55" s="11">
        <f t="shared" si="684"/>
        <v>0</v>
      </c>
      <c r="Y55" s="11">
        <f t="shared" si="684"/>
        <v>14216</v>
      </c>
      <c r="Z55" s="11">
        <f t="shared" si="684"/>
        <v>1697</v>
      </c>
      <c r="AA55" s="11">
        <f t="shared" si="684"/>
        <v>996</v>
      </c>
      <c r="AB55" s="11">
        <f t="shared" ref="AB55" si="686">AB52-AB51</f>
        <v>40</v>
      </c>
      <c r="AC55" s="10">
        <f t="shared" ref="AC55:AD55" si="687">AC52-AC51</f>
        <v>0</v>
      </c>
      <c r="AD55" s="223">
        <f t="shared" si="687"/>
        <v>64916</v>
      </c>
      <c r="AE55" s="11">
        <f t="shared" si="684"/>
        <v>239</v>
      </c>
      <c r="AF55" s="11">
        <f t="shared" si="684"/>
        <v>-15137</v>
      </c>
      <c r="AG55" s="11">
        <f t="shared" si="684"/>
        <v>-2718</v>
      </c>
      <c r="AH55" s="11">
        <f t="shared" si="684"/>
        <v>-18</v>
      </c>
      <c r="AI55" s="11">
        <f t="shared" si="684"/>
        <v>0</v>
      </c>
      <c r="AJ55" s="11">
        <f t="shared" si="684"/>
        <v>222</v>
      </c>
      <c r="AK55" s="11">
        <f t="shared" si="684"/>
        <v>-74155</v>
      </c>
      <c r="AL55" s="11">
        <f t="shared" si="684"/>
        <v>-116843</v>
      </c>
      <c r="AM55" s="11">
        <f t="shared" si="684"/>
        <v>0</v>
      </c>
      <c r="AN55" s="11">
        <f t="shared" si="684"/>
        <v>-2023</v>
      </c>
      <c r="AO55" s="9">
        <f t="shared" si="684"/>
        <v>51203</v>
      </c>
      <c r="AP55" s="11">
        <f t="shared" si="684"/>
        <v>43751</v>
      </c>
      <c r="AQ55" s="10">
        <f t="shared" si="684"/>
        <v>17805</v>
      </c>
      <c r="AR55" s="11">
        <f t="shared" si="684"/>
        <v>0</v>
      </c>
      <c r="AS55" s="11">
        <f t="shared" si="684"/>
        <v>0</v>
      </c>
      <c r="AT55" s="11">
        <f t="shared" si="684"/>
        <v>0</v>
      </c>
      <c r="AU55" s="11">
        <f t="shared" si="684"/>
        <v>0</v>
      </c>
      <c r="AV55" s="11">
        <f t="shared" si="684"/>
        <v>0</v>
      </c>
      <c r="AW55" s="11">
        <f t="shared" si="684"/>
        <v>12</v>
      </c>
      <c r="AX55" s="11">
        <f t="shared" si="684"/>
        <v>840</v>
      </c>
      <c r="AY55" s="11">
        <f t="shared" si="684"/>
        <v>0</v>
      </c>
      <c r="AZ55" s="11">
        <f t="shared" si="684"/>
        <v>0</v>
      </c>
      <c r="BA55" s="11">
        <f t="shared" si="684"/>
        <v>0</v>
      </c>
      <c r="BB55" s="10">
        <f t="shared" si="684"/>
        <v>0</v>
      </c>
      <c r="BC55" s="11">
        <f t="shared" si="684"/>
        <v>-3434</v>
      </c>
      <c r="BD55" s="11">
        <f t="shared" si="684"/>
        <v>-3417</v>
      </c>
      <c r="BE55" s="11">
        <f t="shared" si="684"/>
        <v>0</v>
      </c>
      <c r="BF55" s="11">
        <f t="shared" si="684"/>
        <v>1511</v>
      </c>
      <c r="BG55" s="11">
        <f t="shared" si="684"/>
        <v>16948</v>
      </c>
      <c r="BH55" s="9">
        <f t="shared" si="684"/>
        <v>-85214</v>
      </c>
      <c r="BI55" s="223">
        <f t="shared" si="684"/>
        <v>-20298</v>
      </c>
      <c r="BJ55" s="11">
        <f t="shared" si="684"/>
        <v>20173</v>
      </c>
      <c r="BK55" s="49">
        <f t="shared" si="684"/>
        <v>-40471</v>
      </c>
      <c r="BM55" s="30">
        <f t="shared" si="572"/>
        <v>-105387</v>
      </c>
    </row>
    <row r="56" spans="1:65" ht="15.75" x14ac:dyDescent="0.25">
      <c r="A56" s="128"/>
      <c r="B56" s="5" t="s">
        <v>135</v>
      </c>
      <c r="C56" s="13">
        <f>C55/C51</f>
        <v>-6.9100588550783911E-3</v>
      </c>
      <c r="D56" s="13">
        <f t="shared" ref="D56" si="688">D55/D51</f>
        <v>0.49066741599822883</v>
      </c>
      <c r="E56" s="13">
        <f t="shared" ref="E56" si="689">E55/E51</f>
        <v>9.562569113354966E-3</v>
      </c>
      <c r="F56" s="13">
        <f t="shared" ref="F56" si="690">F55/F51</f>
        <v>6.3597946425453147E-2</v>
      </c>
      <c r="G56" s="13">
        <f t="shared" ref="G56" si="691">G55/G51</f>
        <v>9.806708357021035E-2</v>
      </c>
      <c r="H56" s="13" t="e">
        <f t="shared" ref="H56" si="692">H55/H51</f>
        <v>#DIV/0!</v>
      </c>
      <c r="I56" s="13" t="e">
        <f t="shared" ref="I56" si="693">I55/I51</f>
        <v>#DIV/0!</v>
      </c>
      <c r="J56" s="13">
        <f t="shared" ref="J56" si="694">J55/J51</f>
        <v>-0.41615146831530136</v>
      </c>
      <c r="K56" s="13">
        <f t="shared" ref="K56" si="695">K55/K51</f>
        <v>-5.8111380145278453E-2</v>
      </c>
      <c r="L56" s="13">
        <f t="shared" ref="L56" si="696">L55/L51</f>
        <v>-0.19283667621776504</v>
      </c>
      <c r="M56" s="13">
        <f t="shared" ref="M56" si="697">M55/M51</f>
        <v>-7.7807676685621441E-2</v>
      </c>
      <c r="N56" s="13">
        <f t="shared" ref="N56" si="698">N55/N51</f>
        <v>-6.1538461538461542E-2</v>
      </c>
      <c r="O56" s="13">
        <f t="shared" ref="O56" si="699">O55/O51</f>
        <v>-0.33347124534546957</v>
      </c>
      <c r="P56" s="13">
        <f t="shared" ref="P56" si="700">P55/P51</f>
        <v>-4.1425520837263348E-3</v>
      </c>
      <c r="Q56" s="13" t="e">
        <f t="shared" ref="Q56" si="701">Q55/Q51</f>
        <v>#DIV/0!</v>
      </c>
      <c r="R56" s="13">
        <f t="shared" ref="R56" si="702">R55/R51</f>
        <v>0.94838709677419353</v>
      </c>
      <c r="S56" s="13" t="e">
        <f t="shared" ref="S56" si="703">S55/S51</f>
        <v>#DIV/0!</v>
      </c>
      <c r="T56" s="13" t="e">
        <f t="shared" ref="T56:U56" si="704">T55/T51</f>
        <v>#DIV/0!</v>
      </c>
      <c r="U56" s="13" t="e">
        <f t="shared" si="704"/>
        <v>#DIV/0!</v>
      </c>
      <c r="V56" s="162">
        <f t="shared" ref="V56" si="705">V55/V51</f>
        <v>-0.90653620243298161</v>
      </c>
      <c r="W56" s="13" t="e">
        <f t="shared" ref="W56" si="706">W55/W51</f>
        <v>#DIV/0!</v>
      </c>
      <c r="X56" s="13" t="e">
        <f t="shared" ref="X56" si="707">X55/X51</f>
        <v>#DIV/0!</v>
      </c>
      <c r="Y56" s="13">
        <f t="shared" ref="Y56" si="708">Y55/Y51</f>
        <v>3.8693522046815461</v>
      </c>
      <c r="Z56" s="13">
        <f t="shared" ref="Z56" si="709">Z55/Z51</f>
        <v>9.2228260869565215</v>
      </c>
      <c r="AA56" s="13">
        <f t="shared" ref="AA56:AD56" si="710">AA55/AA51</f>
        <v>2.2896551724137932</v>
      </c>
      <c r="AB56" s="13" t="e">
        <f t="shared" ref="AB56" si="711">AB55/AB51</f>
        <v>#DIV/0!</v>
      </c>
      <c r="AC56" s="14" t="e">
        <f t="shared" si="710"/>
        <v>#DIV/0!</v>
      </c>
      <c r="AD56" s="224">
        <f t="shared" si="710"/>
        <v>2.9116842341332137E-2</v>
      </c>
      <c r="AE56" s="13">
        <f t="shared" ref="AE56" si="712">AE55/AE51</f>
        <v>0.14183976261127595</v>
      </c>
      <c r="AF56" s="13">
        <f t="shared" ref="AF56" si="713">AF55/AF51</f>
        <v>-0.64245999745341875</v>
      </c>
      <c r="AG56" s="13">
        <f t="shared" ref="AG56" si="714">AG55/AG51</f>
        <v>-0.61702610669693525</v>
      </c>
      <c r="AH56" s="13">
        <f t="shared" ref="AH56" si="715">AH55/AH51</f>
        <v>-1</v>
      </c>
      <c r="AI56" s="13" t="e">
        <f t="shared" ref="AI56" si="716">AI55/AI51</f>
        <v>#DIV/0!</v>
      </c>
      <c r="AJ56" s="13" t="e">
        <f t="shared" ref="AJ56" si="717">AJ55/AJ51</f>
        <v>#DIV/0!</v>
      </c>
      <c r="AK56" s="13">
        <f t="shared" ref="AK56" si="718">AK55/AK51</f>
        <v>-0.36976000877591014</v>
      </c>
      <c r="AL56" s="13">
        <f t="shared" ref="AL56" si="719">AL55/AL51</f>
        <v>-0.44694996232160139</v>
      </c>
      <c r="AM56" s="13" t="e">
        <f t="shared" ref="AM56" si="720">AM55/AM51</f>
        <v>#DIV/0!</v>
      </c>
      <c r="AN56" s="13">
        <f t="shared" ref="AN56" si="721">AN55/AN51</f>
        <v>-0.48876540227107995</v>
      </c>
      <c r="AO56" s="162">
        <f t="shared" ref="AO56" si="722">AO55/AO51</f>
        <v>0.12859744075948412</v>
      </c>
      <c r="AP56" s="13">
        <f t="shared" ref="AP56" si="723">AP55/AP51</f>
        <v>-3.4654257425742574</v>
      </c>
      <c r="AQ56" s="14">
        <f t="shared" ref="AQ56" si="724">AQ55/AQ51</f>
        <v>-5.8607636603028306</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f t="shared" ref="AX56" si="731">AX55/AX51</f>
        <v>-1</v>
      </c>
      <c r="AY56" s="13" t="e">
        <f t="shared" ref="AY56" si="732">AY55/AY51</f>
        <v>#DIV/0!</v>
      </c>
      <c r="AZ56" s="13" t="e">
        <f t="shared" ref="AZ56" si="733">AZ55/AZ51</f>
        <v>#DIV/0!</v>
      </c>
      <c r="BA56" s="13" t="e">
        <f t="shared" ref="BA56" si="734">BA55/BA51</f>
        <v>#DIV/0!</v>
      </c>
      <c r="BB56" s="14" t="e">
        <f t="shared" ref="BB56" si="735">BB55/BB51</f>
        <v>#DIV/0!</v>
      </c>
      <c r="BC56" s="13">
        <f t="shared" ref="BC56" si="736">BC55/BC51</f>
        <v>-0.18690469710988952</v>
      </c>
      <c r="BD56" s="13">
        <f t="shared" ref="BD56" si="737">BD55/BD51</f>
        <v>-0.186151667029854</v>
      </c>
      <c r="BE56" s="13" t="e">
        <f t="shared" ref="BE56" si="738">BE55/BE51</f>
        <v>#DIV/0!</v>
      </c>
      <c r="BF56" s="13">
        <f t="shared" ref="BF56" si="739">BF55/BF51</f>
        <v>3.7298511515390882E-2</v>
      </c>
      <c r="BG56" s="13">
        <f t="shared" ref="BG56:BH56" si="740">BG55/BG51</f>
        <v>6.0713313367819224E-2</v>
      </c>
      <c r="BH56" s="162">
        <f t="shared" si="740"/>
        <v>-6.9064619923328172E-2</v>
      </c>
      <c r="BI56" s="224">
        <f t="shared" ref="BI56" si="741">BI55/BI51</f>
        <v>-5.8608333598011162E-3</v>
      </c>
      <c r="BJ56" s="13">
        <f t="shared" ref="BJ56:BK56" si="742">BJ55/BJ51</f>
        <v>1.2924782162993336</v>
      </c>
      <c r="BK56" s="50">
        <f t="shared" si="742"/>
        <v>-1.1738475433924197E-2</v>
      </c>
      <c r="BM56" s="14">
        <f t="shared" ref="BM56" si="743">BM55/BM51</f>
        <v>-8.6508862916611265E-2</v>
      </c>
    </row>
    <row r="57" spans="1:65" ht="15.75" x14ac:dyDescent="0.25">
      <c r="A57" s="128"/>
      <c r="B57" s="5" t="s">
        <v>296</v>
      </c>
      <c r="C57" s="126">
        <f>C52/C49</f>
        <v>0.57529606390356758</v>
      </c>
      <c r="D57" s="126">
        <f t="shared" ref="D57:BK57" si="744">D52/D49</f>
        <v>0.50468399772250616</v>
      </c>
      <c r="E57" s="126">
        <f t="shared" si="744"/>
        <v>0.94168026445945607</v>
      </c>
      <c r="F57" s="126">
        <f t="shared" si="744"/>
        <v>0.57070841942027761</v>
      </c>
      <c r="G57" s="126">
        <f t="shared" si="744"/>
        <v>0.568228773159137</v>
      </c>
      <c r="H57" s="126" t="e">
        <f t="shared" si="744"/>
        <v>#DIV/0!</v>
      </c>
      <c r="I57" s="126" t="e">
        <f t="shared" si="744"/>
        <v>#DIV/0!</v>
      </c>
      <c r="J57" s="126">
        <f t="shared" si="744"/>
        <v>0.51853122855181877</v>
      </c>
      <c r="K57" s="126">
        <f t="shared" si="744"/>
        <v>0.27726300784034213</v>
      </c>
      <c r="L57" s="126">
        <f t="shared" si="744"/>
        <v>0.46408566721581551</v>
      </c>
      <c r="M57" s="126">
        <f t="shared" si="744"/>
        <v>0.44817716365430882</v>
      </c>
      <c r="N57" s="126">
        <f t="shared" si="744"/>
        <v>0.27111111111111114</v>
      </c>
      <c r="O57" s="126">
        <f t="shared" si="744"/>
        <v>0.27559661277906083</v>
      </c>
      <c r="P57" s="126">
        <f t="shared" si="744"/>
        <v>0.73177195959058294</v>
      </c>
      <c r="Q57" s="126" t="e">
        <f t="shared" si="744"/>
        <v>#DIV/0!</v>
      </c>
      <c r="R57" s="126">
        <f t="shared" si="744"/>
        <v>0.4844179651695692</v>
      </c>
      <c r="S57" s="126" t="e">
        <f t="shared" si="744"/>
        <v>#DIV/0!</v>
      </c>
      <c r="T57" s="126" t="e">
        <f t="shared" si="744"/>
        <v>#DIV/0!</v>
      </c>
      <c r="U57" s="126" t="e">
        <f t="shared" si="744"/>
        <v>#DIV/0!</v>
      </c>
      <c r="V57" s="177">
        <f t="shared" si="744"/>
        <v>1.2657869934024506</v>
      </c>
      <c r="W57" s="126" t="e">
        <f t="shared" si="744"/>
        <v>#DIV/0!</v>
      </c>
      <c r="X57" s="126" t="e">
        <f t="shared" si="744"/>
        <v>#DIV/0!</v>
      </c>
      <c r="Y57" s="126">
        <f t="shared" si="744"/>
        <v>3.7999150382327951</v>
      </c>
      <c r="Z57" s="126">
        <f t="shared" si="744"/>
        <v>3.9024896265560165</v>
      </c>
      <c r="AA57" s="126">
        <f t="shared" si="744"/>
        <v>2.0860058309037899</v>
      </c>
      <c r="AB57" s="126">
        <f t="shared" ref="AB57" si="745">AB52/AB49</f>
        <v>9.0069804098176082E-3</v>
      </c>
      <c r="AC57" s="215" t="e">
        <f t="shared" si="744"/>
        <v>#DIV/0!</v>
      </c>
      <c r="AD57" s="225">
        <f t="shared" si="744"/>
        <v>0.58040606892476376</v>
      </c>
      <c r="AE57" s="126">
        <f t="shared" si="744"/>
        <v>0.63414634146341464</v>
      </c>
      <c r="AF57" s="126">
        <f t="shared" si="744"/>
        <v>0.33782483156881615</v>
      </c>
      <c r="AG57" s="126">
        <f t="shared" si="744"/>
        <v>0.52967032967032968</v>
      </c>
      <c r="AH57" s="126" t="e">
        <f t="shared" si="744"/>
        <v>#DIV/0!</v>
      </c>
      <c r="AI57" s="126" t="e">
        <f t="shared" si="744"/>
        <v>#DIV/0!</v>
      </c>
      <c r="AJ57" s="126">
        <f t="shared" si="744"/>
        <v>2.5813953488372094</v>
      </c>
      <c r="AK57" s="126">
        <f t="shared" si="744"/>
        <v>0.42105929422581712</v>
      </c>
      <c r="AL57" s="126">
        <f t="shared" si="744"/>
        <v>0.44484785083535894</v>
      </c>
      <c r="AM57" s="126" t="e">
        <f t="shared" si="744"/>
        <v>#DIV/0!</v>
      </c>
      <c r="AN57" s="126">
        <f t="shared" si="744"/>
        <v>0.13955022093253314</v>
      </c>
      <c r="AO57" s="177">
        <f t="shared" si="744"/>
        <v>0.71909810291164256</v>
      </c>
      <c r="AP57" s="126">
        <f t="shared" si="744"/>
        <v>0.37983086629162749</v>
      </c>
      <c r="AQ57" s="215">
        <f t="shared" si="744"/>
        <v>32.10217391304348</v>
      </c>
      <c r="AR57" s="126" t="e">
        <f t="shared" si="744"/>
        <v>#DIV/0!</v>
      </c>
      <c r="AS57" s="126" t="e">
        <f t="shared" si="744"/>
        <v>#DIV/0!</v>
      </c>
      <c r="AT57" s="126" t="e">
        <f t="shared" si="744"/>
        <v>#DIV/0!</v>
      </c>
      <c r="AU57" s="126" t="e">
        <f t="shared" si="744"/>
        <v>#DIV/0!</v>
      </c>
      <c r="AV57" s="126" t="e">
        <f t="shared" si="744"/>
        <v>#DIV/0!</v>
      </c>
      <c r="AW57" s="126">
        <f t="shared" si="744"/>
        <v>1.5</v>
      </c>
      <c r="AX57" s="126">
        <f t="shared" si="744"/>
        <v>0</v>
      </c>
      <c r="AY57" s="126" t="e">
        <f t="shared" si="744"/>
        <v>#DIV/0!</v>
      </c>
      <c r="AZ57" s="126" t="e">
        <f t="shared" si="744"/>
        <v>#DIV/0!</v>
      </c>
      <c r="BA57" s="126" t="e">
        <f t="shared" si="744"/>
        <v>#DIV/0!</v>
      </c>
      <c r="BB57" s="215" t="e">
        <f t="shared" si="744"/>
        <v>#DIV/0!</v>
      </c>
      <c r="BC57" s="126">
        <f t="shared" si="744"/>
        <v>0.56685892084693024</v>
      </c>
      <c r="BD57" s="126">
        <f t="shared" si="744"/>
        <v>0.56690194292653306</v>
      </c>
      <c r="BE57" s="126" t="e">
        <f t="shared" si="744"/>
        <v>#DIV/0!</v>
      </c>
      <c r="BF57" s="126">
        <f t="shared" si="744"/>
        <v>0.88305629688780551</v>
      </c>
      <c r="BG57" s="126">
        <f t="shared" si="744"/>
        <v>1.0616869612609898</v>
      </c>
      <c r="BH57" s="177">
        <f t="shared" si="744"/>
        <v>0.65329606765154535</v>
      </c>
      <c r="BI57" s="225">
        <f t="shared" si="744"/>
        <v>0.6028447423952622</v>
      </c>
      <c r="BJ57" s="126">
        <f t="shared" si="744"/>
        <v>0.41721761639906252</v>
      </c>
      <c r="BK57" s="126">
        <f t="shared" si="744"/>
        <v>0.60567461261989275</v>
      </c>
      <c r="BM57" s="126" t="e">
        <f t="shared" ref="BM57" si="746">BM52/BM49</f>
        <v>#DIV/0!</v>
      </c>
    </row>
    <row r="58" spans="1:65" s="180" customFormat="1" ht="15.75" x14ac:dyDescent="0.25">
      <c r="A58" s="128"/>
      <c r="B58" s="5" t="s">
        <v>297</v>
      </c>
      <c r="C58" s="11">
        <f>C52-C49</f>
        <v>-1036140</v>
      </c>
      <c r="D58" s="11">
        <f t="shared" ref="D58:BM58" si="747">D52-D49</f>
        <v>-343623</v>
      </c>
      <c r="E58" s="11">
        <f t="shared" si="747"/>
        <v>-6898</v>
      </c>
      <c r="F58" s="11">
        <f t="shared" si="747"/>
        <v>-91631</v>
      </c>
      <c r="G58" s="11">
        <f t="shared" si="747"/>
        <v>-64577</v>
      </c>
      <c r="H58" s="11">
        <f t="shared" si="747"/>
        <v>0</v>
      </c>
      <c r="I58" s="11">
        <f t="shared" si="747"/>
        <v>0</v>
      </c>
      <c r="J58" s="11">
        <f t="shared" si="747"/>
        <v>-1403</v>
      </c>
      <c r="K58" s="11">
        <f t="shared" si="747"/>
        <v>-1014</v>
      </c>
      <c r="L58" s="11">
        <f t="shared" si="747"/>
        <v>-19518</v>
      </c>
      <c r="M58" s="11">
        <f t="shared" si="747"/>
        <v>-44728</v>
      </c>
      <c r="N58" s="11">
        <f t="shared" si="747"/>
        <v>-164</v>
      </c>
      <c r="O58" s="11">
        <f t="shared" si="747"/>
        <v>-8469</v>
      </c>
      <c r="P58" s="11">
        <f t="shared" si="747"/>
        <v>-48376</v>
      </c>
      <c r="Q58" s="11">
        <f t="shared" si="747"/>
        <v>0</v>
      </c>
      <c r="R58" s="11">
        <f t="shared" si="747"/>
        <v>-4500</v>
      </c>
      <c r="S58" s="11">
        <f t="shared" si="747"/>
        <v>0</v>
      </c>
      <c r="T58" s="11">
        <f t="shared" si="747"/>
        <v>0</v>
      </c>
      <c r="U58" s="11">
        <f t="shared" si="747"/>
        <v>0</v>
      </c>
      <c r="V58" s="9">
        <f t="shared" si="747"/>
        <v>1410</v>
      </c>
      <c r="W58" s="11">
        <f t="shared" si="747"/>
        <v>0</v>
      </c>
      <c r="X58" s="11">
        <f t="shared" si="747"/>
        <v>0</v>
      </c>
      <c r="Y58" s="11">
        <f t="shared" si="747"/>
        <v>13182</v>
      </c>
      <c r="Z58" s="11">
        <f t="shared" si="747"/>
        <v>1399</v>
      </c>
      <c r="AA58" s="11">
        <f t="shared" si="747"/>
        <v>745</v>
      </c>
      <c r="AB58" s="11">
        <f t="shared" ref="AB58" si="748">AB52-AB49</f>
        <v>-4401</v>
      </c>
      <c r="AC58" s="10">
        <f t="shared" si="747"/>
        <v>0</v>
      </c>
      <c r="AD58" s="223">
        <f t="shared" si="747"/>
        <v>-1658706</v>
      </c>
      <c r="AE58" s="11">
        <f t="shared" si="747"/>
        <v>-1110</v>
      </c>
      <c r="AF58" s="11">
        <f t="shared" si="747"/>
        <v>-16512</v>
      </c>
      <c r="AG58" s="11">
        <f t="shared" si="747"/>
        <v>-1498</v>
      </c>
      <c r="AH58" s="11">
        <f t="shared" si="747"/>
        <v>0</v>
      </c>
      <c r="AI58" s="11">
        <f t="shared" si="747"/>
        <v>0</v>
      </c>
      <c r="AJ58" s="11">
        <f t="shared" si="747"/>
        <v>136</v>
      </c>
      <c r="AK58" s="11">
        <f t="shared" si="747"/>
        <v>-173787</v>
      </c>
      <c r="AL58" s="11">
        <f t="shared" si="747"/>
        <v>-180430</v>
      </c>
      <c r="AM58" s="11">
        <f t="shared" si="747"/>
        <v>0</v>
      </c>
      <c r="AN58" s="11">
        <f t="shared" si="747"/>
        <v>-13047</v>
      </c>
      <c r="AO58" s="9">
        <f t="shared" si="747"/>
        <v>-175537</v>
      </c>
      <c r="AP58" s="11">
        <f t="shared" si="747"/>
        <v>-50821</v>
      </c>
      <c r="AQ58" s="10">
        <f t="shared" si="747"/>
        <v>14307</v>
      </c>
      <c r="AR58" s="11">
        <f t="shared" si="747"/>
        <v>0</v>
      </c>
      <c r="AS58" s="11">
        <f t="shared" si="747"/>
        <v>0</v>
      </c>
      <c r="AT58" s="11">
        <f t="shared" si="747"/>
        <v>0</v>
      </c>
      <c r="AU58" s="11">
        <f t="shared" si="747"/>
        <v>0</v>
      </c>
      <c r="AV58" s="11">
        <f t="shared" si="747"/>
        <v>0</v>
      </c>
      <c r="AW58" s="11">
        <f t="shared" si="747"/>
        <v>4</v>
      </c>
      <c r="AX58" s="11">
        <f t="shared" si="747"/>
        <v>-86</v>
      </c>
      <c r="AY58" s="11">
        <f t="shared" si="747"/>
        <v>0</v>
      </c>
      <c r="AZ58" s="11">
        <f t="shared" si="747"/>
        <v>0</v>
      </c>
      <c r="BA58" s="11">
        <f t="shared" si="747"/>
        <v>0</v>
      </c>
      <c r="BB58" s="10">
        <f t="shared" si="747"/>
        <v>0</v>
      </c>
      <c r="BC58" s="11">
        <f t="shared" si="747"/>
        <v>-11415</v>
      </c>
      <c r="BD58" s="11">
        <f t="shared" si="747"/>
        <v>-11413</v>
      </c>
      <c r="BE58" s="11">
        <f t="shared" si="747"/>
        <v>0</v>
      </c>
      <c r="BF58" s="11">
        <f t="shared" si="747"/>
        <v>-5565</v>
      </c>
      <c r="BG58" s="11">
        <f t="shared" si="747"/>
        <v>17204</v>
      </c>
      <c r="BH58" s="11">
        <f t="shared" si="747"/>
        <v>-609570</v>
      </c>
      <c r="BI58" s="223">
        <f t="shared" si="747"/>
        <v>-2268276</v>
      </c>
      <c r="BJ58" s="11">
        <f t="shared" si="747"/>
        <v>-49980</v>
      </c>
      <c r="BK58" s="11">
        <f t="shared" si="747"/>
        <v>-2218296</v>
      </c>
      <c r="BL58" s="11">
        <f t="shared" si="747"/>
        <v>3407245</v>
      </c>
      <c r="BM58" s="11">
        <f t="shared" si="747"/>
        <v>1112835</v>
      </c>
    </row>
    <row r="59" spans="1:65" s="180" customFormat="1" ht="15.75" x14ac:dyDescent="0.25">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226"/>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226"/>
      <c r="BJ59" s="5"/>
      <c r="BK59" s="48"/>
    </row>
    <row r="60" spans="1:65" ht="15.75" x14ac:dyDescent="0.25">
      <c r="A60" s="15" t="s">
        <v>140</v>
      </c>
      <c r="B60" s="11" t="s">
        <v>300</v>
      </c>
      <c r="C60" s="120">
        <v>4471179</v>
      </c>
      <c r="D60" s="120">
        <v>1591311</v>
      </c>
      <c r="E60" s="120">
        <v>127709</v>
      </c>
      <c r="F60" s="120">
        <v>762898</v>
      </c>
      <c r="G60" s="120">
        <v>258171</v>
      </c>
      <c r="H60" s="120">
        <v>0</v>
      </c>
      <c r="I60" s="120">
        <v>0</v>
      </c>
      <c r="J60" s="120">
        <v>1423981</v>
      </c>
      <c r="K60" s="120">
        <v>51942</v>
      </c>
      <c r="L60" s="120">
        <v>150905</v>
      </c>
      <c r="M60" s="120">
        <v>308464</v>
      </c>
      <c r="N60" s="120">
        <v>645</v>
      </c>
      <c r="O60" s="120">
        <v>7105</v>
      </c>
      <c r="P60" s="120">
        <v>13288</v>
      </c>
      <c r="Q60" s="120">
        <v>0</v>
      </c>
      <c r="R60" s="120">
        <v>8777</v>
      </c>
      <c r="S60" s="120">
        <v>0</v>
      </c>
      <c r="T60" s="120">
        <v>0</v>
      </c>
      <c r="U60" s="120"/>
      <c r="V60" s="189">
        <v>0</v>
      </c>
      <c r="W60" s="120">
        <v>0</v>
      </c>
      <c r="X60" s="120">
        <v>0</v>
      </c>
      <c r="Y60" s="120">
        <v>764</v>
      </c>
      <c r="Z60" s="120">
        <v>248</v>
      </c>
      <c r="AA60" s="120">
        <v>4112</v>
      </c>
      <c r="AB60" s="120">
        <v>8148</v>
      </c>
      <c r="AC60" s="151">
        <v>0</v>
      </c>
      <c r="AD60" s="229">
        <f t="shared" ref="AD60:AD61" si="749">SUM(C60:AC60)</f>
        <v>9189647</v>
      </c>
      <c r="AE60" s="120">
        <v>2890</v>
      </c>
      <c r="AF60" s="120">
        <v>48</v>
      </c>
      <c r="AG60" s="120">
        <v>3914</v>
      </c>
      <c r="AH60" s="120">
        <v>0</v>
      </c>
      <c r="AI60" s="120">
        <v>0</v>
      </c>
      <c r="AJ60" s="120">
        <v>344</v>
      </c>
      <c r="AK60" s="120">
        <v>89585</v>
      </c>
      <c r="AL60" s="120">
        <v>59416</v>
      </c>
      <c r="AM60" s="120">
        <v>678059</v>
      </c>
      <c r="AN60" s="120">
        <v>14635</v>
      </c>
      <c r="AO60" s="189">
        <v>454981</v>
      </c>
      <c r="AP60" s="120">
        <v>1440</v>
      </c>
      <c r="AQ60" s="151">
        <v>0</v>
      </c>
      <c r="AR60" s="120">
        <v>0</v>
      </c>
      <c r="AS60" s="120"/>
      <c r="AT60" s="120"/>
      <c r="AU60" s="120">
        <v>0</v>
      </c>
      <c r="AV60" s="120"/>
      <c r="AW60" s="120">
        <v>1252</v>
      </c>
      <c r="AX60" s="120">
        <v>448</v>
      </c>
      <c r="AY60" s="120">
        <v>0</v>
      </c>
      <c r="AZ60" s="120">
        <v>0</v>
      </c>
      <c r="BA60" s="120">
        <v>0</v>
      </c>
      <c r="BB60" s="151">
        <v>0</v>
      </c>
      <c r="BC60" s="120">
        <v>21909</v>
      </c>
      <c r="BD60" s="120">
        <v>21909</v>
      </c>
      <c r="BE60" s="120">
        <v>0</v>
      </c>
      <c r="BF60" s="120">
        <v>22869</v>
      </c>
      <c r="BG60" s="120">
        <v>2</v>
      </c>
      <c r="BH60" s="9">
        <f>SUM(AE60:BG60)</f>
        <v>1373701</v>
      </c>
      <c r="BI60" s="222">
        <f>AD60+BH60</f>
        <v>10563348</v>
      </c>
      <c r="BJ60" s="96">
        <v>27610</v>
      </c>
      <c r="BK60" s="49">
        <f t="shared" ref="BK60:BK61" si="750">BI60-BJ60</f>
        <v>10535738</v>
      </c>
      <c r="BL60">
        <v>6</v>
      </c>
      <c r="BM60" s="30"/>
    </row>
    <row r="61" spans="1:65" s="41" customFormat="1" ht="15.75" x14ac:dyDescent="0.25">
      <c r="A61" s="134" t="s">
        <v>140</v>
      </c>
      <c r="B61" s="216" t="s">
        <v>325</v>
      </c>
      <c r="C61" s="10">
        <v>2682708</v>
      </c>
      <c r="D61" s="10">
        <v>858799</v>
      </c>
      <c r="E61" s="10">
        <v>127709</v>
      </c>
      <c r="F61" s="10">
        <v>457739</v>
      </c>
      <c r="G61" s="10">
        <v>154902</v>
      </c>
      <c r="H61" s="10">
        <v>0</v>
      </c>
      <c r="I61" s="10">
        <v>0</v>
      </c>
      <c r="J61" s="10">
        <v>854389</v>
      </c>
      <c r="K61" s="10">
        <v>31164</v>
      </c>
      <c r="L61" s="10">
        <v>90542</v>
      </c>
      <c r="M61" s="10">
        <v>185080</v>
      </c>
      <c r="N61" s="10">
        <v>389</v>
      </c>
      <c r="O61" s="10">
        <v>4262</v>
      </c>
      <c r="P61" s="10">
        <v>7972</v>
      </c>
      <c r="Q61" s="10">
        <v>0</v>
      </c>
      <c r="R61" s="10">
        <v>5267</v>
      </c>
      <c r="S61" s="10">
        <v>0</v>
      </c>
      <c r="T61" s="10">
        <v>0</v>
      </c>
      <c r="U61" s="10"/>
      <c r="V61" s="10">
        <v>0</v>
      </c>
      <c r="W61" s="10">
        <v>0</v>
      </c>
      <c r="X61" s="10">
        <v>0</v>
      </c>
      <c r="Y61" s="10">
        <v>457</v>
      </c>
      <c r="Z61" s="10">
        <v>150</v>
      </c>
      <c r="AA61" s="10">
        <v>2468</v>
      </c>
      <c r="AB61" s="10">
        <v>4890</v>
      </c>
      <c r="AC61" s="10">
        <v>0</v>
      </c>
      <c r="AD61" s="229">
        <f t="shared" si="749"/>
        <v>5468887</v>
      </c>
      <c r="AE61" s="10">
        <v>1733</v>
      </c>
      <c r="AF61" s="10">
        <v>29</v>
      </c>
      <c r="AG61" s="10">
        <v>2726</v>
      </c>
      <c r="AH61" s="10">
        <v>0</v>
      </c>
      <c r="AI61" s="10">
        <v>0</v>
      </c>
      <c r="AJ61" s="10">
        <v>208</v>
      </c>
      <c r="AK61" s="10">
        <v>53752</v>
      </c>
      <c r="AL61" s="10">
        <v>35650</v>
      </c>
      <c r="AM61" s="10">
        <v>406837</v>
      </c>
      <c r="AN61" s="10">
        <v>8782</v>
      </c>
      <c r="AO61" s="10">
        <v>272987</v>
      </c>
      <c r="AP61" s="10">
        <v>863</v>
      </c>
      <c r="AQ61" s="10">
        <v>0</v>
      </c>
      <c r="AR61" s="10">
        <v>0</v>
      </c>
      <c r="AS61" s="10"/>
      <c r="AT61" s="10"/>
      <c r="AU61" s="10">
        <v>0</v>
      </c>
      <c r="AV61" s="10"/>
      <c r="AW61" s="10">
        <v>750</v>
      </c>
      <c r="AX61" s="10">
        <v>270</v>
      </c>
      <c r="AY61" s="10">
        <v>0</v>
      </c>
      <c r="AZ61" s="10">
        <v>0</v>
      </c>
      <c r="BA61" s="10">
        <v>0</v>
      </c>
      <c r="BB61" s="10">
        <v>0</v>
      </c>
      <c r="BC61" s="10">
        <v>13147</v>
      </c>
      <c r="BD61" s="10">
        <v>13147</v>
      </c>
      <c r="BE61" s="10">
        <v>0</v>
      </c>
      <c r="BF61" s="10">
        <v>13723</v>
      </c>
      <c r="BG61" s="10">
        <v>-382</v>
      </c>
      <c r="BH61" s="10">
        <f>SUM(AE61:BG61)</f>
        <v>824222</v>
      </c>
      <c r="BI61" s="222">
        <f>AD61+BH61</f>
        <v>6293109</v>
      </c>
      <c r="BJ61" s="10">
        <v>16109</v>
      </c>
      <c r="BK61" s="10">
        <f t="shared" si="750"/>
        <v>6277000</v>
      </c>
      <c r="BM61" s="217"/>
    </row>
    <row r="62" spans="1:65" ht="15.75" x14ac:dyDescent="0.25">
      <c r="A62" s="128"/>
      <c r="B62" s="12" t="s">
        <v>326</v>
      </c>
      <c r="C62" s="9">
        <f>IF('Upto Month COPPY'!$G$4="",0,'Upto Month COPPY'!$G$4)</f>
        <v>2667435</v>
      </c>
      <c r="D62" s="9">
        <f>IF('Upto Month COPPY'!$G$5="",0,'Upto Month COPPY'!$G$5)</f>
        <v>549184</v>
      </c>
      <c r="E62" s="9">
        <f>IF('Upto Month COPPY'!$G$6="",0,'Upto Month COPPY'!$G$6)</f>
        <v>155027</v>
      </c>
      <c r="F62" s="9">
        <f>IF('Upto Month COPPY'!$G$7="",0,'Upto Month COPPY'!$G$7)</f>
        <v>414023</v>
      </c>
      <c r="G62" s="9">
        <f>IF('Upto Month COPPY'!$G$8="",0,'Upto Month COPPY'!$G$8)</f>
        <v>141776</v>
      </c>
      <c r="H62" s="9">
        <f>IF('Upto Month COPPY'!$G$9="",0,'Upto Month COPPY'!$G$9)</f>
        <v>0</v>
      </c>
      <c r="I62" s="9">
        <f>IF('Upto Month COPPY'!$G$10="",0,'Upto Month COPPY'!$G$10)</f>
        <v>0</v>
      </c>
      <c r="J62" s="9">
        <f>IF('Upto Month COPPY'!$G$11="",0,'Upto Month COPPY'!$G$11)</f>
        <v>710507</v>
      </c>
      <c r="K62" s="9">
        <f>IF('Upto Month COPPY'!$G$12="",0,'Upto Month COPPY'!$G$12)</f>
        <v>22770</v>
      </c>
      <c r="L62" s="9">
        <f>IF('Upto Month COPPY'!$G$13="",0,'Upto Month COPPY'!$G$13)</f>
        <v>86021</v>
      </c>
      <c r="M62" s="9">
        <f>IF('Upto Month COPPY'!$G$14="",0,'Upto Month COPPY'!$G$14)</f>
        <v>153121</v>
      </c>
      <c r="N62" s="9">
        <f>IF('Upto Month COPPY'!$G$15="",0,'Upto Month COPPY'!$G$15)</f>
        <v>451</v>
      </c>
      <c r="O62" s="9">
        <f>IF('Upto Month COPPY'!$G$16="",0,'Upto Month COPPY'!$G$16)</f>
        <v>3252</v>
      </c>
      <c r="P62" s="9">
        <f>IF('Upto Month COPPY'!$G$17="",0,'Upto Month COPPY'!$G$17)</f>
        <v>7291</v>
      </c>
      <c r="Q62" s="9">
        <f>IF('Upto Month COPPY'!$G$18="",0,'Upto Month COPPY'!$G$18)</f>
        <v>0</v>
      </c>
      <c r="R62" s="9">
        <f>IF('Upto Month COPPY'!$G$21="",0,'Upto Month COPPY'!$G$21)</f>
        <v>7564</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719</v>
      </c>
      <c r="Z62" s="9">
        <f>IF('Upto Month COPPY'!$G$43="",0,'Upto Month COPPY'!$G$43)</f>
        <v>135</v>
      </c>
      <c r="AA62" s="9">
        <f>IF('Upto Month COPPY'!$G$44="",0,'Upto Month COPPY'!$G$44)</f>
        <v>562</v>
      </c>
      <c r="AB62" s="9">
        <f>IF('Upto Month COPPY'!$G$48="",0,'Upto Month COPPY'!$G$48)</f>
        <v>0</v>
      </c>
      <c r="AC62" s="10">
        <f>IF('Upto Month COPPY'!$G$51="",0,'Upto Month COPPY'!$G$51)</f>
        <v>0</v>
      </c>
      <c r="AD62" s="229">
        <f t="shared" ref="AD62:AD63" si="751">SUM(C62:AC62)</f>
        <v>4919838</v>
      </c>
      <c r="AE62" s="9">
        <f>IF('Upto Month COPPY'!$G$19="",0,'Upto Month COPPY'!$G$19)</f>
        <v>1613</v>
      </c>
      <c r="AF62" s="9">
        <f>IF('Upto Month COPPY'!$G$20="",0,'Upto Month COPPY'!$G$20)</f>
        <v>1612</v>
      </c>
      <c r="AG62" s="9">
        <f>IF('Upto Month COPPY'!$G$22="",0,'Upto Month COPPY'!$G$22)</f>
        <v>3707</v>
      </c>
      <c r="AH62" s="9">
        <f>IF('Upto Month COPPY'!$G$23="",0,'Upto Month COPPY'!$G$23)</f>
        <v>0</v>
      </c>
      <c r="AI62" s="9">
        <f>IF('Upto Month COPPY'!$G$24="",0,'Upto Month COPPY'!$G$24)</f>
        <v>0</v>
      </c>
      <c r="AJ62" s="9">
        <f>IF('Upto Month COPPY'!$G$25="",0,'Upto Month COPPY'!$G$25)</f>
        <v>557</v>
      </c>
      <c r="AK62" s="9">
        <f>IF('Upto Month COPPY'!$G$28="",0,'Upto Month COPPY'!$G$28)</f>
        <v>70393</v>
      </c>
      <c r="AL62" s="9">
        <f>IF('Upto Month COPPY'!$G$29="",0,'Upto Month COPPY'!$G$29)</f>
        <v>47088</v>
      </c>
      <c r="AM62" s="9">
        <f>IF('Upto Month COPPY'!$G$31="",0,'Upto Month COPPY'!$G$31)</f>
        <v>495764</v>
      </c>
      <c r="AN62" s="9">
        <f>IF('Upto Month COPPY'!$G$32="",0,'Upto Month COPPY'!$G$32)</f>
        <v>21747</v>
      </c>
      <c r="AO62" s="9">
        <f>IF('Upto Month COPPY'!$G$33="",0,'Upto Month COPPY'!$G$33)</f>
        <v>291259</v>
      </c>
      <c r="AP62" s="9">
        <f>IF('Upto Month COPPY'!$G$34="",0,'Upto Month COPPY'!$G$34)</f>
        <v>952</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15553</v>
      </c>
      <c r="BD62" s="9">
        <f>IF('Upto Month COPPY'!$G$54="",0,'Upto Month COPPY'!$G$54)</f>
        <v>15553</v>
      </c>
      <c r="BE62" s="9">
        <f>IF('Upto Month COPPY'!$G$55="",0,'Upto Month COPPY'!$G$55)</f>
        <v>0</v>
      </c>
      <c r="BF62" s="9">
        <f>IF('Upto Month COPPY'!$G$56="",0,'Upto Month COPPY'!$G$56)</f>
        <v>15388</v>
      </c>
      <c r="BG62" s="9">
        <f>IF('Upto Month COPPY'!$G$58="",0,'Upto Month COPPY'!$G$58)</f>
        <v>158</v>
      </c>
      <c r="BH62" s="9">
        <f>SUM(AE62:BG62)</f>
        <v>981344</v>
      </c>
      <c r="BI62" s="222">
        <f>AD62+BH62</f>
        <v>5901182</v>
      </c>
      <c r="BJ62" s="9">
        <f>IF('Upto Month COPPY'!$G$60="",0,'Upto Month COPPY'!$G$60)</f>
        <v>9408</v>
      </c>
      <c r="BK62" s="49">
        <f t="shared" ref="BK62:BK63" si="752">BI62-BJ62</f>
        <v>5891774</v>
      </c>
      <c r="BL62">
        <f>'Upto Month COPPY'!$G$61</f>
        <v>5891773</v>
      </c>
      <c r="BM62" s="30">
        <f t="shared" ref="BM62:BM66" si="753">BK62-AD62</f>
        <v>971936</v>
      </c>
    </row>
    <row r="63" spans="1:65" ht="15.75" x14ac:dyDescent="0.25">
      <c r="A63" s="128"/>
      <c r="B63" s="182" t="s">
        <v>327</v>
      </c>
      <c r="C63" s="9">
        <f>IF('Upto Month Current'!$G$4="",0,'Upto Month Current'!$G$4)</f>
        <v>2934243</v>
      </c>
      <c r="D63" s="9">
        <f>IF('Upto Month Current'!$G$5="",0,'Upto Month Current'!$G$5)</f>
        <v>902940</v>
      </c>
      <c r="E63" s="9">
        <f>IF('Upto Month Current'!$G$6="",0,'Upto Month Current'!$G$6)</f>
        <v>162648</v>
      </c>
      <c r="F63" s="9">
        <f>IF('Upto Month Current'!$G$7="",0,'Upto Month Current'!$G$7)</f>
        <v>489155</v>
      </c>
      <c r="G63" s="9">
        <f>IF('Upto Month Current'!$G$8="",0,'Upto Month Current'!$G$8)</f>
        <v>164370</v>
      </c>
      <c r="H63" s="9">
        <f>IF('Upto Month Current'!$G$9="",0,'Upto Month Current'!$G$9)</f>
        <v>0</v>
      </c>
      <c r="I63" s="9">
        <f>IF('Upto Month Current'!$G$10="",0,'Upto Month Current'!$G$10)</f>
        <v>0</v>
      </c>
      <c r="J63" s="9">
        <f>IF('Upto Month Current'!$G$11="",0,'Upto Month Current'!$G$11)</f>
        <v>936238</v>
      </c>
      <c r="K63" s="9">
        <f>IF('Upto Month Current'!$G$12="",0,'Upto Month Current'!$G$12)</f>
        <v>1542</v>
      </c>
      <c r="L63" s="9">
        <f>IF('Upto Month Current'!$G$13="",0,'Upto Month Current'!$G$13)</f>
        <v>55976</v>
      </c>
      <c r="M63" s="9">
        <f>IF('Upto Month Current'!$G$14="",0,'Upto Month Current'!$G$14)</f>
        <v>190080</v>
      </c>
      <c r="N63" s="9">
        <f>IF('Upto Month Current'!$G$15="",0,'Upto Month Current'!$G$15)</f>
        <v>416</v>
      </c>
      <c r="O63" s="9">
        <f>IF('Upto Month Current'!$G$16="",0,'Upto Month Current'!$G$16)</f>
        <v>4613</v>
      </c>
      <c r="P63" s="9">
        <f>IF('Upto Month Current'!$G$17="",0,'Upto Month Current'!$G$17)</f>
        <v>8646</v>
      </c>
      <c r="Q63" s="9">
        <f>IF('Upto Month Current'!$G$18="",0,'Upto Month Current'!$G$18)</f>
        <v>0</v>
      </c>
      <c r="R63" s="9">
        <f>IF('Upto Month Current'!$G$21="",0,'Upto Month Current'!$G$21)</f>
        <v>5760</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6123</v>
      </c>
      <c r="Z63" s="9">
        <f>IF('Upto Month Current'!$G$43="",0,'Upto Month Current'!$G$43)</f>
        <v>794</v>
      </c>
      <c r="AA63" s="9">
        <f>IF('Upto Month Current'!$G$44="",0,'Upto Month Current'!$G$44)</f>
        <v>1077</v>
      </c>
      <c r="AB63" s="9">
        <f>IF('Upto Month Current'!$G$48="",0,'Upto Month Current'!$G$48)</f>
        <v>151</v>
      </c>
      <c r="AC63" s="10">
        <f>IF('Upto Month Current'!$G$51="",0,'Upto Month Current'!$G$51)</f>
        <v>0</v>
      </c>
      <c r="AD63" s="229">
        <f t="shared" si="751"/>
        <v>5864772</v>
      </c>
      <c r="AE63" s="9">
        <f>IF('Upto Month Current'!$G$19="",0,'Upto Month Current'!$G$19)</f>
        <v>2157</v>
      </c>
      <c r="AF63" s="9">
        <f>IF('Upto Month Current'!$G$20="",0,'Upto Month Current'!$G$20)</f>
        <v>1262</v>
      </c>
      <c r="AG63" s="9">
        <f>IF('Upto Month Current'!$G$22="",0,'Upto Month Current'!$G$22)</f>
        <v>3781</v>
      </c>
      <c r="AH63" s="9">
        <f>IF('Upto Month Current'!$G$23="",0,'Upto Month Current'!$G$23)</f>
        <v>0</v>
      </c>
      <c r="AI63" s="9">
        <f>IF('Upto Month Current'!$G$24="",0,'Upto Month Current'!$G$24)</f>
        <v>0</v>
      </c>
      <c r="AJ63" s="9">
        <f>IF('Upto Month Current'!$G$25="",0,'Upto Month Current'!$G$25)</f>
        <v>13</v>
      </c>
      <c r="AK63" s="9">
        <f>IF('Upto Month Current'!$G$28="",0,'Upto Month Current'!$G$28)</f>
        <v>99811</v>
      </c>
      <c r="AL63" s="9">
        <f>IF('Upto Month Current'!$G$29="",0,'Upto Month Current'!$G$29)</f>
        <v>11692</v>
      </c>
      <c r="AM63" s="9">
        <f>IF('Upto Month Current'!$G$31="",0,'Upto Month Current'!$G$31)</f>
        <v>524814</v>
      </c>
      <c r="AN63" s="9">
        <f>IF('Upto Month Current'!$G$32="",0,'Upto Month Current'!$G$32)</f>
        <v>21870</v>
      </c>
      <c r="AO63" s="9">
        <f>IF('Upto Month Current'!$G$33="",0,'Upto Month Current'!$G$33)</f>
        <v>422625</v>
      </c>
      <c r="AP63" s="9">
        <f>IF('Upto Month Current'!$G$34="",0,'Upto Month Current'!$G$34)</f>
        <v>921</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0</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21812</v>
      </c>
      <c r="BD63" s="9">
        <f>IF('Upto Month Current'!$G$54="",0,'Upto Month Current'!$G$54)</f>
        <v>21812</v>
      </c>
      <c r="BE63" s="9">
        <f>IF('Upto Month Current'!$G$55="",0,'Upto Month Current'!$G$55)</f>
        <v>0</v>
      </c>
      <c r="BF63" s="9">
        <f>IF('Upto Month Current'!$G$56="",0,'Upto Month Current'!$G$56)</f>
        <v>23786</v>
      </c>
      <c r="BG63" s="9">
        <f>IF('Upto Month Current'!$G$58="",0,'Upto Month Current'!$G$58)</f>
        <v>61</v>
      </c>
      <c r="BH63" s="9">
        <f>SUM(AE63:BG63)</f>
        <v>1156417</v>
      </c>
      <c r="BI63" s="222">
        <f>AD63+BH63</f>
        <v>7021189</v>
      </c>
      <c r="BJ63" s="9">
        <f>IF('Upto Month Current'!$G$60="",0,'Upto Month Current'!$G$60)</f>
        <v>10562</v>
      </c>
      <c r="BK63" s="49">
        <f t="shared" si="752"/>
        <v>7010627</v>
      </c>
      <c r="BL63">
        <f>'Upto Month Current'!$G$61</f>
        <v>7010626</v>
      </c>
      <c r="BM63" s="30">
        <f t="shared" si="753"/>
        <v>1145855</v>
      </c>
    </row>
    <row r="64" spans="1:65" ht="15.75" x14ac:dyDescent="0.25">
      <c r="A64" s="128"/>
      <c r="B64" s="5" t="s">
        <v>132</v>
      </c>
      <c r="C64" s="11">
        <f>C63-C61</f>
        <v>251535</v>
      </c>
      <c r="D64" s="11">
        <f t="shared" ref="D64" si="754">D63-D61</f>
        <v>44141</v>
      </c>
      <c r="E64" s="11">
        <f t="shared" ref="E64" si="755">E63-E61</f>
        <v>34939</v>
      </c>
      <c r="F64" s="11">
        <f t="shared" ref="F64" si="756">F63-F61</f>
        <v>31416</v>
      </c>
      <c r="G64" s="11">
        <f t="shared" ref="G64" si="757">G63-G61</f>
        <v>9468</v>
      </c>
      <c r="H64" s="11">
        <f t="shared" ref="H64" si="758">H63-H61</f>
        <v>0</v>
      </c>
      <c r="I64" s="11">
        <f t="shared" ref="I64" si="759">I63-I61</f>
        <v>0</v>
      </c>
      <c r="J64" s="11">
        <f t="shared" ref="J64" si="760">J63-J61</f>
        <v>81849</v>
      </c>
      <c r="K64" s="11">
        <f t="shared" ref="K64" si="761">K63-K61</f>
        <v>-29622</v>
      </c>
      <c r="L64" s="11">
        <f t="shared" ref="L64" si="762">L63-L61</f>
        <v>-34566</v>
      </c>
      <c r="M64" s="11">
        <f t="shared" ref="M64" si="763">M63-M61</f>
        <v>5000</v>
      </c>
      <c r="N64" s="11">
        <f t="shared" ref="N64" si="764">N63-N61</f>
        <v>27</v>
      </c>
      <c r="O64" s="11">
        <f t="shared" ref="O64" si="765">O63-O61</f>
        <v>351</v>
      </c>
      <c r="P64" s="11">
        <f t="shared" ref="P64" si="766">P63-P61</f>
        <v>674</v>
      </c>
      <c r="Q64" s="11">
        <f t="shared" ref="Q64" si="767">Q63-Q61</f>
        <v>0</v>
      </c>
      <c r="R64" s="11">
        <f t="shared" ref="R64" si="768">R63-R61</f>
        <v>493</v>
      </c>
      <c r="S64" s="11">
        <f t="shared" ref="S64" si="769">S63-S61</f>
        <v>0</v>
      </c>
      <c r="T64" s="11">
        <f t="shared" ref="T64:U64" si="770">T63-T61</f>
        <v>0</v>
      </c>
      <c r="U64" s="11">
        <f t="shared" si="770"/>
        <v>0</v>
      </c>
      <c r="V64" s="9">
        <f t="shared" ref="V64" si="771">V63-V61</f>
        <v>0</v>
      </c>
      <c r="W64" s="11">
        <f t="shared" ref="W64" si="772">W63-W61</f>
        <v>0</v>
      </c>
      <c r="X64" s="11">
        <f t="shared" ref="X64" si="773">X63-X61</f>
        <v>0</v>
      </c>
      <c r="Y64" s="11">
        <f t="shared" ref="Y64" si="774">Y63-Y61</f>
        <v>5666</v>
      </c>
      <c r="Z64" s="11">
        <f t="shared" ref="Z64" si="775">Z63-Z61</f>
        <v>644</v>
      </c>
      <c r="AA64" s="11">
        <f t="shared" ref="AA64:AD64" si="776">AA63-AA61</f>
        <v>-1391</v>
      </c>
      <c r="AB64" s="11">
        <f t="shared" ref="AB64" si="777">AB63-AB61</f>
        <v>-4739</v>
      </c>
      <c r="AC64" s="10">
        <f t="shared" si="776"/>
        <v>0</v>
      </c>
      <c r="AD64" s="223">
        <f t="shared" si="776"/>
        <v>395885</v>
      </c>
      <c r="AE64" s="11">
        <f t="shared" ref="AE64" si="778">AE63-AE61</f>
        <v>424</v>
      </c>
      <c r="AF64" s="11">
        <f t="shared" ref="AF64" si="779">AF63-AF61</f>
        <v>1233</v>
      </c>
      <c r="AG64" s="11">
        <f t="shared" ref="AG64" si="780">AG63-AG61</f>
        <v>1055</v>
      </c>
      <c r="AH64" s="11">
        <f t="shared" ref="AH64" si="781">AH63-AH61</f>
        <v>0</v>
      </c>
      <c r="AI64" s="11">
        <f t="shared" ref="AI64" si="782">AI63-AI61</f>
        <v>0</v>
      </c>
      <c r="AJ64" s="11">
        <f t="shared" ref="AJ64" si="783">AJ63-AJ61</f>
        <v>-195</v>
      </c>
      <c r="AK64" s="11">
        <f t="shared" ref="AK64" si="784">AK63-AK61</f>
        <v>46059</v>
      </c>
      <c r="AL64" s="11">
        <f t="shared" ref="AL64" si="785">AL63-AL61</f>
        <v>-23958</v>
      </c>
      <c r="AM64" s="11">
        <f t="shared" ref="AM64" si="786">AM63-AM61</f>
        <v>117977</v>
      </c>
      <c r="AN64" s="11">
        <f t="shared" ref="AN64" si="787">AN63-AN61</f>
        <v>13088</v>
      </c>
      <c r="AO64" s="9">
        <f t="shared" ref="AO64" si="788">AO63-AO61</f>
        <v>149638</v>
      </c>
      <c r="AP64" s="11">
        <f t="shared" ref="AP64" si="789">AP63-AP61</f>
        <v>58</v>
      </c>
      <c r="AQ64" s="10">
        <f t="shared" ref="AQ64" si="790">AQ63-AQ61</f>
        <v>0</v>
      </c>
      <c r="AR64" s="11">
        <f t="shared" ref="AR64" si="791">AR63-AR61</f>
        <v>0</v>
      </c>
      <c r="AS64" s="11">
        <f t="shared" ref="AS64" si="792">AS63-AS61</f>
        <v>0</v>
      </c>
      <c r="AT64" s="11">
        <f t="shared" ref="AT64" si="793">AT63-AT61</f>
        <v>0</v>
      </c>
      <c r="AU64" s="11">
        <f t="shared" ref="AU64" si="794">AU63-AU61</f>
        <v>0</v>
      </c>
      <c r="AV64" s="11">
        <f t="shared" ref="AV64" si="795">AV63-AV61</f>
        <v>0</v>
      </c>
      <c r="AW64" s="11">
        <f t="shared" ref="AW64" si="796">AW63-AW61</f>
        <v>-750</v>
      </c>
      <c r="AX64" s="11">
        <f t="shared" ref="AX64" si="797">AX63-AX61</f>
        <v>-270</v>
      </c>
      <c r="AY64" s="11">
        <f t="shared" ref="AY64" si="798">AY63-AY61</f>
        <v>0</v>
      </c>
      <c r="AZ64" s="11">
        <f t="shared" ref="AZ64" si="799">AZ63-AZ61</f>
        <v>0</v>
      </c>
      <c r="BA64" s="11">
        <f t="shared" ref="BA64" si="800">BA63-BA61</f>
        <v>0</v>
      </c>
      <c r="BB64" s="10">
        <f t="shared" ref="BB64" si="801">BB63-BB61</f>
        <v>0</v>
      </c>
      <c r="BC64" s="11">
        <f t="shared" ref="BC64" si="802">BC63-BC61</f>
        <v>8665</v>
      </c>
      <c r="BD64" s="11">
        <f t="shared" ref="BD64" si="803">BD63-BD61</f>
        <v>8665</v>
      </c>
      <c r="BE64" s="11">
        <f t="shared" ref="BE64" si="804">BE63-BE61</f>
        <v>0</v>
      </c>
      <c r="BF64" s="11">
        <f t="shared" ref="BF64" si="805">BF63-BF61</f>
        <v>10063</v>
      </c>
      <c r="BG64" s="11">
        <f t="shared" ref="BG64:BH64" si="806">BG63-BG61</f>
        <v>443</v>
      </c>
      <c r="BH64" s="9">
        <f t="shared" si="806"/>
        <v>332195</v>
      </c>
      <c r="BI64" s="223">
        <f t="shared" ref="BI64" si="807">BI63-BI61</f>
        <v>728080</v>
      </c>
      <c r="BJ64" s="11">
        <f t="shared" ref="BJ64:BK64" si="808">BJ63-BJ61</f>
        <v>-5547</v>
      </c>
      <c r="BK64" s="49">
        <f t="shared" si="808"/>
        <v>733627</v>
      </c>
      <c r="BM64" s="30">
        <f t="shared" si="753"/>
        <v>337742</v>
      </c>
    </row>
    <row r="65" spans="1:65" ht="15.75" x14ac:dyDescent="0.25">
      <c r="A65" s="129"/>
      <c r="B65" s="16" t="s">
        <v>133</v>
      </c>
      <c r="C65" s="13">
        <f>C64/C61</f>
        <v>9.3761602082671688E-2</v>
      </c>
      <c r="D65" s="13">
        <f t="shared" ref="D65" si="809">D64/D61</f>
        <v>5.139852282082303E-2</v>
      </c>
      <c r="E65" s="13">
        <f t="shared" ref="E65" si="810">E64/E61</f>
        <v>0.27358291114956657</v>
      </c>
      <c r="F65" s="13">
        <f t="shared" ref="F65" si="811">F64/F61</f>
        <v>6.8632998280679605E-2</v>
      </c>
      <c r="G65" s="13">
        <f t="shared" ref="G65" si="812">G64/G61</f>
        <v>6.1122516171514894E-2</v>
      </c>
      <c r="H65" s="13" t="e">
        <f t="shared" ref="H65" si="813">H64/H61</f>
        <v>#DIV/0!</v>
      </c>
      <c r="I65" s="13" t="e">
        <f t="shared" ref="I65" si="814">I64/I61</f>
        <v>#DIV/0!</v>
      </c>
      <c r="J65" s="13">
        <f t="shared" ref="J65" si="815">J64/J61</f>
        <v>9.5798283919853844E-2</v>
      </c>
      <c r="K65" s="13">
        <f t="shared" ref="K65" si="816">K64/K61</f>
        <v>-0.9505198305737389</v>
      </c>
      <c r="L65" s="13">
        <f t="shared" ref="L65" si="817">L64/L61</f>
        <v>-0.38176757747785556</v>
      </c>
      <c r="M65" s="13">
        <f t="shared" ref="M65" si="818">M64/M61</f>
        <v>2.7015344715798573E-2</v>
      </c>
      <c r="N65" s="13">
        <f t="shared" ref="N65" si="819">N64/N61</f>
        <v>6.9408740359897178E-2</v>
      </c>
      <c r="O65" s="13">
        <f t="shared" ref="O65" si="820">O64/O61</f>
        <v>8.2355701548568749E-2</v>
      </c>
      <c r="P65" s="13">
        <f t="shared" ref="P65" si="821">P64/P61</f>
        <v>8.4545910687405926E-2</v>
      </c>
      <c r="Q65" s="13" t="e">
        <f t="shared" ref="Q65" si="822">Q64/Q61</f>
        <v>#DIV/0!</v>
      </c>
      <c r="R65" s="13">
        <f t="shared" ref="R65" si="823">R64/R61</f>
        <v>9.3601670780330354E-2</v>
      </c>
      <c r="S65" s="13" t="e">
        <f t="shared" ref="S65" si="824">S64/S61</f>
        <v>#DIV/0!</v>
      </c>
      <c r="T65" s="13" t="e">
        <f t="shared" ref="T65:U65" si="825">T64/T61</f>
        <v>#DIV/0!</v>
      </c>
      <c r="U65" s="13" t="e">
        <f t="shared" si="825"/>
        <v>#DIV/0!</v>
      </c>
      <c r="V65" s="162" t="e">
        <f t="shared" ref="V65" si="826">V64/V61</f>
        <v>#DIV/0!</v>
      </c>
      <c r="W65" s="13" t="e">
        <f t="shared" ref="W65" si="827">W64/W61</f>
        <v>#DIV/0!</v>
      </c>
      <c r="X65" s="13" t="e">
        <f t="shared" ref="X65" si="828">X64/X61</f>
        <v>#DIV/0!</v>
      </c>
      <c r="Y65" s="13">
        <f t="shared" ref="Y65" si="829">Y64/Y61</f>
        <v>12.398249452954047</v>
      </c>
      <c r="Z65" s="13">
        <f t="shared" ref="Z65" si="830">Z64/Z61</f>
        <v>4.293333333333333</v>
      </c>
      <c r="AA65" s="13">
        <f t="shared" ref="AA65:AD65" si="831">AA64/AA61</f>
        <v>-0.56361426256077796</v>
      </c>
      <c r="AB65" s="13">
        <f t="shared" ref="AB65" si="832">AB64/AB61</f>
        <v>-0.96912065439672801</v>
      </c>
      <c r="AC65" s="14" t="e">
        <f t="shared" si="831"/>
        <v>#DIV/0!</v>
      </c>
      <c r="AD65" s="224">
        <f t="shared" si="831"/>
        <v>7.2388586562494348E-2</v>
      </c>
      <c r="AE65" s="13">
        <f t="shared" ref="AE65" si="833">AE64/AE61</f>
        <v>0.24466243508366994</v>
      </c>
      <c r="AF65" s="13">
        <f t="shared" ref="AF65" si="834">AF64/AF61</f>
        <v>42.517241379310342</v>
      </c>
      <c r="AG65" s="13">
        <f t="shared" ref="AG65" si="835">AG64/AG61</f>
        <v>0.38701393983859134</v>
      </c>
      <c r="AH65" s="13" t="e">
        <f t="shared" ref="AH65" si="836">AH64/AH61</f>
        <v>#DIV/0!</v>
      </c>
      <c r="AI65" s="13" t="e">
        <f t="shared" ref="AI65" si="837">AI64/AI61</f>
        <v>#DIV/0!</v>
      </c>
      <c r="AJ65" s="13">
        <f t="shared" ref="AJ65" si="838">AJ64/AJ61</f>
        <v>-0.9375</v>
      </c>
      <c r="AK65" s="13">
        <f t="shared" ref="AK65" si="839">AK64/AK61</f>
        <v>0.85687974400952527</v>
      </c>
      <c r="AL65" s="13">
        <f t="shared" ref="AL65" si="840">AL64/AL61</f>
        <v>-0.67203366058906033</v>
      </c>
      <c r="AM65" s="13">
        <f t="shared" ref="AM65" si="841">AM64/AM61</f>
        <v>0.28998591573529447</v>
      </c>
      <c r="AN65" s="13">
        <f t="shared" ref="AN65" si="842">AN64/AN61</f>
        <v>1.4903211113641539</v>
      </c>
      <c r="AO65" s="162">
        <f t="shared" ref="AO65" si="843">AO64/AO61</f>
        <v>0.54815064453618667</v>
      </c>
      <c r="AP65" s="13">
        <f t="shared" ref="AP65" si="844">AP64/AP61</f>
        <v>6.7207415990730018E-2</v>
      </c>
      <c r="AQ65" s="14" t="e">
        <f t="shared" ref="AQ65" si="845">AQ64/AQ61</f>
        <v>#DIV/0!</v>
      </c>
      <c r="AR65" s="13" t="e">
        <f t="shared" ref="AR65" si="846">AR64/AR61</f>
        <v>#DIV/0!</v>
      </c>
      <c r="AS65" s="13" t="e">
        <f t="shared" ref="AS65" si="847">AS64/AS61</f>
        <v>#DIV/0!</v>
      </c>
      <c r="AT65" s="13" t="e">
        <f t="shared" ref="AT65" si="848">AT64/AT61</f>
        <v>#DIV/0!</v>
      </c>
      <c r="AU65" s="13" t="e">
        <f t="shared" ref="AU65" si="849">AU64/AU61</f>
        <v>#DIV/0!</v>
      </c>
      <c r="AV65" s="13" t="e">
        <f t="shared" ref="AV65" si="850">AV64/AV61</f>
        <v>#DIV/0!</v>
      </c>
      <c r="AW65" s="13">
        <f t="shared" ref="AW65" si="851">AW64/AW61</f>
        <v>-1</v>
      </c>
      <c r="AX65" s="13">
        <f t="shared" ref="AX65" si="852">AX64/AX61</f>
        <v>-1</v>
      </c>
      <c r="AY65" s="13" t="e">
        <f t="shared" ref="AY65" si="853">AY64/AY61</f>
        <v>#DIV/0!</v>
      </c>
      <c r="AZ65" s="13" t="e">
        <f t="shared" ref="AZ65" si="854">AZ64/AZ61</f>
        <v>#DIV/0!</v>
      </c>
      <c r="BA65" s="13" t="e">
        <f t="shared" ref="BA65" si="855">BA64/BA61</f>
        <v>#DIV/0!</v>
      </c>
      <c r="BB65" s="14" t="e">
        <f t="shared" ref="BB65" si="856">BB64/BB61</f>
        <v>#DIV/0!</v>
      </c>
      <c r="BC65" s="13">
        <f t="shared" ref="BC65" si="857">BC64/BC61</f>
        <v>0.65908572297862633</v>
      </c>
      <c r="BD65" s="13">
        <f t="shared" ref="BD65" si="858">BD64/BD61</f>
        <v>0.65908572297862633</v>
      </c>
      <c r="BE65" s="13" t="e">
        <f t="shared" ref="BE65" si="859">BE64/BE61</f>
        <v>#DIV/0!</v>
      </c>
      <c r="BF65" s="13">
        <f t="shared" ref="BF65" si="860">BF64/BF61</f>
        <v>0.733294469139401</v>
      </c>
      <c r="BG65" s="13">
        <f t="shared" ref="BG65:BH65" si="861">BG64/BG61</f>
        <v>-1.1596858638743455</v>
      </c>
      <c r="BH65" s="162">
        <f t="shared" si="861"/>
        <v>0.4030406856405192</v>
      </c>
      <c r="BI65" s="224">
        <f t="shared" ref="BI65" si="862">BI64/BI61</f>
        <v>0.1156948020445856</v>
      </c>
      <c r="BJ65" s="13">
        <f t="shared" ref="BJ65:BK65" si="863">BJ64/BJ61</f>
        <v>-0.34434167235706747</v>
      </c>
      <c r="BK65" s="50">
        <f t="shared" si="863"/>
        <v>0.1168754181934045</v>
      </c>
      <c r="BM65" s="162" t="e">
        <f t="shared" ref="BM65" si="864">BM64/BM61</f>
        <v>#DIV/0!</v>
      </c>
    </row>
    <row r="66" spans="1:65" ht="15.75" x14ac:dyDescent="0.25">
      <c r="A66" s="128"/>
      <c r="B66" s="5" t="s">
        <v>134</v>
      </c>
      <c r="C66" s="11">
        <f>C63-C62</f>
        <v>266808</v>
      </c>
      <c r="D66" s="11">
        <f t="shared" ref="D66:BK66" si="865">D63-D62</f>
        <v>353756</v>
      </c>
      <c r="E66" s="11">
        <f t="shared" si="865"/>
        <v>7621</v>
      </c>
      <c r="F66" s="11">
        <f t="shared" si="865"/>
        <v>75132</v>
      </c>
      <c r="G66" s="11">
        <f t="shared" si="865"/>
        <v>22594</v>
      </c>
      <c r="H66" s="11">
        <f t="shared" si="865"/>
        <v>0</v>
      </c>
      <c r="I66" s="11">
        <f t="shared" si="865"/>
        <v>0</v>
      </c>
      <c r="J66" s="11">
        <f t="shared" si="865"/>
        <v>225731</v>
      </c>
      <c r="K66" s="11">
        <f t="shared" si="865"/>
        <v>-21228</v>
      </c>
      <c r="L66" s="11">
        <f t="shared" si="865"/>
        <v>-30045</v>
      </c>
      <c r="M66" s="11">
        <f t="shared" si="865"/>
        <v>36959</v>
      </c>
      <c r="N66" s="11">
        <f t="shared" si="865"/>
        <v>-35</v>
      </c>
      <c r="O66" s="11">
        <f t="shared" si="865"/>
        <v>1361</v>
      </c>
      <c r="P66" s="11">
        <f t="shared" si="865"/>
        <v>1355</v>
      </c>
      <c r="Q66" s="11">
        <f t="shared" si="865"/>
        <v>0</v>
      </c>
      <c r="R66" s="11">
        <f t="shared" si="865"/>
        <v>-1804</v>
      </c>
      <c r="S66" s="11">
        <f t="shared" si="865"/>
        <v>0</v>
      </c>
      <c r="T66" s="11">
        <f t="shared" si="865"/>
        <v>0</v>
      </c>
      <c r="U66" s="11">
        <f t="shared" ref="U66" si="866">U63-U62</f>
        <v>0</v>
      </c>
      <c r="V66" s="9">
        <f t="shared" si="865"/>
        <v>0</v>
      </c>
      <c r="W66" s="11">
        <f t="shared" si="865"/>
        <v>0</v>
      </c>
      <c r="X66" s="11">
        <f t="shared" si="865"/>
        <v>0</v>
      </c>
      <c r="Y66" s="11">
        <f t="shared" si="865"/>
        <v>5404</v>
      </c>
      <c r="Z66" s="11">
        <f t="shared" si="865"/>
        <v>659</v>
      </c>
      <c r="AA66" s="11">
        <f t="shared" si="865"/>
        <v>515</v>
      </c>
      <c r="AB66" s="11">
        <f t="shared" ref="AB66" si="867">AB63-AB62</f>
        <v>151</v>
      </c>
      <c r="AC66" s="10">
        <f t="shared" ref="AC66:AD66" si="868">AC63-AC62</f>
        <v>0</v>
      </c>
      <c r="AD66" s="223">
        <f t="shared" si="868"/>
        <v>944934</v>
      </c>
      <c r="AE66" s="11">
        <f t="shared" si="865"/>
        <v>544</v>
      </c>
      <c r="AF66" s="11">
        <f t="shared" si="865"/>
        <v>-350</v>
      </c>
      <c r="AG66" s="11">
        <f t="shared" si="865"/>
        <v>74</v>
      </c>
      <c r="AH66" s="11">
        <f t="shared" si="865"/>
        <v>0</v>
      </c>
      <c r="AI66" s="11">
        <f t="shared" si="865"/>
        <v>0</v>
      </c>
      <c r="AJ66" s="11">
        <f t="shared" si="865"/>
        <v>-544</v>
      </c>
      <c r="AK66" s="11">
        <f t="shared" si="865"/>
        <v>29418</v>
      </c>
      <c r="AL66" s="11">
        <f t="shared" si="865"/>
        <v>-35396</v>
      </c>
      <c r="AM66" s="11">
        <f t="shared" si="865"/>
        <v>29050</v>
      </c>
      <c r="AN66" s="11">
        <f t="shared" si="865"/>
        <v>123</v>
      </c>
      <c r="AO66" s="9">
        <f t="shared" si="865"/>
        <v>131366</v>
      </c>
      <c r="AP66" s="11">
        <f t="shared" si="865"/>
        <v>-31</v>
      </c>
      <c r="AQ66" s="10">
        <f t="shared" si="865"/>
        <v>0</v>
      </c>
      <c r="AR66" s="11">
        <f t="shared" si="865"/>
        <v>0</v>
      </c>
      <c r="AS66" s="11">
        <f t="shared" si="865"/>
        <v>0</v>
      </c>
      <c r="AT66" s="11">
        <f t="shared" si="865"/>
        <v>0</v>
      </c>
      <c r="AU66" s="11">
        <f t="shared" si="865"/>
        <v>0</v>
      </c>
      <c r="AV66" s="11">
        <f t="shared" si="865"/>
        <v>0</v>
      </c>
      <c r="AW66" s="11">
        <f t="shared" si="865"/>
        <v>0</v>
      </c>
      <c r="AX66" s="11">
        <f t="shared" si="865"/>
        <v>0</v>
      </c>
      <c r="AY66" s="11">
        <f t="shared" si="865"/>
        <v>0</v>
      </c>
      <c r="AZ66" s="11">
        <f t="shared" si="865"/>
        <v>0</v>
      </c>
      <c r="BA66" s="11">
        <f t="shared" si="865"/>
        <v>0</v>
      </c>
      <c r="BB66" s="10">
        <f t="shared" si="865"/>
        <v>0</v>
      </c>
      <c r="BC66" s="11">
        <f t="shared" si="865"/>
        <v>6259</v>
      </c>
      <c r="BD66" s="11">
        <f t="shared" si="865"/>
        <v>6259</v>
      </c>
      <c r="BE66" s="11">
        <f t="shared" si="865"/>
        <v>0</v>
      </c>
      <c r="BF66" s="11">
        <f t="shared" si="865"/>
        <v>8398</v>
      </c>
      <c r="BG66" s="11">
        <f t="shared" si="865"/>
        <v>-97</v>
      </c>
      <c r="BH66" s="9">
        <f t="shared" si="865"/>
        <v>175073</v>
      </c>
      <c r="BI66" s="223">
        <f t="shared" si="865"/>
        <v>1120007</v>
      </c>
      <c r="BJ66" s="11">
        <f t="shared" si="865"/>
        <v>1154</v>
      </c>
      <c r="BK66" s="49">
        <f t="shared" si="865"/>
        <v>1118853</v>
      </c>
      <c r="BM66" s="30">
        <f t="shared" si="753"/>
        <v>173919</v>
      </c>
    </row>
    <row r="67" spans="1:65" ht="15.75" x14ac:dyDescent="0.25">
      <c r="A67" s="128"/>
      <c r="B67" s="5" t="s">
        <v>135</v>
      </c>
      <c r="C67" s="13">
        <f>C66/C62</f>
        <v>0.10002418053298394</v>
      </c>
      <c r="D67" s="13">
        <f t="shared" ref="D67" si="869">D66/D62</f>
        <v>0.64414840927630812</v>
      </c>
      <c r="E67" s="13">
        <f t="shared" ref="E67" si="870">E66/E62</f>
        <v>4.915917872370619E-2</v>
      </c>
      <c r="F67" s="13">
        <f t="shared" ref="F67" si="871">F66/F62</f>
        <v>0.18146817930404832</v>
      </c>
      <c r="G67" s="13">
        <f t="shared" ref="G67" si="872">G66/G62</f>
        <v>0.1593640672610315</v>
      </c>
      <c r="H67" s="13" t="e">
        <f t="shared" ref="H67" si="873">H66/H62</f>
        <v>#DIV/0!</v>
      </c>
      <c r="I67" s="13" t="e">
        <f t="shared" ref="I67" si="874">I66/I62</f>
        <v>#DIV/0!</v>
      </c>
      <c r="J67" s="13">
        <f t="shared" ref="J67" si="875">J66/J62</f>
        <v>0.31770411832677231</v>
      </c>
      <c r="K67" s="13">
        <f t="shared" ref="K67" si="876">K66/K62</f>
        <v>-0.93227931488801052</v>
      </c>
      <c r="L67" s="13">
        <f t="shared" ref="L67" si="877">L66/L62</f>
        <v>-0.34927517699166483</v>
      </c>
      <c r="M67" s="13">
        <f t="shared" ref="M67" si="878">M66/M62</f>
        <v>0.24137120316612351</v>
      </c>
      <c r="N67" s="13">
        <f t="shared" ref="N67" si="879">N66/N62</f>
        <v>-7.7605321507760533E-2</v>
      </c>
      <c r="O67" s="13">
        <f t="shared" ref="O67" si="880">O66/O62</f>
        <v>0.41851168511685116</v>
      </c>
      <c r="P67" s="13">
        <f t="shared" ref="P67" si="881">P66/P62</f>
        <v>0.18584556302290495</v>
      </c>
      <c r="Q67" s="13" t="e">
        <f t="shared" ref="Q67" si="882">Q66/Q62</f>
        <v>#DIV/0!</v>
      </c>
      <c r="R67" s="13">
        <f t="shared" ref="R67" si="883">R66/R62</f>
        <v>-0.2384981491274458</v>
      </c>
      <c r="S67" s="13" t="e">
        <f t="shared" ref="S67" si="884">S66/S62</f>
        <v>#DIV/0!</v>
      </c>
      <c r="T67" s="13" t="e">
        <f t="shared" ref="T67:U67" si="885">T66/T62</f>
        <v>#DIV/0!</v>
      </c>
      <c r="U67" s="13" t="e">
        <f t="shared" si="885"/>
        <v>#DIV/0!</v>
      </c>
      <c r="V67" s="162" t="e">
        <f t="shared" ref="V67" si="886">V66/V62</f>
        <v>#DIV/0!</v>
      </c>
      <c r="W67" s="13" t="e">
        <f t="shared" ref="W67" si="887">W66/W62</f>
        <v>#DIV/0!</v>
      </c>
      <c r="X67" s="13" t="e">
        <f t="shared" ref="X67" si="888">X66/X62</f>
        <v>#DIV/0!</v>
      </c>
      <c r="Y67" s="13">
        <f t="shared" ref="Y67" si="889">Y66/Y62</f>
        <v>7.515994436717663</v>
      </c>
      <c r="Z67" s="13">
        <f t="shared" ref="Z67" si="890">Z66/Z62</f>
        <v>4.8814814814814813</v>
      </c>
      <c r="AA67" s="13">
        <f t="shared" ref="AA67:AD67" si="891">AA66/AA62</f>
        <v>0.91637010676156583</v>
      </c>
      <c r="AB67" s="13" t="e">
        <f t="shared" ref="AB67" si="892">AB66/AB62</f>
        <v>#DIV/0!</v>
      </c>
      <c r="AC67" s="14" t="e">
        <f t="shared" si="891"/>
        <v>#DIV/0!</v>
      </c>
      <c r="AD67" s="224">
        <f t="shared" si="891"/>
        <v>0.19206608022459276</v>
      </c>
      <c r="AE67" s="13">
        <f t="shared" ref="AE67" si="893">AE66/AE62</f>
        <v>0.33725976441413513</v>
      </c>
      <c r="AF67" s="13">
        <f t="shared" ref="AF67" si="894">AF66/AF62</f>
        <v>-0.21712158808933002</v>
      </c>
      <c r="AG67" s="13">
        <f t="shared" ref="AG67" si="895">AG66/AG62</f>
        <v>1.9962233612085243E-2</v>
      </c>
      <c r="AH67" s="13" t="e">
        <f t="shared" ref="AH67" si="896">AH66/AH62</f>
        <v>#DIV/0!</v>
      </c>
      <c r="AI67" s="13" t="e">
        <f t="shared" ref="AI67" si="897">AI66/AI62</f>
        <v>#DIV/0!</v>
      </c>
      <c r="AJ67" s="13">
        <f t="shared" ref="AJ67" si="898">AJ66/AJ62</f>
        <v>-0.97666068222621183</v>
      </c>
      <c r="AK67" s="13">
        <f t="shared" ref="AK67" si="899">AK66/AK62</f>
        <v>0.41791087181964115</v>
      </c>
      <c r="AL67" s="13">
        <f t="shared" ref="AL67" si="900">AL66/AL62</f>
        <v>-0.75169894665307513</v>
      </c>
      <c r="AM67" s="13">
        <f t="shared" ref="AM67" si="901">AM66/AM62</f>
        <v>5.8596428946030774E-2</v>
      </c>
      <c r="AN67" s="13">
        <f t="shared" ref="AN67" si="902">AN66/AN62</f>
        <v>5.655952545178645E-3</v>
      </c>
      <c r="AO67" s="162">
        <f t="shared" ref="AO67" si="903">AO66/AO62</f>
        <v>0.45102812273612147</v>
      </c>
      <c r="AP67" s="13">
        <f t="shared" ref="AP67" si="904">AP66/AP62</f>
        <v>-3.2563025210084036E-2</v>
      </c>
      <c r="AQ67" s="14" t="e">
        <f t="shared" ref="AQ67" si="905">AQ66/AQ62</f>
        <v>#DIV/0!</v>
      </c>
      <c r="AR67" s="13" t="e">
        <f t="shared" ref="AR67" si="906">AR66/AR62</f>
        <v>#DIV/0!</v>
      </c>
      <c r="AS67" s="13" t="e">
        <f t="shared" ref="AS67" si="907">AS66/AS62</f>
        <v>#DIV/0!</v>
      </c>
      <c r="AT67" s="13" t="e">
        <f t="shared" ref="AT67" si="908">AT66/AT62</f>
        <v>#DIV/0!</v>
      </c>
      <c r="AU67" s="13" t="e">
        <f t="shared" ref="AU67" si="909">AU66/AU62</f>
        <v>#DIV/0!</v>
      </c>
      <c r="AV67" s="13" t="e">
        <f t="shared" ref="AV67" si="910">AV66/AV62</f>
        <v>#DIV/0!</v>
      </c>
      <c r="AW67" s="13" t="e">
        <f t="shared" ref="AW67" si="911">AW66/AW62</f>
        <v>#DIV/0!</v>
      </c>
      <c r="AX67" s="13" t="e">
        <f t="shared" ref="AX67" si="912">AX66/AX62</f>
        <v>#DIV/0!</v>
      </c>
      <c r="AY67" s="13" t="e">
        <f t="shared" ref="AY67" si="913">AY66/AY62</f>
        <v>#DIV/0!</v>
      </c>
      <c r="AZ67" s="13" t="e">
        <f t="shared" ref="AZ67" si="914">AZ66/AZ62</f>
        <v>#DIV/0!</v>
      </c>
      <c r="BA67" s="13" t="e">
        <f t="shared" ref="BA67" si="915">BA66/BA62</f>
        <v>#DIV/0!</v>
      </c>
      <c r="BB67" s="14" t="e">
        <f t="shared" ref="BB67" si="916">BB66/BB62</f>
        <v>#DIV/0!</v>
      </c>
      <c r="BC67" s="13">
        <f t="shared" ref="BC67" si="917">BC66/BC62</f>
        <v>0.40243039927988167</v>
      </c>
      <c r="BD67" s="13">
        <f t="shared" ref="BD67" si="918">BD66/BD62</f>
        <v>0.40243039927988167</v>
      </c>
      <c r="BE67" s="13" t="e">
        <f t="shared" ref="BE67" si="919">BE66/BE62</f>
        <v>#DIV/0!</v>
      </c>
      <c r="BF67" s="13">
        <f t="shared" ref="BF67" si="920">BF66/BF62</f>
        <v>0.54574993501429681</v>
      </c>
      <c r="BG67" s="13">
        <f t="shared" ref="BG67:BH67" si="921">BG66/BG62</f>
        <v>-0.61392405063291144</v>
      </c>
      <c r="BH67" s="162">
        <f t="shared" si="921"/>
        <v>0.17840125379071967</v>
      </c>
      <c r="BI67" s="224">
        <f t="shared" ref="BI67" si="922">BI66/BI62</f>
        <v>0.18979367184404752</v>
      </c>
      <c r="BJ67" s="13">
        <f t="shared" ref="BJ67:BK67" si="923">BJ66/BJ62</f>
        <v>0.12266156462585034</v>
      </c>
      <c r="BK67" s="50">
        <f t="shared" si="923"/>
        <v>0.18990086856692059</v>
      </c>
      <c r="BM67" s="14">
        <f t="shared" ref="BM67" si="924">BM66/BM62</f>
        <v>0.17894079445560201</v>
      </c>
    </row>
    <row r="68" spans="1:65" ht="15.75" x14ac:dyDescent="0.25">
      <c r="A68" s="128"/>
      <c r="B68" s="5" t="s">
        <v>296</v>
      </c>
      <c r="C68" s="126">
        <f>C63/C60</f>
        <v>0.65625710802452775</v>
      </c>
      <c r="D68" s="126">
        <f t="shared" ref="D68:BK68" si="925">D63/D60</f>
        <v>0.56741893947820377</v>
      </c>
      <c r="E68" s="126">
        <f t="shared" si="925"/>
        <v>1.2735829111495667</v>
      </c>
      <c r="F68" s="126">
        <f t="shared" si="925"/>
        <v>0.64118007911935804</v>
      </c>
      <c r="G68" s="126">
        <f t="shared" si="925"/>
        <v>0.63667104361063021</v>
      </c>
      <c r="H68" s="126" t="e">
        <f t="shared" si="925"/>
        <v>#DIV/0!</v>
      </c>
      <c r="I68" s="126" t="e">
        <f t="shared" si="925"/>
        <v>#DIV/0!</v>
      </c>
      <c r="J68" s="126">
        <f t="shared" si="925"/>
        <v>0.65747927816452612</v>
      </c>
      <c r="K68" s="126">
        <f t="shared" si="925"/>
        <v>2.9686958530668824E-2</v>
      </c>
      <c r="L68" s="126">
        <f t="shared" si="925"/>
        <v>0.3709353566813558</v>
      </c>
      <c r="M68" s="126">
        <f t="shared" si="925"/>
        <v>0.61621453394885628</v>
      </c>
      <c r="N68" s="126">
        <f t="shared" si="925"/>
        <v>0.64496124031007751</v>
      </c>
      <c r="O68" s="126">
        <f t="shared" si="925"/>
        <v>0.64926108374384239</v>
      </c>
      <c r="P68" s="126">
        <f t="shared" si="925"/>
        <v>0.65066225165562919</v>
      </c>
      <c r="Q68" s="126" t="e">
        <f t="shared" si="925"/>
        <v>#DIV/0!</v>
      </c>
      <c r="R68" s="126">
        <f t="shared" si="925"/>
        <v>0.65626068132619342</v>
      </c>
      <c r="S68" s="126" t="e">
        <f t="shared" si="925"/>
        <v>#DIV/0!</v>
      </c>
      <c r="T68" s="126" t="e">
        <f t="shared" si="925"/>
        <v>#DIV/0!</v>
      </c>
      <c r="U68" s="126" t="e">
        <f t="shared" si="925"/>
        <v>#DIV/0!</v>
      </c>
      <c r="V68" s="177" t="e">
        <f t="shared" si="925"/>
        <v>#DIV/0!</v>
      </c>
      <c r="W68" s="126" t="e">
        <f t="shared" si="925"/>
        <v>#DIV/0!</v>
      </c>
      <c r="X68" s="126" t="e">
        <f t="shared" si="925"/>
        <v>#DIV/0!</v>
      </c>
      <c r="Y68" s="126">
        <f t="shared" si="925"/>
        <v>8.0143979057591626</v>
      </c>
      <c r="Z68" s="126">
        <f t="shared" si="925"/>
        <v>3.2016129032258065</v>
      </c>
      <c r="AA68" s="126">
        <f t="shared" si="925"/>
        <v>0.26191634241245138</v>
      </c>
      <c r="AB68" s="126">
        <f t="shared" ref="AB68" si="926">AB63/AB60</f>
        <v>1.8532155130093275E-2</v>
      </c>
      <c r="AC68" s="215" t="e">
        <f t="shared" si="925"/>
        <v>#DIV/0!</v>
      </c>
      <c r="AD68" s="225">
        <f t="shared" si="925"/>
        <v>0.63819339306504375</v>
      </c>
      <c r="AE68" s="126">
        <f t="shared" si="925"/>
        <v>0.74636678200692042</v>
      </c>
      <c r="AF68" s="126">
        <f t="shared" si="925"/>
        <v>26.291666666666668</v>
      </c>
      <c r="AG68" s="126">
        <f t="shared" si="925"/>
        <v>0.96601941747572817</v>
      </c>
      <c r="AH68" s="126" t="e">
        <f t="shared" si="925"/>
        <v>#DIV/0!</v>
      </c>
      <c r="AI68" s="126" t="e">
        <f t="shared" si="925"/>
        <v>#DIV/0!</v>
      </c>
      <c r="AJ68" s="126">
        <f t="shared" si="925"/>
        <v>3.7790697674418602E-2</v>
      </c>
      <c r="AK68" s="126">
        <f t="shared" si="925"/>
        <v>1.114148573980019</v>
      </c>
      <c r="AL68" s="126">
        <f t="shared" si="925"/>
        <v>0.19678201157937256</v>
      </c>
      <c r="AM68" s="126">
        <f t="shared" si="925"/>
        <v>0.77399459339084065</v>
      </c>
      <c r="AN68" s="126">
        <f t="shared" si="925"/>
        <v>1.4943628288349846</v>
      </c>
      <c r="AO68" s="177">
        <f t="shared" si="925"/>
        <v>0.92888494244814623</v>
      </c>
      <c r="AP68" s="126">
        <f t="shared" si="925"/>
        <v>0.63958333333333328</v>
      </c>
      <c r="AQ68" s="215" t="e">
        <f t="shared" si="925"/>
        <v>#DIV/0!</v>
      </c>
      <c r="AR68" s="126" t="e">
        <f t="shared" si="925"/>
        <v>#DIV/0!</v>
      </c>
      <c r="AS68" s="126" t="e">
        <f t="shared" si="925"/>
        <v>#DIV/0!</v>
      </c>
      <c r="AT68" s="126" t="e">
        <f t="shared" si="925"/>
        <v>#DIV/0!</v>
      </c>
      <c r="AU68" s="126" t="e">
        <f t="shared" si="925"/>
        <v>#DIV/0!</v>
      </c>
      <c r="AV68" s="126" t="e">
        <f t="shared" si="925"/>
        <v>#DIV/0!</v>
      </c>
      <c r="AW68" s="126">
        <f t="shared" si="925"/>
        <v>0</v>
      </c>
      <c r="AX68" s="126">
        <f t="shared" si="925"/>
        <v>0</v>
      </c>
      <c r="AY68" s="126" t="e">
        <f t="shared" si="925"/>
        <v>#DIV/0!</v>
      </c>
      <c r="AZ68" s="126" t="e">
        <f t="shared" si="925"/>
        <v>#DIV/0!</v>
      </c>
      <c r="BA68" s="126" t="e">
        <f t="shared" si="925"/>
        <v>#DIV/0!</v>
      </c>
      <c r="BB68" s="215" t="e">
        <f t="shared" si="925"/>
        <v>#DIV/0!</v>
      </c>
      <c r="BC68" s="126">
        <f t="shared" si="925"/>
        <v>0.99557259573691181</v>
      </c>
      <c r="BD68" s="126">
        <f t="shared" si="925"/>
        <v>0.99557259573691181</v>
      </c>
      <c r="BE68" s="126" t="e">
        <f t="shared" si="925"/>
        <v>#DIV/0!</v>
      </c>
      <c r="BF68" s="126">
        <f t="shared" si="925"/>
        <v>1.0400979491888582</v>
      </c>
      <c r="BG68" s="126">
        <f t="shared" si="925"/>
        <v>30.5</v>
      </c>
      <c r="BH68" s="177">
        <f t="shared" si="925"/>
        <v>0.8418258412856946</v>
      </c>
      <c r="BI68" s="225">
        <f t="shared" si="925"/>
        <v>0.6646745899122134</v>
      </c>
      <c r="BJ68" s="126">
        <f t="shared" si="925"/>
        <v>0.38254255704454909</v>
      </c>
      <c r="BK68" s="126">
        <f t="shared" si="925"/>
        <v>0.66541394632250728</v>
      </c>
      <c r="BM68" s="126" t="e">
        <f t="shared" ref="BM68" si="927">BM63/BM60</f>
        <v>#DIV/0!</v>
      </c>
    </row>
    <row r="69" spans="1:65" s="180" customFormat="1" ht="15.75" x14ac:dyDescent="0.25">
      <c r="A69" s="128"/>
      <c r="B69" s="5" t="s">
        <v>297</v>
      </c>
      <c r="C69" s="11">
        <f>C63-C60</f>
        <v>-1536936</v>
      </c>
      <c r="D69" s="11">
        <f t="shared" ref="D69:BM69" si="928">D63-D60</f>
        <v>-688371</v>
      </c>
      <c r="E69" s="11">
        <f t="shared" si="928"/>
        <v>34939</v>
      </c>
      <c r="F69" s="11">
        <f t="shared" si="928"/>
        <v>-273743</v>
      </c>
      <c r="G69" s="11">
        <f t="shared" si="928"/>
        <v>-93801</v>
      </c>
      <c r="H69" s="11">
        <f t="shared" si="928"/>
        <v>0</v>
      </c>
      <c r="I69" s="11">
        <f t="shared" si="928"/>
        <v>0</v>
      </c>
      <c r="J69" s="11">
        <f t="shared" si="928"/>
        <v>-487743</v>
      </c>
      <c r="K69" s="11">
        <f t="shared" si="928"/>
        <v>-50400</v>
      </c>
      <c r="L69" s="11">
        <f t="shared" si="928"/>
        <v>-94929</v>
      </c>
      <c r="M69" s="11">
        <f t="shared" si="928"/>
        <v>-118384</v>
      </c>
      <c r="N69" s="11">
        <f t="shared" si="928"/>
        <v>-229</v>
      </c>
      <c r="O69" s="11">
        <f t="shared" si="928"/>
        <v>-2492</v>
      </c>
      <c r="P69" s="11">
        <f t="shared" si="928"/>
        <v>-4642</v>
      </c>
      <c r="Q69" s="11">
        <f t="shared" si="928"/>
        <v>0</v>
      </c>
      <c r="R69" s="11">
        <f t="shared" si="928"/>
        <v>-3017</v>
      </c>
      <c r="S69" s="11">
        <f t="shared" si="928"/>
        <v>0</v>
      </c>
      <c r="T69" s="11">
        <f t="shared" si="928"/>
        <v>0</v>
      </c>
      <c r="U69" s="11">
        <f t="shared" si="928"/>
        <v>0</v>
      </c>
      <c r="V69" s="9">
        <f t="shared" si="928"/>
        <v>0</v>
      </c>
      <c r="W69" s="11">
        <f t="shared" si="928"/>
        <v>0</v>
      </c>
      <c r="X69" s="11">
        <f t="shared" si="928"/>
        <v>0</v>
      </c>
      <c r="Y69" s="11">
        <f t="shared" si="928"/>
        <v>5359</v>
      </c>
      <c r="Z69" s="11">
        <f t="shared" si="928"/>
        <v>546</v>
      </c>
      <c r="AA69" s="11">
        <f t="shared" si="928"/>
        <v>-3035</v>
      </c>
      <c r="AB69" s="11">
        <f t="shared" ref="AB69" si="929">AB63-AB60</f>
        <v>-7997</v>
      </c>
      <c r="AC69" s="10">
        <f t="shared" si="928"/>
        <v>0</v>
      </c>
      <c r="AD69" s="223">
        <f t="shared" si="928"/>
        <v>-3324875</v>
      </c>
      <c r="AE69" s="11">
        <f t="shared" si="928"/>
        <v>-733</v>
      </c>
      <c r="AF69" s="11">
        <f t="shared" si="928"/>
        <v>1214</v>
      </c>
      <c r="AG69" s="11">
        <f t="shared" si="928"/>
        <v>-133</v>
      </c>
      <c r="AH69" s="11">
        <f t="shared" si="928"/>
        <v>0</v>
      </c>
      <c r="AI69" s="11">
        <f t="shared" si="928"/>
        <v>0</v>
      </c>
      <c r="AJ69" s="11">
        <f t="shared" si="928"/>
        <v>-331</v>
      </c>
      <c r="AK69" s="11">
        <f t="shared" si="928"/>
        <v>10226</v>
      </c>
      <c r="AL69" s="11">
        <f t="shared" si="928"/>
        <v>-47724</v>
      </c>
      <c r="AM69" s="11">
        <f t="shared" si="928"/>
        <v>-153245</v>
      </c>
      <c r="AN69" s="11">
        <f t="shared" si="928"/>
        <v>7235</v>
      </c>
      <c r="AO69" s="9">
        <f t="shared" si="928"/>
        <v>-32356</v>
      </c>
      <c r="AP69" s="11">
        <f t="shared" si="928"/>
        <v>-519</v>
      </c>
      <c r="AQ69" s="10">
        <f t="shared" si="928"/>
        <v>0</v>
      </c>
      <c r="AR69" s="11">
        <f t="shared" si="928"/>
        <v>0</v>
      </c>
      <c r="AS69" s="11">
        <f t="shared" si="928"/>
        <v>0</v>
      </c>
      <c r="AT69" s="11">
        <f t="shared" si="928"/>
        <v>0</v>
      </c>
      <c r="AU69" s="11">
        <f t="shared" si="928"/>
        <v>0</v>
      </c>
      <c r="AV69" s="11">
        <f t="shared" si="928"/>
        <v>0</v>
      </c>
      <c r="AW69" s="11">
        <f t="shared" si="928"/>
        <v>-1252</v>
      </c>
      <c r="AX69" s="11">
        <f t="shared" si="928"/>
        <v>-448</v>
      </c>
      <c r="AY69" s="11">
        <f t="shared" si="928"/>
        <v>0</v>
      </c>
      <c r="AZ69" s="11">
        <f t="shared" si="928"/>
        <v>0</v>
      </c>
      <c r="BA69" s="11">
        <f t="shared" si="928"/>
        <v>0</v>
      </c>
      <c r="BB69" s="10">
        <f t="shared" si="928"/>
        <v>0</v>
      </c>
      <c r="BC69" s="11">
        <f t="shared" si="928"/>
        <v>-97</v>
      </c>
      <c r="BD69" s="11">
        <f t="shared" si="928"/>
        <v>-97</v>
      </c>
      <c r="BE69" s="11">
        <f t="shared" si="928"/>
        <v>0</v>
      </c>
      <c r="BF69" s="11">
        <f t="shared" si="928"/>
        <v>917</v>
      </c>
      <c r="BG69" s="11">
        <f t="shared" si="928"/>
        <v>59</v>
      </c>
      <c r="BH69" s="11">
        <f t="shared" si="928"/>
        <v>-217284</v>
      </c>
      <c r="BI69" s="223">
        <f t="shared" si="928"/>
        <v>-3542159</v>
      </c>
      <c r="BJ69" s="11">
        <f t="shared" si="928"/>
        <v>-17048</v>
      </c>
      <c r="BK69" s="11">
        <f t="shared" si="928"/>
        <v>-3525111</v>
      </c>
      <c r="BL69" s="11">
        <f t="shared" si="928"/>
        <v>7010620</v>
      </c>
      <c r="BM69" s="11">
        <f t="shared" si="928"/>
        <v>1145855</v>
      </c>
    </row>
    <row r="70" spans="1:65" s="180" customFormat="1" ht="15.75" x14ac:dyDescent="0.25">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230"/>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226"/>
      <c r="BJ70" s="5"/>
      <c r="BK70" s="48"/>
    </row>
    <row r="71" spans="1:65" ht="15.75" x14ac:dyDescent="0.25">
      <c r="A71" s="15" t="s">
        <v>141</v>
      </c>
      <c r="B71" s="11" t="s">
        <v>300</v>
      </c>
      <c r="C71" s="120">
        <v>5895304</v>
      </c>
      <c r="D71" s="120">
        <v>1776522</v>
      </c>
      <c r="E71" s="120">
        <v>224044</v>
      </c>
      <c r="F71" s="120">
        <v>679305</v>
      </c>
      <c r="G71" s="120">
        <v>342500</v>
      </c>
      <c r="H71" s="120">
        <v>0</v>
      </c>
      <c r="I71" s="120">
        <v>0</v>
      </c>
      <c r="J71" s="120">
        <v>550715</v>
      </c>
      <c r="K71" s="120">
        <v>61527</v>
      </c>
      <c r="L71" s="120">
        <v>202170</v>
      </c>
      <c r="M71" s="120">
        <v>233105</v>
      </c>
      <c r="N71" s="120">
        <v>1125</v>
      </c>
      <c r="O71" s="120">
        <v>14818</v>
      </c>
      <c r="P71" s="120">
        <v>172511</v>
      </c>
      <c r="Q71" s="120">
        <v>0</v>
      </c>
      <c r="R71" s="120">
        <v>11089</v>
      </c>
      <c r="S71" s="120">
        <v>0</v>
      </c>
      <c r="T71" s="120">
        <v>0</v>
      </c>
      <c r="U71" s="120"/>
      <c r="V71" s="189">
        <v>0</v>
      </c>
      <c r="W71" s="120">
        <v>0</v>
      </c>
      <c r="X71" s="120">
        <v>0</v>
      </c>
      <c r="Y71" s="120">
        <v>2312</v>
      </c>
      <c r="Z71" s="120">
        <v>634</v>
      </c>
      <c r="AA71" s="120">
        <v>509</v>
      </c>
      <c r="AB71" s="120">
        <v>10476</v>
      </c>
      <c r="AC71" s="151">
        <v>0</v>
      </c>
      <c r="AD71" s="229">
        <f t="shared" ref="AD71:AD72" si="930">SUM(C71:AC71)</f>
        <v>10178666</v>
      </c>
      <c r="AE71" s="120">
        <v>10263</v>
      </c>
      <c r="AF71" s="120">
        <v>635</v>
      </c>
      <c r="AG71" s="120">
        <v>6060</v>
      </c>
      <c r="AH71" s="120">
        <v>0</v>
      </c>
      <c r="AI71" s="120">
        <v>0</v>
      </c>
      <c r="AJ71" s="120">
        <v>14414</v>
      </c>
      <c r="AK71" s="120">
        <v>26297</v>
      </c>
      <c r="AL71" s="120">
        <v>56981</v>
      </c>
      <c r="AM71" s="120">
        <v>0</v>
      </c>
      <c r="AN71" s="120">
        <v>342</v>
      </c>
      <c r="AO71" s="189">
        <v>393803</v>
      </c>
      <c r="AP71" s="120">
        <v>15433058</v>
      </c>
      <c r="AQ71" s="151">
        <v>0</v>
      </c>
      <c r="AR71" s="120">
        <v>0</v>
      </c>
      <c r="AS71" s="120"/>
      <c r="AT71" s="120"/>
      <c r="AU71" s="120">
        <v>0</v>
      </c>
      <c r="AV71" s="120"/>
      <c r="AW71" s="120">
        <v>602</v>
      </c>
      <c r="AX71" s="120">
        <v>2643</v>
      </c>
      <c r="AY71" s="120">
        <v>50</v>
      </c>
      <c r="AZ71" s="120">
        <v>0</v>
      </c>
      <c r="BA71" s="120">
        <v>0</v>
      </c>
      <c r="BB71" s="151">
        <v>0</v>
      </c>
      <c r="BC71" s="120">
        <v>17832</v>
      </c>
      <c r="BD71" s="120">
        <v>17832</v>
      </c>
      <c r="BE71" s="120">
        <v>0</v>
      </c>
      <c r="BF71" s="120">
        <v>23472</v>
      </c>
      <c r="BG71" s="189">
        <v>2890</v>
      </c>
      <c r="BH71" s="9">
        <f>SUM(AE71:BG71)</f>
        <v>16007174</v>
      </c>
      <c r="BI71" s="222">
        <f>AD71+BH71</f>
        <v>26185840</v>
      </c>
      <c r="BJ71" s="96">
        <v>0</v>
      </c>
      <c r="BK71" s="9">
        <f t="shared" ref="BK71:BK72" si="931">BI71-BJ71</f>
        <v>26185840</v>
      </c>
      <c r="BL71">
        <v>7</v>
      </c>
      <c r="BM71" s="30"/>
    </row>
    <row r="72" spans="1:65" s="41" customFormat="1" ht="15.75" x14ac:dyDescent="0.25">
      <c r="A72" s="134" t="s">
        <v>141</v>
      </c>
      <c r="B72" s="216" t="s">
        <v>325</v>
      </c>
      <c r="C72" s="10">
        <v>3537180</v>
      </c>
      <c r="D72" s="10">
        <v>958754</v>
      </c>
      <c r="E72" s="10">
        <v>224044</v>
      </c>
      <c r="F72" s="10">
        <v>407582</v>
      </c>
      <c r="G72" s="10">
        <v>205502</v>
      </c>
      <c r="H72" s="10">
        <v>0</v>
      </c>
      <c r="I72" s="10">
        <v>0</v>
      </c>
      <c r="J72" s="10">
        <v>330429</v>
      </c>
      <c r="K72" s="10">
        <v>36916</v>
      </c>
      <c r="L72" s="10">
        <v>121304</v>
      </c>
      <c r="M72" s="10">
        <v>139859</v>
      </c>
      <c r="N72" s="10">
        <v>676</v>
      </c>
      <c r="O72" s="10">
        <v>8888</v>
      </c>
      <c r="P72" s="10">
        <v>103508</v>
      </c>
      <c r="Q72" s="10">
        <v>0</v>
      </c>
      <c r="R72" s="10">
        <v>6654</v>
      </c>
      <c r="S72" s="10">
        <v>0</v>
      </c>
      <c r="T72" s="10">
        <v>0</v>
      </c>
      <c r="U72" s="10"/>
      <c r="V72" s="10">
        <v>0</v>
      </c>
      <c r="W72" s="10">
        <v>0</v>
      </c>
      <c r="X72" s="10">
        <v>0</v>
      </c>
      <c r="Y72" s="10">
        <v>1387</v>
      </c>
      <c r="Z72" s="10">
        <v>382</v>
      </c>
      <c r="AA72" s="10">
        <v>307</v>
      </c>
      <c r="AB72" s="10">
        <v>6449</v>
      </c>
      <c r="AC72" s="10">
        <v>0</v>
      </c>
      <c r="AD72" s="229">
        <f t="shared" si="930"/>
        <v>6089821</v>
      </c>
      <c r="AE72" s="10">
        <v>6157</v>
      </c>
      <c r="AF72" s="10">
        <v>381</v>
      </c>
      <c r="AG72" s="10">
        <v>3637</v>
      </c>
      <c r="AH72" s="10">
        <v>0</v>
      </c>
      <c r="AI72" s="10">
        <v>0</v>
      </c>
      <c r="AJ72" s="10">
        <v>8648</v>
      </c>
      <c r="AK72" s="10">
        <v>15779</v>
      </c>
      <c r="AL72" s="10">
        <v>34188</v>
      </c>
      <c r="AM72" s="10" t="s">
        <v>320</v>
      </c>
      <c r="AN72" s="10">
        <v>204</v>
      </c>
      <c r="AO72" s="10">
        <v>236281</v>
      </c>
      <c r="AP72" s="10">
        <v>11965836</v>
      </c>
      <c r="AQ72" s="10">
        <v>0</v>
      </c>
      <c r="AR72" s="10">
        <v>0</v>
      </c>
      <c r="AS72" s="10"/>
      <c r="AT72" s="10"/>
      <c r="AU72" s="10">
        <v>0</v>
      </c>
      <c r="AV72" s="10"/>
      <c r="AW72" s="10">
        <v>360</v>
      </c>
      <c r="AX72" s="10">
        <v>1584</v>
      </c>
      <c r="AY72" s="10">
        <v>30</v>
      </c>
      <c r="AZ72" s="10">
        <v>0</v>
      </c>
      <c r="BA72" s="10">
        <v>0</v>
      </c>
      <c r="BB72" s="10">
        <v>0</v>
      </c>
      <c r="BC72" s="10">
        <v>10701</v>
      </c>
      <c r="BD72" s="10">
        <v>10701</v>
      </c>
      <c r="BE72" s="10">
        <v>0</v>
      </c>
      <c r="BF72" s="10">
        <v>14084</v>
      </c>
      <c r="BG72" s="10">
        <v>1572</v>
      </c>
      <c r="BH72" s="10">
        <f>SUM(AE72:BG72)</f>
        <v>12310143</v>
      </c>
      <c r="BI72" s="222">
        <f>AD72+BH72</f>
        <v>18399964</v>
      </c>
      <c r="BJ72" s="10">
        <v>0</v>
      </c>
      <c r="BK72" s="10">
        <f t="shared" si="931"/>
        <v>18399964</v>
      </c>
      <c r="BM72" s="217"/>
    </row>
    <row r="73" spans="1:65" ht="15.75" x14ac:dyDescent="0.25">
      <c r="A73" s="128"/>
      <c r="B73" s="12" t="s">
        <v>326</v>
      </c>
      <c r="C73" s="9">
        <f>IF('Upto Month COPPY'!$H$4="",0,'Upto Month COPPY'!$H$4)</f>
        <v>3359674</v>
      </c>
      <c r="D73" s="9">
        <f>IF('Upto Month COPPY'!$H$5="",0,'Upto Month COPPY'!$H$5)</f>
        <v>596852</v>
      </c>
      <c r="E73" s="9">
        <f>IF('Upto Month COPPY'!$H$6="",0,'Upto Month COPPY'!$H$6)</f>
        <v>212009</v>
      </c>
      <c r="F73" s="9">
        <f>IF('Upto Month COPPY'!$H$7="",0,'Upto Month COPPY'!$H$7)</f>
        <v>371847</v>
      </c>
      <c r="G73" s="9">
        <f>IF('Upto Month COPPY'!$H$8="",0,'Upto Month COPPY'!$H$8)</f>
        <v>180878</v>
      </c>
      <c r="H73" s="9">
        <f>IF('Upto Month COPPY'!$H$9="",0,'Upto Month COPPY'!$H$9)</f>
        <v>0</v>
      </c>
      <c r="I73" s="9">
        <f>IF('Upto Month COPPY'!$H$10="",0,'Upto Month COPPY'!$H$10)</f>
        <v>0</v>
      </c>
      <c r="J73" s="9">
        <f>IF('Upto Month COPPY'!$H$11="",0,'Upto Month COPPY'!$H$11)</f>
        <v>307837</v>
      </c>
      <c r="K73" s="9">
        <f>IF('Upto Month COPPY'!$H$12="",0,'Upto Month COPPY'!$H$12)</f>
        <v>17715</v>
      </c>
      <c r="L73" s="9">
        <f>IF('Upto Month COPPY'!$H$13="",0,'Upto Month COPPY'!$H$13)</f>
        <v>131151</v>
      </c>
      <c r="M73" s="9">
        <f>IF('Upto Month COPPY'!$H$14="",0,'Upto Month COPPY'!$H$14)</f>
        <v>141704</v>
      </c>
      <c r="N73" s="9">
        <f>IF('Upto Month COPPY'!$H$15="",0,'Upto Month COPPY'!$H$15)</f>
        <v>57</v>
      </c>
      <c r="O73" s="9">
        <f>IF('Upto Month COPPY'!$H$16="",0,'Upto Month COPPY'!$H$16)</f>
        <v>7853</v>
      </c>
      <c r="P73" s="9">
        <f>IF('Upto Month COPPY'!$H$17="",0,'Upto Month COPPY'!$H$17)</f>
        <v>94710</v>
      </c>
      <c r="Q73" s="9">
        <f>IF('Upto Month COPPY'!$H$18="",0,'Upto Month COPPY'!$H$18)</f>
        <v>0</v>
      </c>
      <c r="R73" s="9">
        <f>IF('Upto Month COPPY'!$H$21="",0,'Upto Month COPPY'!$H$21)</f>
        <v>4357</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1062</v>
      </c>
      <c r="Z73" s="9">
        <f>IF('Upto Month COPPY'!$H$43="",0,'Upto Month COPPY'!$H$43)</f>
        <v>222</v>
      </c>
      <c r="AA73" s="9">
        <f>IF('Upto Month COPPY'!$H$44="",0,'Upto Month COPPY'!$H$44)</f>
        <v>365</v>
      </c>
      <c r="AB73" s="9">
        <f>IF('Upto Month COPPY'!$H$48="",0,'Upto Month COPPY'!$H$48)</f>
        <v>0</v>
      </c>
      <c r="AC73" s="10">
        <f>IF('Upto Month COPPY'!$H$51="",0,'Upto Month COPPY'!$H$51)</f>
        <v>0</v>
      </c>
      <c r="AD73" s="229">
        <f t="shared" ref="AD73:AD74" si="932">SUM(C73:AC73)</f>
        <v>5428293</v>
      </c>
      <c r="AE73" s="9">
        <f>IF('Upto Month COPPY'!$H$19="",0,'Upto Month COPPY'!$H$19)</f>
        <v>6865</v>
      </c>
      <c r="AF73" s="9">
        <f>IF('Upto Month COPPY'!$H$20="",0,'Upto Month COPPY'!$H$20)</f>
        <v>1060</v>
      </c>
      <c r="AG73" s="9">
        <f>IF('Upto Month COPPY'!$H$22="",0,'Upto Month COPPY'!$H$22)</f>
        <v>7611</v>
      </c>
      <c r="AH73" s="9">
        <f>IF('Upto Month COPPY'!$H$23="",0,'Upto Month COPPY'!$H$23)</f>
        <v>0</v>
      </c>
      <c r="AI73" s="9">
        <f>IF('Upto Month COPPY'!$H$24="",0,'Upto Month COPPY'!$H$24)</f>
        <v>0</v>
      </c>
      <c r="AJ73" s="9">
        <f>IF('Upto Month COPPY'!$H$25="",0,'Upto Month COPPY'!$H$25)</f>
        <v>9723</v>
      </c>
      <c r="AK73" s="9">
        <f>IF('Upto Month COPPY'!$H$28="",0,'Upto Month COPPY'!$H$28)</f>
        <v>12335</v>
      </c>
      <c r="AL73" s="9">
        <f>IF('Upto Month COPPY'!$H$29="",0,'Upto Month COPPY'!$H$29)</f>
        <v>59991</v>
      </c>
      <c r="AM73" s="9">
        <f>IF('Upto Month COPPY'!$H$31="",0,'Upto Month COPPY'!$H$31)</f>
        <v>0</v>
      </c>
      <c r="AN73" s="9">
        <f>IF('Upto Month COPPY'!$H$32="",0,'Upto Month COPPY'!$H$32)</f>
        <v>0</v>
      </c>
      <c r="AO73" s="9">
        <f>IF('Upto Month COPPY'!$H$33="",0,'Upto Month COPPY'!$H$33)</f>
        <v>276452</v>
      </c>
      <c r="AP73" s="9">
        <f>IF('Upto Month COPPY'!$H$34="",0,'Upto Month COPPY'!$H$34)</f>
        <v>11618844</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154</v>
      </c>
      <c r="AX73" s="9">
        <f>IF('Upto Month COPPY'!$H$46="",0,'Upto Month COPPY'!$H$46)</f>
        <v>790</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10635</v>
      </c>
      <c r="BD73" s="9">
        <f>IF('Upto Month COPPY'!$H$54="",0,'Upto Month COPPY'!$H$54)</f>
        <v>10635</v>
      </c>
      <c r="BE73" s="9">
        <f>IF('Upto Month COPPY'!$H$55="",0,'Upto Month COPPY'!$H$55)</f>
        <v>0</v>
      </c>
      <c r="BF73" s="9">
        <f>IF('Upto Month COPPY'!$H$56="",0,'Upto Month COPPY'!$H$56)</f>
        <v>12100</v>
      </c>
      <c r="BG73" s="9">
        <f>IF('Upto Month COPPY'!$H$58="",0,'Upto Month COPPY'!$H$58)</f>
        <v>3167</v>
      </c>
      <c r="BH73" s="9">
        <f>SUM(AE73:BG73)</f>
        <v>12030362</v>
      </c>
      <c r="BI73" s="222">
        <f>AD73+BH73</f>
        <v>17458655</v>
      </c>
      <c r="BJ73" s="9">
        <f>IF('Upto Month COPPY'!$H$60="",0,'Upto Month COPPY'!$H$60)</f>
        <v>42</v>
      </c>
      <c r="BK73" s="49">
        <f t="shared" ref="BK73:BK74" si="933">BI73-BJ73</f>
        <v>17458613</v>
      </c>
      <c r="BL73">
        <f>'Upto Month COPPY'!$H$61</f>
        <v>17458636</v>
      </c>
      <c r="BM73" s="30">
        <f t="shared" ref="BM73:BM77" si="934">BK73-AD73</f>
        <v>12030320</v>
      </c>
    </row>
    <row r="74" spans="1:65" ht="15.75" x14ac:dyDescent="0.25">
      <c r="A74" s="128"/>
      <c r="B74" s="182" t="s">
        <v>327</v>
      </c>
      <c r="C74" s="9">
        <f>IF('Upto Month Current'!$H$4="",0,'Upto Month Current'!$H$4)</f>
        <v>3319194</v>
      </c>
      <c r="D74" s="9">
        <f>IF('Upto Month Current'!$H$5="",0,'Upto Month Current'!$H$5)</f>
        <v>872564</v>
      </c>
      <c r="E74" s="9">
        <f>IF('Upto Month Current'!$H$6="",0,'Upto Month Current'!$H$6)</f>
        <v>210433</v>
      </c>
      <c r="F74" s="9">
        <f>IF('Upto Month Current'!$H$7="",0,'Upto Month Current'!$H$7)</f>
        <v>396580</v>
      </c>
      <c r="G74" s="9">
        <f>IF('Upto Month Current'!$H$8="",0,'Upto Month Current'!$H$8)</f>
        <v>192431</v>
      </c>
      <c r="H74" s="9">
        <f>IF('Upto Month Current'!$H$9="",0,'Upto Month Current'!$H$9)</f>
        <v>0</v>
      </c>
      <c r="I74" s="9">
        <f>IF('Upto Month Current'!$H$10="",0,'Upto Month Current'!$H$10)</f>
        <v>0</v>
      </c>
      <c r="J74" s="9">
        <f>IF('Upto Month Current'!$H$11="",0,'Upto Month Current'!$H$11)</f>
        <v>376764</v>
      </c>
      <c r="K74" s="9">
        <f>IF('Upto Month Current'!$H$12="",0,'Upto Month Current'!$H$12)</f>
        <v>5859</v>
      </c>
      <c r="L74" s="9">
        <f>IF('Upto Month Current'!$H$13="",0,'Upto Month Current'!$H$13)</f>
        <v>91239</v>
      </c>
      <c r="M74" s="9">
        <f>IF('Upto Month Current'!$H$14="",0,'Upto Month Current'!$H$14)</f>
        <v>153389</v>
      </c>
      <c r="N74" s="9">
        <f>IF('Upto Month Current'!$H$15="",0,'Upto Month Current'!$H$15)</f>
        <v>243</v>
      </c>
      <c r="O74" s="9">
        <f>IF('Upto Month Current'!$H$16="",0,'Upto Month Current'!$H$16)</f>
        <v>8173</v>
      </c>
      <c r="P74" s="9">
        <f>IF('Upto Month Current'!$H$17="",0,'Upto Month Current'!$H$17)</f>
        <v>136280</v>
      </c>
      <c r="Q74" s="9">
        <f>IF('Upto Month Current'!$H$18="",0,'Upto Month Current'!$H$18)</f>
        <v>0</v>
      </c>
      <c r="R74" s="9">
        <f>IF('Upto Month Current'!$H$21="",0,'Upto Month Current'!$H$21)</f>
        <v>7120</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23634</v>
      </c>
      <c r="Z74" s="9">
        <f>IF('Upto Month Current'!$H$43="",0,'Upto Month Current'!$H$43)</f>
        <v>3102</v>
      </c>
      <c r="AA74" s="9">
        <f>IF('Upto Month Current'!$H$44="",0,'Upto Month Current'!$H$44)</f>
        <v>5616</v>
      </c>
      <c r="AB74" s="9">
        <f>IF('Upto Month Current'!$H$48="",0,'Upto Month Current'!$H$48)</f>
        <v>30</v>
      </c>
      <c r="AC74" s="10">
        <f>IF('Upto Month Current'!$H$51="",0,'Upto Month Current'!$H$51)</f>
        <v>0</v>
      </c>
      <c r="AD74" s="229">
        <f t="shared" si="932"/>
        <v>5802651</v>
      </c>
      <c r="AE74" s="9">
        <f>IF('Upto Month Current'!$H$19="",0,'Upto Month Current'!$H$19)</f>
        <v>8612</v>
      </c>
      <c r="AF74" s="9">
        <f>IF('Upto Month Current'!$H$20="",0,'Upto Month Current'!$H$20)</f>
        <v>1235</v>
      </c>
      <c r="AG74" s="9">
        <f>IF('Upto Month Current'!$H$22="",0,'Upto Month Current'!$H$22)</f>
        <v>5981</v>
      </c>
      <c r="AH74" s="9">
        <f>IF('Upto Month Current'!$H$23="",0,'Upto Month Current'!$H$23)</f>
        <v>0</v>
      </c>
      <c r="AI74" s="9">
        <f>IF('Upto Month Current'!$H$24="",0,'Upto Month Current'!$H$24)</f>
        <v>0</v>
      </c>
      <c r="AJ74" s="9">
        <f>IF('Upto Month Current'!$H$25="",0,'Upto Month Current'!$H$25)</f>
        <v>9523</v>
      </c>
      <c r="AK74" s="9">
        <f>IF('Upto Month Current'!$H$28="",0,'Upto Month Current'!$H$28)</f>
        <v>10734</v>
      </c>
      <c r="AL74" s="9">
        <f>IF('Upto Month Current'!$H$29="",0,'Upto Month Current'!$H$29)</f>
        <v>13570</v>
      </c>
      <c r="AM74" s="9">
        <f>IF('Upto Month Current'!$H$31="",0,'Upto Month Current'!$H$31)</f>
        <v>0</v>
      </c>
      <c r="AN74" s="9">
        <f>IF('Upto Month Current'!$H$32="",0,'Upto Month Current'!$H$32)</f>
        <v>0</v>
      </c>
      <c r="AO74" s="9">
        <f>IF('Upto Month Current'!$H$33="",0,'Upto Month Current'!$H$33)</f>
        <v>230412</v>
      </c>
      <c r="AP74" s="9">
        <f>IF('Upto Month Current'!$H$34="",0,'Upto Month Current'!$H$34)</f>
        <v>11520530</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72</v>
      </c>
      <c r="AX74" s="9">
        <f>IF('Upto Month Current'!$H$46="",0,'Upto Month Current'!$H$46)</f>
        <v>2302</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12916</v>
      </c>
      <c r="BD74" s="9">
        <f>IF('Upto Month Current'!$H$54="",0,'Upto Month Current'!$H$54)</f>
        <v>12916</v>
      </c>
      <c r="BE74" s="9">
        <f>IF('Upto Month Current'!$H$55="",0,'Upto Month Current'!$H$55)</f>
        <v>0</v>
      </c>
      <c r="BF74" s="9">
        <f>IF('Upto Month Current'!$H$56="",0,'Upto Month Current'!$H$56)</f>
        <v>7066</v>
      </c>
      <c r="BG74" s="9">
        <f>IF('Upto Month Current'!$H$58="",0,'Upto Month Current'!$H$58)</f>
        <v>5829</v>
      </c>
      <c r="BH74" s="9">
        <f>SUM(AE74:BG74)</f>
        <v>11841698</v>
      </c>
      <c r="BI74" s="222">
        <f>AD74+BH74</f>
        <v>17644349</v>
      </c>
      <c r="BJ74" s="9">
        <f>IF('Upto Month Current'!$H$60="",0,'Upto Month Current'!$H$60)</f>
        <v>176</v>
      </c>
      <c r="BK74" s="49">
        <f t="shared" si="933"/>
        <v>17644173</v>
      </c>
      <c r="BL74">
        <f>'Upto Month Current'!$H$61</f>
        <v>17644172</v>
      </c>
      <c r="BM74" s="30">
        <f t="shared" si="934"/>
        <v>11841522</v>
      </c>
    </row>
    <row r="75" spans="1:65" ht="15.75" x14ac:dyDescent="0.25">
      <c r="A75" s="128"/>
      <c r="B75" s="5" t="s">
        <v>132</v>
      </c>
      <c r="C75" s="11">
        <f>C74-C72</f>
        <v>-217986</v>
      </c>
      <c r="D75" s="11">
        <f t="shared" ref="D75" si="935">D74-D72</f>
        <v>-86190</v>
      </c>
      <c r="E75" s="11">
        <f t="shared" ref="E75" si="936">E74-E72</f>
        <v>-13611</v>
      </c>
      <c r="F75" s="11">
        <f t="shared" ref="F75" si="937">F74-F72</f>
        <v>-11002</v>
      </c>
      <c r="G75" s="11">
        <f t="shared" ref="G75" si="938">G74-G72</f>
        <v>-13071</v>
      </c>
      <c r="H75" s="11">
        <f t="shared" ref="H75" si="939">H74-H72</f>
        <v>0</v>
      </c>
      <c r="I75" s="11">
        <f t="shared" ref="I75" si="940">I74-I72</f>
        <v>0</v>
      </c>
      <c r="J75" s="11">
        <f t="shared" ref="J75" si="941">J74-J72</f>
        <v>46335</v>
      </c>
      <c r="K75" s="11">
        <f t="shared" ref="K75" si="942">K74-K72</f>
        <v>-31057</v>
      </c>
      <c r="L75" s="11">
        <f t="shared" ref="L75" si="943">L74-L72</f>
        <v>-30065</v>
      </c>
      <c r="M75" s="11">
        <f t="shared" ref="M75" si="944">M74-M72</f>
        <v>13530</v>
      </c>
      <c r="N75" s="11">
        <f t="shared" ref="N75" si="945">N74-N72</f>
        <v>-433</v>
      </c>
      <c r="O75" s="11">
        <f t="shared" ref="O75" si="946">O74-O72</f>
        <v>-715</v>
      </c>
      <c r="P75" s="11">
        <f t="shared" ref="P75" si="947">P74-P72</f>
        <v>32772</v>
      </c>
      <c r="Q75" s="11">
        <f t="shared" ref="Q75" si="948">Q74-Q72</f>
        <v>0</v>
      </c>
      <c r="R75" s="11">
        <f t="shared" ref="R75" si="949">R74-R72</f>
        <v>466</v>
      </c>
      <c r="S75" s="11">
        <f t="shared" ref="S75" si="950">S74-S72</f>
        <v>0</v>
      </c>
      <c r="T75" s="11">
        <f t="shared" ref="T75:U75" si="951">T74-T72</f>
        <v>0</v>
      </c>
      <c r="U75" s="11">
        <f t="shared" si="951"/>
        <v>0</v>
      </c>
      <c r="V75" s="9">
        <f t="shared" ref="V75" si="952">V74-V72</f>
        <v>0</v>
      </c>
      <c r="W75" s="11">
        <f t="shared" ref="W75" si="953">W74-W72</f>
        <v>0</v>
      </c>
      <c r="X75" s="11">
        <f t="shared" ref="X75" si="954">X74-X72</f>
        <v>0</v>
      </c>
      <c r="Y75" s="11">
        <f t="shared" ref="Y75" si="955">Y74-Y72</f>
        <v>22247</v>
      </c>
      <c r="Z75" s="11">
        <f t="shared" ref="Z75" si="956">Z74-Z72</f>
        <v>2720</v>
      </c>
      <c r="AA75" s="11">
        <f t="shared" ref="AA75:AD75" si="957">AA74-AA72</f>
        <v>5309</v>
      </c>
      <c r="AB75" s="11">
        <f t="shared" ref="AB75" si="958">AB74-AB72</f>
        <v>-6419</v>
      </c>
      <c r="AC75" s="10">
        <f t="shared" si="957"/>
        <v>0</v>
      </c>
      <c r="AD75" s="223">
        <f t="shared" si="957"/>
        <v>-287170</v>
      </c>
      <c r="AE75" s="11">
        <f t="shared" ref="AE75" si="959">AE74-AE72</f>
        <v>2455</v>
      </c>
      <c r="AF75" s="11">
        <f t="shared" ref="AF75" si="960">AF74-AF72</f>
        <v>854</v>
      </c>
      <c r="AG75" s="11">
        <f t="shared" ref="AG75" si="961">AG74-AG72</f>
        <v>2344</v>
      </c>
      <c r="AH75" s="11">
        <f t="shared" ref="AH75" si="962">AH74-AH72</f>
        <v>0</v>
      </c>
      <c r="AI75" s="11">
        <f t="shared" ref="AI75" si="963">AI74-AI72</f>
        <v>0</v>
      </c>
      <c r="AJ75" s="11">
        <f t="shared" ref="AJ75" si="964">AJ74-AJ72</f>
        <v>875</v>
      </c>
      <c r="AK75" s="11">
        <f t="shared" ref="AK75" si="965">AK74-AK72</f>
        <v>-5045</v>
      </c>
      <c r="AL75" s="11">
        <f t="shared" ref="AL75" si="966">AL74-AL72</f>
        <v>-20618</v>
      </c>
      <c r="AM75" s="11" t="e">
        <f t="shared" ref="AM75" si="967">AM74-AM72</f>
        <v>#VALUE!</v>
      </c>
      <c r="AN75" s="11">
        <f t="shared" ref="AN75" si="968">AN74-AN72</f>
        <v>-204</v>
      </c>
      <c r="AO75" s="9">
        <f t="shared" ref="AO75" si="969">AO74-AO72</f>
        <v>-5869</v>
      </c>
      <c r="AP75" s="11">
        <f t="shared" ref="AP75" si="970">AP74-AP72</f>
        <v>-445306</v>
      </c>
      <c r="AQ75" s="10">
        <f t="shared" ref="AQ75" si="971">AQ74-AQ72</f>
        <v>0</v>
      </c>
      <c r="AR75" s="11">
        <f t="shared" ref="AR75" si="972">AR74-AR72</f>
        <v>0</v>
      </c>
      <c r="AS75" s="11">
        <f t="shared" ref="AS75" si="973">AS74-AS72</f>
        <v>0</v>
      </c>
      <c r="AT75" s="11">
        <f t="shared" ref="AT75" si="974">AT74-AT72</f>
        <v>0</v>
      </c>
      <c r="AU75" s="11">
        <f t="shared" ref="AU75" si="975">AU74-AU72</f>
        <v>0</v>
      </c>
      <c r="AV75" s="11">
        <f t="shared" ref="AV75" si="976">AV74-AV72</f>
        <v>0</v>
      </c>
      <c r="AW75" s="11">
        <f t="shared" ref="AW75" si="977">AW74-AW72</f>
        <v>-288</v>
      </c>
      <c r="AX75" s="11">
        <f t="shared" ref="AX75" si="978">AX74-AX72</f>
        <v>718</v>
      </c>
      <c r="AY75" s="11">
        <f t="shared" ref="AY75" si="979">AY74-AY72</f>
        <v>-30</v>
      </c>
      <c r="AZ75" s="11">
        <f t="shared" ref="AZ75" si="980">AZ74-AZ72</f>
        <v>0</v>
      </c>
      <c r="BA75" s="11">
        <f t="shared" ref="BA75" si="981">BA74-BA72</f>
        <v>0</v>
      </c>
      <c r="BB75" s="10">
        <f t="shared" ref="BB75" si="982">BB74-BB72</f>
        <v>0</v>
      </c>
      <c r="BC75" s="11">
        <f t="shared" ref="BC75" si="983">BC74-BC72</f>
        <v>2215</v>
      </c>
      <c r="BD75" s="11">
        <f t="shared" ref="BD75" si="984">BD74-BD72</f>
        <v>2215</v>
      </c>
      <c r="BE75" s="11">
        <f t="shared" ref="BE75" si="985">BE74-BE72</f>
        <v>0</v>
      </c>
      <c r="BF75" s="11">
        <f t="shared" ref="BF75" si="986">BF74-BF72</f>
        <v>-7018</v>
      </c>
      <c r="BG75" s="11">
        <f t="shared" ref="BG75:BH75" si="987">BG74-BG72</f>
        <v>4257</v>
      </c>
      <c r="BH75" s="9">
        <f t="shared" si="987"/>
        <v>-468445</v>
      </c>
      <c r="BI75" s="223">
        <f t="shared" ref="BI75" si="988">BI74-BI72</f>
        <v>-755615</v>
      </c>
      <c r="BJ75" s="11">
        <f t="shared" ref="BJ75:BK75" si="989">BJ74-BJ72</f>
        <v>176</v>
      </c>
      <c r="BK75" s="49">
        <f t="shared" si="989"/>
        <v>-755791</v>
      </c>
      <c r="BM75" s="30">
        <f t="shared" si="934"/>
        <v>-468621</v>
      </c>
    </row>
    <row r="76" spans="1:65" ht="15.75" x14ac:dyDescent="0.25">
      <c r="A76" s="128"/>
      <c r="B76" s="5" t="s">
        <v>133</v>
      </c>
      <c r="C76" s="13">
        <f>C75/C72</f>
        <v>-6.1627058843485488E-2</v>
      </c>
      <c r="D76" s="13">
        <f t="shared" ref="D76" si="990">D75/D72</f>
        <v>-8.9897930021673969E-2</v>
      </c>
      <c r="E76" s="13">
        <f t="shared" ref="E76" si="991">E75/E72</f>
        <v>-6.0751459534734251E-2</v>
      </c>
      <c r="F76" s="13">
        <f t="shared" ref="F76" si="992">F75/F72</f>
        <v>-2.6993341217227455E-2</v>
      </c>
      <c r="G76" s="13">
        <f t="shared" ref="G76" si="993">G75/G72</f>
        <v>-6.3605220387149511E-2</v>
      </c>
      <c r="H76" s="13" t="e">
        <f t="shared" ref="H76" si="994">H75/H72</f>
        <v>#DIV/0!</v>
      </c>
      <c r="I76" s="13" t="e">
        <f t="shared" ref="I76" si="995">I75/I72</f>
        <v>#DIV/0!</v>
      </c>
      <c r="J76" s="13">
        <f t="shared" ref="J76" si="996">J75/J72</f>
        <v>0.14022679607419444</v>
      </c>
      <c r="K76" s="13">
        <f t="shared" ref="K76" si="997">K75/K72</f>
        <v>-0.84128833026330052</v>
      </c>
      <c r="L76" s="13">
        <f t="shared" ref="L76" si="998">L75/L72</f>
        <v>-0.24784838092725714</v>
      </c>
      <c r="M76" s="13">
        <f t="shared" ref="M76" si="999">M75/M72</f>
        <v>9.6740288433350738E-2</v>
      </c>
      <c r="N76" s="13">
        <f t="shared" ref="N76" si="1000">N75/N72</f>
        <v>-0.64053254437869822</v>
      </c>
      <c r="O76" s="13">
        <f t="shared" ref="O76" si="1001">O75/O72</f>
        <v>-8.0445544554455448E-2</v>
      </c>
      <c r="P76" s="13">
        <f t="shared" ref="P76" si="1002">P75/P72</f>
        <v>0.316613208640878</v>
      </c>
      <c r="Q76" s="13" t="e">
        <f t="shared" ref="Q76" si="1003">Q75/Q72</f>
        <v>#DIV/0!</v>
      </c>
      <c r="R76" s="13">
        <f t="shared" ref="R76" si="1004">R75/R72</f>
        <v>7.0033062819356784E-2</v>
      </c>
      <c r="S76" s="13" t="e">
        <f t="shared" ref="S76" si="1005">S75/S72</f>
        <v>#DIV/0!</v>
      </c>
      <c r="T76" s="13" t="e">
        <f t="shared" ref="T76:U76" si="1006">T75/T72</f>
        <v>#DIV/0!</v>
      </c>
      <c r="U76" s="13" t="e">
        <f t="shared" si="1006"/>
        <v>#DIV/0!</v>
      </c>
      <c r="V76" s="162" t="e">
        <f t="shared" ref="V76" si="1007">V75/V72</f>
        <v>#DIV/0!</v>
      </c>
      <c r="W76" s="13" t="e">
        <f t="shared" ref="W76" si="1008">W75/W72</f>
        <v>#DIV/0!</v>
      </c>
      <c r="X76" s="13" t="e">
        <f t="shared" ref="X76" si="1009">X75/X72</f>
        <v>#DIV/0!</v>
      </c>
      <c r="Y76" s="13">
        <f t="shared" ref="Y76" si="1010">Y75/Y72</f>
        <v>16.039653929343906</v>
      </c>
      <c r="Z76" s="13">
        <f t="shared" ref="Z76" si="1011">Z75/Z72</f>
        <v>7.1204188481675397</v>
      </c>
      <c r="AA76" s="13">
        <f t="shared" ref="AA76:AD76" si="1012">AA75/AA72</f>
        <v>17.293159609120522</v>
      </c>
      <c r="AB76" s="13">
        <f t="shared" ref="AB76" si="1013">AB75/AB72</f>
        <v>-0.9953481159869747</v>
      </c>
      <c r="AC76" s="14" t="e">
        <f t="shared" si="1012"/>
        <v>#DIV/0!</v>
      </c>
      <c r="AD76" s="224">
        <f t="shared" si="1012"/>
        <v>-4.7155737418226248E-2</v>
      </c>
      <c r="AE76" s="13">
        <f t="shared" ref="AE76" si="1014">AE75/AE72</f>
        <v>0.39873314926100373</v>
      </c>
      <c r="AF76" s="13">
        <f t="shared" ref="AF76" si="1015">AF75/AF72</f>
        <v>2.241469816272966</v>
      </c>
      <c r="AG76" s="13">
        <f t="shared" ref="AG76" si="1016">AG75/AG72</f>
        <v>0.64448721473742099</v>
      </c>
      <c r="AH76" s="13" t="e">
        <f t="shared" ref="AH76" si="1017">AH75/AH72</f>
        <v>#DIV/0!</v>
      </c>
      <c r="AI76" s="13" t="e">
        <f t="shared" ref="AI76" si="1018">AI75/AI72</f>
        <v>#DIV/0!</v>
      </c>
      <c r="AJ76" s="13">
        <f t="shared" ref="AJ76" si="1019">AJ75/AJ72</f>
        <v>0.10117946345975948</v>
      </c>
      <c r="AK76" s="13">
        <f t="shared" ref="AK76" si="1020">AK75/AK72</f>
        <v>-0.31972875340642626</v>
      </c>
      <c r="AL76" s="13">
        <f t="shared" ref="AL76" si="1021">AL75/AL72</f>
        <v>-0.60307710307710305</v>
      </c>
      <c r="AM76" s="13" t="e">
        <f t="shared" ref="AM76" si="1022">AM75/AM72</f>
        <v>#VALUE!</v>
      </c>
      <c r="AN76" s="13">
        <f t="shared" ref="AN76" si="1023">AN75/AN72</f>
        <v>-1</v>
      </c>
      <c r="AO76" s="162">
        <f t="shared" ref="AO76" si="1024">AO75/AO72</f>
        <v>-2.4839068735954224E-2</v>
      </c>
      <c r="AP76" s="13">
        <f t="shared" ref="AP76" si="1025">AP75/AP72</f>
        <v>-3.7214783822877066E-2</v>
      </c>
      <c r="AQ76" s="14" t="e">
        <f t="shared" ref="AQ76" si="1026">AQ75/AQ72</f>
        <v>#DIV/0!</v>
      </c>
      <c r="AR76" s="13" t="e">
        <f t="shared" ref="AR76" si="1027">AR75/AR72</f>
        <v>#DIV/0!</v>
      </c>
      <c r="AS76" s="13" t="e">
        <f t="shared" ref="AS76" si="1028">AS75/AS72</f>
        <v>#DIV/0!</v>
      </c>
      <c r="AT76" s="13" t="e">
        <f t="shared" ref="AT76" si="1029">AT75/AT72</f>
        <v>#DIV/0!</v>
      </c>
      <c r="AU76" s="13" t="e">
        <f t="shared" ref="AU76" si="1030">AU75/AU72</f>
        <v>#DIV/0!</v>
      </c>
      <c r="AV76" s="13" t="e">
        <f t="shared" ref="AV76" si="1031">AV75/AV72</f>
        <v>#DIV/0!</v>
      </c>
      <c r="AW76" s="13">
        <f t="shared" ref="AW76" si="1032">AW75/AW72</f>
        <v>-0.8</v>
      </c>
      <c r="AX76" s="13">
        <f t="shared" ref="AX76" si="1033">AX75/AX72</f>
        <v>0.45328282828282829</v>
      </c>
      <c r="AY76" s="13">
        <f t="shared" ref="AY76" si="1034">AY75/AY72</f>
        <v>-1</v>
      </c>
      <c r="AZ76" s="13" t="e">
        <f t="shared" ref="AZ76" si="1035">AZ75/AZ72</f>
        <v>#DIV/0!</v>
      </c>
      <c r="BA76" s="13" t="e">
        <f t="shared" ref="BA76" si="1036">BA75/BA72</f>
        <v>#DIV/0!</v>
      </c>
      <c r="BB76" s="14" t="e">
        <f t="shared" ref="BB76" si="1037">BB75/BB72</f>
        <v>#DIV/0!</v>
      </c>
      <c r="BC76" s="13">
        <f t="shared" ref="BC76" si="1038">BC75/BC72</f>
        <v>0.2069900009344921</v>
      </c>
      <c r="BD76" s="13">
        <f t="shared" ref="BD76" si="1039">BD75/BD72</f>
        <v>0.2069900009344921</v>
      </c>
      <c r="BE76" s="13" t="e">
        <f t="shared" ref="BE76" si="1040">BE75/BE72</f>
        <v>#DIV/0!</v>
      </c>
      <c r="BF76" s="13">
        <f t="shared" ref="BF76" si="1041">BF75/BF72</f>
        <v>-0.49829593865379151</v>
      </c>
      <c r="BG76" s="13">
        <f t="shared" ref="BG76:BH76" si="1042">BG75/BG72</f>
        <v>2.7080152671755724</v>
      </c>
      <c r="BH76" s="162">
        <f t="shared" si="1042"/>
        <v>-3.8053579068902776E-2</v>
      </c>
      <c r="BI76" s="224">
        <f t="shared" ref="BI76" si="1043">BI75/BI72</f>
        <v>-4.106611295543839E-2</v>
      </c>
      <c r="BJ76" s="13" t="e">
        <f t="shared" ref="BJ76:BK76" si="1044">BJ75/BJ72</f>
        <v>#DIV/0!</v>
      </c>
      <c r="BK76" s="50">
        <f t="shared" si="1044"/>
        <v>-4.1075678191544285E-2</v>
      </c>
      <c r="BM76" s="162" t="e">
        <f t="shared" ref="BM76" si="1045">BM75/BM72</f>
        <v>#DIV/0!</v>
      </c>
    </row>
    <row r="77" spans="1:65" ht="15.75" x14ac:dyDescent="0.25">
      <c r="A77" s="128"/>
      <c r="B77" s="5" t="s">
        <v>134</v>
      </c>
      <c r="C77" s="11">
        <f>C74-C73</f>
        <v>-40480</v>
      </c>
      <c r="D77" s="11">
        <f t="shared" ref="D77:BK77" si="1046">D74-D73</f>
        <v>275712</v>
      </c>
      <c r="E77" s="11">
        <f t="shared" si="1046"/>
        <v>-1576</v>
      </c>
      <c r="F77" s="11">
        <f t="shared" si="1046"/>
        <v>24733</v>
      </c>
      <c r="G77" s="11">
        <f t="shared" si="1046"/>
        <v>11553</v>
      </c>
      <c r="H77" s="11">
        <f t="shared" si="1046"/>
        <v>0</v>
      </c>
      <c r="I77" s="11">
        <f t="shared" si="1046"/>
        <v>0</v>
      </c>
      <c r="J77" s="11">
        <f t="shared" si="1046"/>
        <v>68927</v>
      </c>
      <c r="K77" s="11">
        <f t="shared" si="1046"/>
        <v>-11856</v>
      </c>
      <c r="L77" s="11">
        <f t="shared" si="1046"/>
        <v>-39912</v>
      </c>
      <c r="M77" s="11">
        <f t="shared" si="1046"/>
        <v>11685</v>
      </c>
      <c r="N77" s="11">
        <f t="shared" si="1046"/>
        <v>186</v>
      </c>
      <c r="O77" s="11">
        <f t="shared" si="1046"/>
        <v>320</v>
      </c>
      <c r="P77" s="11">
        <f t="shared" si="1046"/>
        <v>41570</v>
      </c>
      <c r="Q77" s="11">
        <f t="shared" si="1046"/>
        <v>0</v>
      </c>
      <c r="R77" s="11">
        <f t="shared" si="1046"/>
        <v>2763</v>
      </c>
      <c r="S77" s="11">
        <f t="shared" si="1046"/>
        <v>0</v>
      </c>
      <c r="T77" s="11">
        <f t="shared" si="1046"/>
        <v>0</v>
      </c>
      <c r="U77" s="11">
        <f t="shared" ref="U77" si="1047">U74-U73</f>
        <v>0</v>
      </c>
      <c r="V77" s="9">
        <f t="shared" si="1046"/>
        <v>0</v>
      </c>
      <c r="W77" s="11">
        <f t="shared" si="1046"/>
        <v>0</v>
      </c>
      <c r="X77" s="11">
        <f t="shared" si="1046"/>
        <v>0</v>
      </c>
      <c r="Y77" s="11">
        <f t="shared" si="1046"/>
        <v>22572</v>
      </c>
      <c r="Z77" s="11">
        <f t="shared" si="1046"/>
        <v>2880</v>
      </c>
      <c r="AA77" s="11">
        <f t="shared" si="1046"/>
        <v>5251</v>
      </c>
      <c r="AB77" s="11">
        <f t="shared" ref="AB77" si="1048">AB74-AB73</f>
        <v>30</v>
      </c>
      <c r="AC77" s="10">
        <f t="shared" ref="AC77:AD77" si="1049">AC74-AC73</f>
        <v>0</v>
      </c>
      <c r="AD77" s="223">
        <f t="shared" si="1049"/>
        <v>374358</v>
      </c>
      <c r="AE77" s="11">
        <f t="shared" si="1046"/>
        <v>1747</v>
      </c>
      <c r="AF77" s="11">
        <f t="shared" si="1046"/>
        <v>175</v>
      </c>
      <c r="AG77" s="11">
        <f t="shared" si="1046"/>
        <v>-1630</v>
      </c>
      <c r="AH77" s="11">
        <f t="shared" si="1046"/>
        <v>0</v>
      </c>
      <c r="AI77" s="11">
        <f t="shared" si="1046"/>
        <v>0</v>
      </c>
      <c r="AJ77" s="11">
        <f t="shared" si="1046"/>
        <v>-200</v>
      </c>
      <c r="AK77" s="11">
        <f t="shared" si="1046"/>
        <v>-1601</v>
      </c>
      <c r="AL77" s="11">
        <f t="shared" si="1046"/>
        <v>-46421</v>
      </c>
      <c r="AM77" s="11">
        <f t="shared" si="1046"/>
        <v>0</v>
      </c>
      <c r="AN77" s="11">
        <f t="shared" si="1046"/>
        <v>0</v>
      </c>
      <c r="AO77" s="9">
        <f t="shared" si="1046"/>
        <v>-46040</v>
      </c>
      <c r="AP77" s="11">
        <f t="shared" si="1046"/>
        <v>-98314</v>
      </c>
      <c r="AQ77" s="10">
        <f t="shared" si="1046"/>
        <v>0</v>
      </c>
      <c r="AR77" s="11">
        <f t="shared" si="1046"/>
        <v>0</v>
      </c>
      <c r="AS77" s="11">
        <f t="shared" si="1046"/>
        <v>0</v>
      </c>
      <c r="AT77" s="11">
        <f t="shared" si="1046"/>
        <v>0</v>
      </c>
      <c r="AU77" s="11">
        <f t="shared" si="1046"/>
        <v>0</v>
      </c>
      <c r="AV77" s="11">
        <f t="shared" si="1046"/>
        <v>0</v>
      </c>
      <c r="AW77" s="11">
        <f t="shared" si="1046"/>
        <v>-82</v>
      </c>
      <c r="AX77" s="11">
        <f t="shared" si="1046"/>
        <v>1512</v>
      </c>
      <c r="AY77" s="11">
        <f t="shared" si="1046"/>
        <v>0</v>
      </c>
      <c r="AZ77" s="11">
        <f t="shared" si="1046"/>
        <v>0</v>
      </c>
      <c r="BA77" s="11">
        <f t="shared" si="1046"/>
        <v>0</v>
      </c>
      <c r="BB77" s="10">
        <f t="shared" si="1046"/>
        <v>0</v>
      </c>
      <c r="BC77" s="11">
        <f t="shared" si="1046"/>
        <v>2281</v>
      </c>
      <c r="BD77" s="11">
        <f t="shared" si="1046"/>
        <v>2281</v>
      </c>
      <c r="BE77" s="11">
        <f t="shared" si="1046"/>
        <v>0</v>
      </c>
      <c r="BF77" s="11">
        <f t="shared" si="1046"/>
        <v>-5034</v>
      </c>
      <c r="BG77" s="11">
        <f t="shared" si="1046"/>
        <v>2662</v>
      </c>
      <c r="BH77" s="9">
        <f t="shared" si="1046"/>
        <v>-188664</v>
      </c>
      <c r="BI77" s="223">
        <f t="shared" si="1046"/>
        <v>185694</v>
      </c>
      <c r="BJ77" s="11">
        <f t="shared" si="1046"/>
        <v>134</v>
      </c>
      <c r="BK77" s="49">
        <f t="shared" si="1046"/>
        <v>185560</v>
      </c>
      <c r="BM77" s="30">
        <f t="shared" si="934"/>
        <v>-188798</v>
      </c>
    </row>
    <row r="78" spans="1:65" ht="15.75" x14ac:dyDescent="0.25">
      <c r="A78" s="128"/>
      <c r="B78" s="5" t="s">
        <v>135</v>
      </c>
      <c r="C78" s="13">
        <f>C77/C73</f>
        <v>-1.2048788066937446E-2</v>
      </c>
      <c r="D78" s="13">
        <f t="shared" ref="D78" si="1050">D77/D73</f>
        <v>0.46194366442602186</v>
      </c>
      <c r="E78" s="13">
        <f t="shared" ref="E78" si="1051">E77/E73</f>
        <v>-7.4336466848105506E-3</v>
      </c>
      <c r="F78" s="13">
        <f t="shared" ref="F78" si="1052">F77/F73</f>
        <v>6.6513915669616799E-2</v>
      </c>
      <c r="G78" s="13">
        <f t="shared" ref="G78" si="1053">G77/G73</f>
        <v>6.3871780979444709E-2</v>
      </c>
      <c r="H78" s="13" t="e">
        <f t="shared" ref="H78" si="1054">H77/H73</f>
        <v>#DIV/0!</v>
      </c>
      <c r="I78" s="13" t="e">
        <f t="shared" ref="I78" si="1055">I77/I73</f>
        <v>#DIV/0!</v>
      </c>
      <c r="J78" s="13">
        <f t="shared" ref="J78" si="1056">J77/J73</f>
        <v>0.22390745751810212</v>
      </c>
      <c r="K78" s="13">
        <f t="shared" ref="K78" si="1057">K77/K73</f>
        <v>-0.66926333615580014</v>
      </c>
      <c r="L78" s="13">
        <f t="shared" ref="L78" si="1058">L77/L73</f>
        <v>-0.30432097353432302</v>
      </c>
      <c r="M78" s="13">
        <f t="shared" ref="M78" si="1059">M77/M73</f>
        <v>8.246062214192966E-2</v>
      </c>
      <c r="N78" s="13">
        <f t="shared" ref="N78" si="1060">N77/N73</f>
        <v>3.263157894736842</v>
      </c>
      <c r="O78" s="13">
        <f t="shared" ref="O78" si="1061">O77/O73</f>
        <v>4.0748758436266394E-2</v>
      </c>
      <c r="P78" s="13">
        <f t="shared" ref="P78" si="1062">P77/P73</f>
        <v>0.43891880477246331</v>
      </c>
      <c r="Q78" s="13" t="e">
        <f t="shared" ref="Q78" si="1063">Q77/Q73</f>
        <v>#DIV/0!</v>
      </c>
      <c r="R78" s="13">
        <f t="shared" ref="R78" si="1064">R77/R73</f>
        <v>0.63415193940784942</v>
      </c>
      <c r="S78" s="13" t="e">
        <f t="shared" ref="S78" si="1065">S77/S73</f>
        <v>#DIV/0!</v>
      </c>
      <c r="T78" s="13" t="e">
        <f t="shared" ref="T78:U78" si="1066">T77/T73</f>
        <v>#DIV/0!</v>
      </c>
      <c r="U78" s="13" t="e">
        <f t="shared" si="1066"/>
        <v>#DIV/0!</v>
      </c>
      <c r="V78" s="162" t="e">
        <f t="shared" ref="V78" si="1067">V77/V73</f>
        <v>#DIV/0!</v>
      </c>
      <c r="W78" s="13" t="e">
        <f t="shared" ref="W78" si="1068">W77/W73</f>
        <v>#DIV/0!</v>
      </c>
      <c r="X78" s="13" t="e">
        <f t="shared" ref="X78" si="1069">X77/X73</f>
        <v>#DIV/0!</v>
      </c>
      <c r="Y78" s="13">
        <f t="shared" ref="Y78" si="1070">Y77/Y73</f>
        <v>21.254237288135592</v>
      </c>
      <c r="Z78" s="13">
        <f t="shared" ref="Z78" si="1071">Z77/Z73</f>
        <v>12.972972972972974</v>
      </c>
      <c r="AA78" s="13">
        <f t="shared" ref="AA78:AD78" si="1072">AA77/AA73</f>
        <v>14.386301369863014</v>
      </c>
      <c r="AB78" s="13" t="e">
        <f t="shared" ref="AB78" si="1073">AB77/AB73</f>
        <v>#DIV/0!</v>
      </c>
      <c r="AC78" s="14" t="e">
        <f t="shared" si="1072"/>
        <v>#DIV/0!</v>
      </c>
      <c r="AD78" s="224">
        <f t="shared" si="1072"/>
        <v>6.896422134914236E-2</v>
      </c>
      <c r="AE78" s="13">
        <f t="shared" ref="AE78" si="1074">AE77/AE73</f>
        <v>0.25447924253459575</v>
      </c>
      <c r="AF78" s="13">
        <f t="shared" ref="AF78" si="1075">AF77/AF73</f>
        <v>0.1650943396226415</v>
      </c>
      <c r="AG78" s="13">
        <f t="shared" ref="AG78" si="1076">AG77/AG73</f>
        <v>-0.21416371041913021</v>
      </c>
      <c r="AH78" s="13" t="e">
        <f t="shared" ref="AH78" si="1077">AH77/AH73</f>
        <v>#DIV/0!</v>
      </c>
      <c r="AI78" s="13" t="e">
        <f t="shared" ref="AI78" si="1078">AI77/AI73</f>
        <v>#DIV/0!</v>
      </c>
      <c r="AJ78" s="13">
        <f t="shared" ref="AJ78" si="1079">AJ77/AJ73</f>
        <v>-2.0569782988789469E-2</v>
      </c>
      <c r="AK78" s="13">
        <f t="shared" ref="AK78" si="1080">AK77/AK73</f>
        <v>-0.12979327117957032</v>
      </c>
      <c r="AL78" s="13">
        <f t="shared" ref="AL78" si="1081">AL77/AL73</f>
        <v>-0.77379940324381991</v>
      </c>
      <c r="AM78" s="13" t="e">
        <f t="shared" ref="AM78" si="1082">AM77/AM73</f>
        <v>#DIV/0!</v>
      </c>
      <c r="AN78" s="13" t="e">
        <f t="shared" ref="AN78" si="1083">AN77/AN73</f>
        <v>#DIV/0!</v>
      </c>
      <c r="AO78" s="162">
        <f t="shared" ref="AO78" si="1084">AO77/AO73</f>
        <v>-0.1665388566550432</v>
      </c>
      <c r="AP78" s="13">
        <f t="shared" ref="AP78" si="1085">AP77/AP73</f>
        <v>-8.461599105728591E-3</v>
      </c>
      <c r="AQ78" s="14" t="e">
        <f t="shared" ref="AQ78" si="1086">AQ77/AQ73</f>
        <v>#DIV/0!</v>
      </c>
      <c r="AR78" s="13" t="e">
        <f t="shared" ref="AR78" si="1087">AR77/AR73</f>
        <v>#DIV/0!</v>
      </c>
      <c r="AS78" s="13" t="e">
        <f t="shared" ref="AS78" si="1088">AS77/AS73</f>
        <v>#DIV/0!</v>
      </c>
      <c r="AT78" s="13" t="e">
        <f t="shared" ref="AT78" si="1089">AT77/AT73</f>
        <v>#DIV/0!</v>
      </c>
      <c r="AU78" s="13" t="e">
        <f t="shared" ref="AU78" si="1090">AU77/AU73</f>
        <v>#DIV/0!</v>
      </c>
      <c r="AV78" s="13" t="e">
        <f t="shared" ref="AV78" si="1091">AV77/AV73</f>
        <v>#DIV/0!</v>
      </c>
      <c r="AW78" s="13">
        <f t="shared" ref="AW78" si="1092">AW77/AW73</f>
        <v>-0.53246753246753242</v>
      </c>
      <c r="AX78" s="13">
        <f t="shared" ref="AX78" si="1093">AX77/AX73</f>
        <v>1.9139240506329114</v>
      </c>
      <c r="AY78" s="13" t="e">
        <f t="shared" ref="AY78" si="1094">AY77/AY73</f>
        <v>#DIV/0!</v>
      </c>
      <c r="AZ78" s="13" t="e">
        <f t="shared" ref="AZ78" si="1095">AZ77/AZ73</f>
        <v>#DIV/0!</v>
      </c>
      <c r="BA78" s="13" t="e">
        <f t="shared" ref="BA78" si="1096">BA77/BA73</f>
        <v>#DIV/0!</v>
      </c>
      <c r="BB78" s="14" t="e">
        <f t="shared" ref="BB78" si="1097">BB77/BB73</f>
        <v>#DIV/0!</v>
      </c>
      <c r="BC78" s="13">
        <f t="shared" ref="BC78" si="1098">BC77/BC73</f>
        <v>0.21448048895157498</v>
      </c>
      <c r="BD78" s="13">
        <f t="shared" ref="BD78" si="1099">BD77/BD73</f>
        <v>0.21448048895157498</v>
      </c>
      <c r="BE78" s="13" t="e">
        <f t="shared" ref="BE78" si="1100">BE77/BE73</f>
        <v>#DIV/0!</v>
      </c>
      <c r="BF78" s="13">
        <f t="shared" ref="BF78" si="1101">BF77/BF73</f>
        <v>-0.41603305785123967</v>
      </c>
      <c r="BG78" s="13">
        <f t="shared" ref="BG78:BH78" si="1102">BG77/BG73</f>
        <v>0.84054310072623939</v>
      </c>
      <c r="BH78" s="162">
        <f t="shared" si="1102"/>
        <v>-1.5682321113861745E-2</v>
      </c>
      <c r="BI78" s="224">
        <f t="shared" ref="BI78" si="1103">BI77/BI73</f>
        <v>1.0636214530844443E-2</v>
      </c>
      <c r="BJ78" s="13">
        <f t="shared" ref="BJ78:BK78" si="1104">BJ77/BJ73</f>
        <v>3.1904761904761907</v>
      </c>
      <c r="BK78" s="50">
        <f t="shared" si="1104"/>
        <v>1.0628564823563016E-2</v>
      </c>
      <c r="BM78" s="14">
        <f t="shared" ref="BM78" si="1105">BM77/BM73</f>
        <v>-1.5693514386982226E-2</v>
      </c>
    </row>
    <row r="79" spans="1:65" ht="15.75" x14ac:dyDescent="0.25">
      <c r="A79" s="128"/>
      <c r="B79" s="5" t="s">
        <v>296</v>
      </c>
      <c r="C79" s="126">
        <f>C74/C71</f>
        <v>0.56302338267882368</v>
      </c>
      <c r="D79" s="126">
        <f t="shared" ref="D79:BK79" si="1106">D74/D71</f>
        <v>0.49116419610902651</v>
      </c>
      <c r="E79" s="126">
        <f t="shared" si="1106"/>
        <v>0.93924854046526574</v>
      </c>
      <c r="F79" s="126">
        <f t="shared" si="1106"/>
        <v>0.58380256291356603</v>
      </c>
      <c r="G79" s="126">
        <f t="shared" si="1106"/>
        <v>0.5618423357664234</v>
      </c>
      <c r="H79" s="126" t="e">
        <f t="shared" si="1106"/>
        <v>#DIV/0!</v>
      </c>
      <c r="I79" s="126" t="e">
        <f t="shared" si="1106"/>
        <v>#DIV/0!</v>
      </c>
      <c r="J79" s="126">
        <f t="shared" si="1106"/>
        <v>0.68413607764451667</v>
      </c>
      <c r="K79" s="126">
        <f t="shared" si="1106"/>
        <v>9.522648593300502E-2</v>
      </c>
      <c r="L79" s="126">
        <f t="shared" si="1106"/>
        <v>0.45129841222733341</v>
      </c>
      <c r="M79" s="126">
        <f t="shared" si="1106"/>
        <v>0.65802535338152335</v>
      </c>
      <c r="N79" s="126">
        <f t="shared" si="1106"/>
        <v>0.216</v>
      </c>
      <c r="O79" s="126">
        <f t="shared" si="1106"/>
        <v>0.55155891483331088</v>
      </c>
      <c r="P79" s="126">
        <f t="shared" si="1106"/>
        <v>0.78997861005964842</v>
      </c>
      <c r="Q79" s="126" t="e">
        <f t="shared" si="1106"/>
        <v>#DIV/0!</v>
      </c>
      <c r="R79" s="126">
        <f t="shared" si="1106"/>
        <v>0.64207773469203711</v>
      </c>
      <c r="S79" s="126" t="e">
        <f t="shared" si="1106"/>
        <v>#DIV/0!</v>
      </c>
      <c r="T79" s="126" t="e">
        <f t="shared" si="1106"/>
        <v>#DIV/0!</v>
      </c>
      <c r="U79" s="126" t="e">
        <f t="shared" si="1106"/>
        <v>#DIV/0!</v>
      </c>
      <c r="V79" s="177" t="e">
        <f t="shared" si="1106"/>
        <v>#DIV/0!</v>
      </c>
      <c r="W79" s="126" t="e">
        <f t="shared" si="1106"/>
        <v>#DIV/0!</v>
      </c>
      <c r="X79" s="126" t="e">
        <f t="shared" si="1106"/>
        <v>#DIV/0!</v>
      </c>
      <c r="Y79" s="126">
        <f t="shared" si="1106"/>
        <v>10.222318339100346</v>
      </c>
      <c r="Z79" s="126">
        <f t="shared" si="1106"/>
        <v>4.8927444794952679</v>
      </c>
      <c r="AA79" s="126">
        <f t="shared" si="1106"/>
        <v>11.033398821218075</v>
      </c>
      <c r="AB79" s="126">
        <f t="shared" ref="AB79" si="1107">AB74/AB71</f>
        <v>2.8636884306987398E-3</v>
      </c>
      <c r="AC79" s="215" t="e">
        <f t="shared" si="1106"/>
        <v>#DIV/0!</v>
      </c>
      <c r="AD79" s="225">
        <f t="shared" si="1106"/>
        <v>0.57007971378567679</v>
      </c>
      <c r="AE79" s="126">
        <f t="shared" si="1106"/>
        <v>0.83913085842346291</v>
      </c>
      <c r="AF79" s="126">
        <f t="shared" si="1106"/>
        <v>1.9448818897637796</v>
      </c>
      <c r="AG79" s="126">
        <f t="shared" si="1106"/>
        <v>0.98696369636963699</v>
      </c>
      <c r="AH79" s="126" t="e">
        <f t="shared" si="1106"/>
        <v>#DIV/0!</v>
      </c>
      <c r="AI79" s="126" t="e">
        <f t="shared" si="1106"/>
        <v>#DIV/0!</v>
      </c>
      <c r="AJ79" s="126">
        <f t="shared" si="1106"/>
        <v>0.66067711946718466</v>
      </c>
      <c r="AK79" s="126">
        <f t="shared" si="1106"/>
        <v>0.40818344297828651</v>
      </c>
      <c r="AL79" s="126">
        <f t="shared" si="1106"/>
        <v>0.23814955862480475</v>
      </c>
      <c r="AM79" s="126" t="e">
        <f t="shared" si="1106"/>
        <v>#DIV/0!</v>
      </c>
      <c r="AN79" s="126">
        <f t="shared" si="1106"/>
        <v>0</v>
      </c>
      <c r="AO79" s="177">
        <f t="shared" si="1106"/>
        <v>0.58509457774572571</v>
      </c>
      <c r="AP79" s="126">
        <f t="shared" si="1106"/>
        <v>0.74648394375243066</v>
      </c>
      <c r="AQ79" s="215" t="e">
        <f t="shared" si="1106"/>
        <v>#DIV/0!</v>
      </c>
      <c r="AR79" s="126" t="e">
        <f t="shared" si="1106"/>
        <v>#DIV/0!</v>
      </c>
      <c r="AS79" s="126" t="e">
        <f t="shared" si="1106"/>
        <v>#DIV/0!</v>
      </c>
      <c r="AT79" s="126" t="e">
        <f t="shared" si="1106"/>
        <v>#DIV/0!</v>
      </c>
      <c r="AU79" s="126" t="e">
        <f t="shared" si="1106"/>
        <v>#DIV/0!</v>
      </c>
      <c r="AV79" s="126" t="e">
        <f t="shared" si="1106"/>
        <v>#DIV/0!</v>
      </c>
      <c r="AW79" s="126">
        <f t="shared" si="1106"/>
        <v>0.11960132890365449</v>
      </c>
      <c r="AX79" s="126">
        <f t="shared" si="1106"/>
        <v>0.87097994702989023</v>
      </c>
      <c r="AY79" s="126">
        <f t="shared" si="1106"/>
        <v>0</v>
      </c>
      <c r="AZ79" s="126" t="e">
        <f t="shared" si="1106"/>
        <v>#DIV/0!</v>
      </c>
      <c r="BA79" s="126" t="e">
        <f t="shared" si="1106"/>
        <v>#DIV/0!</v>
      </c>
      <c r="BB79" s="215" t="e">
        <f t="shared" si="1106"/>
        <v>#DIV/0!</v>
      </c>
      <c r="BC79" s="126">
        <f t="shared" si="1106"/>
        <v>0.72431583669807087</v>
      </c>
      <c r="BD79" s="126">
        <f t="shared" si="1106"/>
        <v>0.72431583669807087</v>
      </c>
      <c r="BE79" s="126" t="e">
        <f t="shared" si="1106"/>
        <v>#DIV/0!</v>
      </c>
      <c r="BF79" s="126">
        <f t="shared" si="1106"/>
        <v>0.30103953646898435</v>
      </c>
      <c r="BG79" s="126">
        <f t="shared" si="1106"/>
        <v>2.0169550173010382</v>
      </c>
      <c r="BH79" s="177">
        <f t="shared" si="1106"/>
        <v>0.73977442864055831</v>
      </c>
      <c r="BI79" s="225">
        <f t="shared" si="1106"/>
        <v>0.67381260253633257</v>
      </c>
      <c r="BJ79" s="126" t="e">
        <f t="shared" si="1106"/>
        <v>#DIV/0!</v>
      </c>
      <c r="BK79" s="126">
        <f t="shared" si="1106"/>
        <v>0.67380588134655983</v>
      </c>
      <c r="BM79" s="126" t="e">
        <f t="shared" ref="BM79" si="1108">BM74/BM71</f>
        <v>#DIV/0!</v>
      </c>
    </row>
    <row r="80" spans="1:65" s="180" customFormat="1" ht="15.75" x14ac:dyDescent="0.25">
      <c r="A80" s="128"/>
      <c r="B80" s="5" t="s">
        <v>297</v>
      </c>
      <c r="C80" s="11">
        <f>C74-C71</f>
        <v>-2576110</v>
      </c>
      <c r="D80" s="11">
        <f t="shared" ref="D80:BM80" si="1109">D74-D71</f>
        <v>-903958</v>
      </c>
      <c r="E80" s="11">
        <f t="shared" si="1109"/>
        <v>-13611</v>
      </c>
      <c r="F80" s="11">
        <f t="shared" si="1109"/>
        <v>-282725</v>
      </c>
      <c r="G80" s="11">
        <f t="shared" si="1109"/>
        <v>-150069</v>
      </c>
      <c r="H80" s="11">
        <f t="shared" si="1109"/>
        <v>0</v>
      </c>
      <c r="I80" s="11">
        <f t="shared" si="1109"/>
        <v>0</v>
      </c>
      <c r="J80" s="11">
        <f t="shared" si="1109"/>
        <v>-173951</v>
      </c>
      <c r="K80" s="11">
        <f t="shared" si="1109"/>
        <v>-55668</v>
      </c>
      <c r="L80" s="11">
        <f t="shared" si="1109"/>
        <v>-110931</v>
      </c>
      <c r="M80" s="11">
        <f t="shared" si="1109"/>
        <v>-79716</v>
      </c>
      <c r="N80" s="11">
        <f t="shared" si="1109"/>
        <v>-882</v>
      </c>
      <c r="O80" s="11">
        <f t="shared" si="1109"/>
        <v>-6645</v>
      </c>
      <c r="P80" s="11">
        <f t="shared" si="1109"/>
        <v>-36231</v>
      </c>
      <c r="Q80" s="11">
        <f t="shared" si="1109"/>
        <v>0</v>
      </c>
      <c r="R80" s="11">
        <f t="shared" si="1109"/>
        <v>-3969</v>
      </c>
      <c r="S80" s="11">
        <f t="shared" si="1109"/>
        <v>0</v>
      </c>
      <c r="T80" s="11">
        <f t="shared" si="1109"/>
        <v>0</v>
      </c>
      <c r="U80" s="11">
        <f t="shared" si="1109"/>
        <v>0</v>
      </c>
      <c r="V80" s="9">
        <f t="shared" si="1109"/>
        <v>0</v>
      </c>
      <c r="W80" s="11">
        <f t="shared" si="1109"/>
        <v>0</v>
      </c>
      <c r="X80" s="11">
        <f t="shared" si="1109"/>
        <v>0</v>
      </c>
      <c r="Y80" s="11">
        <f t="shared" si="1109"/>
        <v>21322</v>
      </c>
      <c r="Z80" s="11">
        <f t="shared" si="1109"/>
        <v>2468</v>
      </c>
      <c r="AA80" s="11">
        <f t="shared" si="1109"/>
        <v>5107</v>
      </c>
      <c r="AB80" s="11">
        <f t="shared" ref="AB80" si="1110">AB74-AB71</f>
        <v>-10446</v>
      </c>
      <c r="AC80" s="10">
        <f t="shared" si="1109"/>
        <v>0</v>
      </c>
      <c r="AD80" s="223">
        <f t="shared" si="1109"/>
        <v>-4376015</v>
      </c>
      <c r="AE80" s="11">
        <f t="shared" si="1109"/>
        <v>-1651</v>
      </c>
      <c r="AF80" s="11">
        <f t="shared" si="1109"/>
        <v>600</v>
      </c>
      <c r="AG80" s="11">
        <f t="shared" si="1109"/>
        <v>-79</v>
      </c>
      <c r="AH80" s="11">
        <f t="shared" si="1109"/>
        <v>0</v>
      </c>
      <c r="AI80" s="11">
        <f t="shared" si="1109"/>
        <v>0</v>
      </c>
      <c r="AJ80" s="11">
        <f t="shared" si="1109"/>
        <v>-4891</v>
      </c>
      <c r="AK80" s="11">
        <f t="shared" si="1109"/>
        <v>-15563</v>
      </c>
      <c r="AL80" s="11">
        <f t="shared" si="1109"/>
        <v>-43411</v>
      </c>
      <c r="AM80" s="11">
        <f t="shared" si="1109"/>
        <v>0</v>
      </c>
      <c r="AN80" s="11">
        <f t="shared" si="1109"/>
        <v>-342</v>
      </c>
      <c r="AO80" s="9">
        <f t="shared" si="1109"/>
        <v>-163391</v>
      </c>
      <c r="AP80" s="11">
        <f t="shared" si="1109"/>
        <v>-3912528</v>
      </c>
      <c r="AQ80" s="10">
        <f t="shared" si="1109"/>
        <v>0</v>
      </c>
      <c r="AR80" s="11">
        <f t="shared" si="1109"/>
        <v>0</v>
      </c>
      <c r="AS80" s="11">
        <f t="shared" si="1109"/>
        <v>0</v>
      </c>
      <c r="AT80" s="11">
        <f t="shared" si="1109"/>
        <v>0</v>
      </c>
      <c r="AU80" s="11">
        <f t="shared" si="1109"/>
        <v>0</v>
      </c>
      <c r="AV80" s="11">
        <f t="shared" si="1109"/>
        <v>0</v>
      </c>
      <c r="AW80" s="11">
        <f t="shared" si="1109"/>
        <v>-530</v>
      </c>
      <c r="AX80" s="11">
        <f t="shared" si="1109"/>
        <v>-341</v>
      </c>
      <c r="AY80" s="11">
        <f t="shared" si="1109"/>
        <v>-50</v>
      </c>
      <c r="AZ80" s="11">
        <f t="shared" si="1109"/>
        <v>0</v>
      </c>
      <c r="BA80" s="11">
        <f t="shared" si="1109"/>
        <v>0</v>
      </c>
      <c r="BB80" s="10">
        <f t="shared" si="1109"/>
        <v>0</v>
      </c>
      <c r="BC80" s="11">
        <f t="shared" si="1109"/>
        <v>-4916</v>
      </c>
      <c r="BD80" s="11">
        <f t="shared" si="1109"/>
        <v>-4916</v>
      </c>
      <c r="BE80" s="11">
        <f t="shared" si="1109"/>
        <v>0</v>
      </c>
      <c r="BF80" s="11">
        <f t="shared" si="1109"/>
        <v>-16406</v>
      </c>
      <c r="BG80" s="11">
        <f t="shared" si="1109"/>
        <v>2939</v>
      </c>
      <c r="BH80" s="11">
        <f t="shared" si="1109"/>
        <v>-4165476</v>
      </c>
      <c r="BI80" s="223">
        <f t="shared" si="1109"/>
        <v>-8541491</v>
      </c>
      <c r="BJ80" s="11">
        <f t="shared" si="1109"/>
        <v>176</v>
      </c>
      <c r="BK80" s="11">
        <f t="shared" si="1109"/>
        <v>-8541667</v>
      </c>
      <c r="BL80" s="11">
        <f t="shared" si="1109"/>
        <v>17644165</v>
      </c>
      <c r="BM80" s="11">
        <f t="shared" si="1109"/>
        <v>11841522</v>
      </c>
    </row>
    <row r="81" spans="1:66" s="180" customFormat="1" ht="15.75" x14ac:dyDescent="0.25">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226"/>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226"/>
      <c r="BJ81" s="5"/>
      <c r="BK81" s="48"/>
    </row>
    <row r="82" spans="1:66" ht="15.75" x14ac:dyDescent="0.25">
      <c r="A82" s="15" t="s">
        <v>34</v>
      </c>
      <c r="B82" s="11" t="s">
        <v>300</v>
      </c>
      <c r="C82" s="120">
        <v>16780</v>
      </c>
      <c r="D82" s="120">
        <v>5111</v>
      </c>
      <c r="E82" s="120">
        <v>546</v>
      </c>
      <c r="F82" s="120">
        <v>1874</v>
      </c>
      <c r="G82" s="120">
        <v>734</v>
      </c>
      <c r="H82" s="120">
        <v>0</v>
      </c>
      <c r="I82" s="120">
        <v>0</v>
      </c>
      <c r="J82" s="120">
        <v>1215</v>
      </c>
      <c r="K82" s="120">
        <v>0</v>
      </c>
      <c r="L82" s="120">
        <v>475</v>
      </c>
      <c r="M82" s="120">
        <v>417</v>
      </c>
      <c r="N82" s="120">
        <v>0</v>
      </c>
      <c r="O82" s="120">
        <v>0</v>
      </c>
      <c r="P82" s="120">
        <v>233</v>
      </c>
      <c r="Q82" s="120">
        <v>0</v>
      </c>
      <c r="R82" s="120">
        <v>150</v>
      </c>
      <c r="S82" s="120">
        <v>0</v>
      </c>
      <c r="T82" s="120">
        <v>0</v>
      </c>
      <c r="U82" s="120"/>
      <c r="V82" s="189">
        <v>0</v>
      </c>
      <c r="W82" s="120">
        <v>0</v>
      </c>
      <c r="X82" s="120">
        <v>0</v>
      </c>
      <c r="Y82" s="120">
        <v>170</v>
      </c>
      <c r="Z82" s="120">
        <v>0</v>
      </c>
      <c r="AA82" s="120">
        <v>0</v>
      </c>
      <c r="AB82" s="120">
        <v>33</v>
      </c>
      <c r="AC82" s="151">
        <v>0</v>
      </c>
      <c r="AD82" s="229">
        <f t="shared" ref="AD82:AD83" si="1111">SUM(C82:AC82)</f>
        <v>27738</v>
      </c>
      <c r="AE82" s="120">
        <v>0</v>
      </c>
      <c r="AF82" s="120">
        <v>0</v>
      </c>
      <c r="AG82" s="120">
        <v>0</v>
      </c>
      <c r="AH82" s="120">
        <v>0</v>
      </c>
      <c r="AI82" s="120">
        <v>0</v>
      </c>
      <c r="AJ82" s="120">
        <v>0</v>
      </c>
      <c r="AK82" s="120">
        <v>142538</v>
      </c>
      <c r="AL82" s="120">
        <v>9603</v>
      </c>
      <c r="AM82" s="120">
        <v>6851582</v>
      </c>
      <c r="AN82" s="120">
        <v>0</v>
      </c>
      <c r="AO82" s="189">
        <v>0</v>
      </c>
      <c r="AP82" s="120">
        <v>0</v>
      </c>
      <c r="AQ82" s="151">
        <v>0</v>
      </c>
      <c r="AR82" s="120">
        <v>789456</v>
      </c>
      <c r="AS82" s="120"/>
      <c r="AT82" s="120"/>
      <c r="AU82" s="120">
        <v>348261</v>
      </c>
      <c r="AV82" s="120"/>
      <c r="AW82" s="120">
        <v>0</v>
      </c>
      <c r="AX82" s="120">
        <v>0</v>
      </c>
      <c r="AY82" s="120">
        <v>0</v>
      </c>
      <c r="AZ82" s="120">
        <v>317324</v>
      </c>
      <c r="BA82" s="120">
        <v>541110</v>
      </c>
      <c r="BB82" s="151">
        <v>0</v>
      </c>
      <c r="BC82" s="120">
        <v>0</v>
      </c>
      <c r="BD82" s="120">
        <v>0</v>
      </c>
      <c r="BE82" s="120">
        <v>0</v>
      </c>
      <c r="BF82" s="120">
        <v>0</v>
      </c>
      <c r="BG82" s="120">
        <v>25836</v>
      </c>
      <c r="BH82" s="9">
        <f>SUM(AE82:BG82)</f>
        <v>9025710</v>
      </c>
      <c r="BI82" s="222">
        <f>AD82+BH82</f>
        <v>9053448</v>
      </c>
      <c r="BJ82" s="96">
        <v>477776</v>
      </c>
      <c r="BK82" s="49">
        <f t="shared" ref="BK82:BK83" si="1112">BI82-BJ82</f>
        <v>8575672</v>
      </c>
      <c r="BL82">
        <v>8</v>
      </c>
      <c r="BM82" s="30"/>
    </row>
    <row r="83" spans="1:66" s="41" customFormat="1" ht="15.75" x14ac:dyDescent="0.25">
      <c r="A83" s="134" t="s">
        <v>34</v>
      </c>
      <c r="B83" s="216" t="s">
        <v>325</v>
      </c>
      <c r="C83" s="10">
        <v>10065</v>
      </c>
      <c r="D83" s="10">
        <v>2758</v>
      </c>
      <c r="E83" s="10">
        <v>546</v>
      </c>
      <c r="F83" s="10">
        <v>1124</v>
      </c>
      <c r="G83" s="10">
        <v>441</v>
      </c>
      <c r="H83" s="10">
        <v>0</v>
      </c>
      <c r="I83" s="10">
        <v>0</v>
      </c>
      <c r="J83" s="10">
        <v>729</v>
      </c>
      <c r="K83" s="10">
        <v>0</v>
      </c>
      <c r="L83" s="10">
        <v>286</v>
      </c>
      <c r="M83" s="10">
        <v>249</v>
      </c>
      <c r="N83" s="10">
        <v>0</v>
      </c>
      <c r="O83" s="10">
        <v>0</v>
      </c>
      <c r="P83" s="10">
        <v>141</v>
      </c>
      <c r="Q83" s="10">
        <v>0</v>
      </c>
      <c r="R83" s="10">
        <v>90</v>
      </c>
      <c r="S83" s="10">
        <v>0</v>
      </c>
      <c r="T83" s="10">
        <v>0</v>
      </c>
      <c r="U83" s="10"/>
      <c r="V83" s="10">
        <v>0</v>
      </c>
      <c r="W83" s="10">
        <v>0</v>
      </c>
      <c r="X83" s="10">
        <v>0</v>
      </c>
      <c r="Y83" s="10">
        <v>104</v>
      </c>
      <c r="Z83" s="10">
        <v>0</v>
      </c>
      <c r="AA83" s="10">
        <v>0</v>
      </c>
      <c r="AB83" s="10">
        <v>21</v>
      </c>
      <c r="AC83" s="10">
        <v>0</v>
      </c>
      <c r="AD83" s="229">
        <f t="shared" si="1111"/>
        <v>16554</v>
      </c>
      <c r="AE83" s="10">
        <v>0</v>
      </c>
      <c r="AF83" s="10">
        <v>0</v>
      </c>
      <c r="AG83" s="10">
        <v>0</v>
      </c>
      <c r="AH83" s="10">
        <v>0</v>
      </c>
      <c r="AI83" s="10">
        <v>0</v>
      </c>
      <c r="AJ83" s="10">
        <v>0</v>
      </c>
      <c r="AK83" s="10">
        <v>85523</v>
      </c>
      <c r="AL83" s="10">
        <v>5761</v>
      </c>
      <c r="AM83" s="10">
        <v>4110951</v>
      </c>
      <c r="AN83" s="10">
        <v>0</v>
      </c>
      <c r="AO83" s="10">
        <v>0</v>
      </c>
      <c r="AP83" s="10">
        <v>0</v>
      </c>
      <c r="AQ83" s="10">
        <v>0</v>
      </c>
      <c r="AR83" s="10">
        <v>473672</v>
      </c>
      <c r="AS83" s="10"/>
      <c r="AT83" s="10"/>
      <c r="AU83" s="10">
        <v>208957</v>
      </c>
      <c r="AV83" s="10"/>
      <c r="AW83" s="10">
        <v>0</v>
      </c>
      <c r="AX83" s="10">
        <v>0</v>
      </c>
      <c r="AY83" s="10">
        <v>0</v>
      </c>
      <c r="AZ83" s="10">
        <v>190394</v>
      </c>
      <c r="BA83" s="10">
        <v>324667</v>
      </c>
      <c r="BB83" s="10">
        <v>0</v>
      </c>
      <c r="BC83" s="10">
        <v>0</v>
      </c>
      <c r="BD83" s="10">
        <v>0</v>
      </c>
      <c r="BE83" s="10">
        <v>0</v>
      </c>
      <c r="BF83" s="10">
        <v>0</v>
      </c>
      <c r="BG83" s="10">
        <v>15502</v>
      </c>
      <c r="BH83" s="10">
        <f>SUM(AE83:BG83)</f>
        <v>5415427</v>
      </c>
      <c r="BI83" s="222">
        <f>AD83+BH83</f>
        <v>5431981</v>
      </c>
      <c r="BJ83" s="10">
        <v>278705</v>
      </c>
      <c r="BK83" s="10">
        <f t="shared" si="1112"/>
        <v>5153276</v>
      </c>
      <c r="BM83" s="217"/>
    </row>
    <row r="84" spans="1:66" ht="15.75" x14ac:dyDescent="0.25">
      <c r="A84" s="128"/>
      <c r="B84" s="12" t="s">
        <v>326</v>
      </c>
      <c r="C84" s="9">
        <f>IF('Upto Month COPPY'!$I$4="",0,'Upto Month COPPY'!$I$4)</f>
        <v>9027</v>
      </c>
      <c r="D84" s="9">
        <f>IF('Upto Month COPPY'!$I$5="",0,'Upto Month COPPY'!$I$5)</f>
        <v>1534</v>
      </c>
      <c r="E84" s="9">
        <f>IF('Upto Month COPPY'!$I$6="",0,'Upto Month COPPY'!$I$6)</f>
        <v>545</v>
      </c>
      <c r="F84" s="9">
        <f>IF('Upto Month COPPY'!$I$7="",0,'Upto Month COPPY'!$I$7)</f>
        <v>1029</v>
      </c>
      <c r="G84" s="9">
        <f>IF('Upto Month COPPY'!$I$8="",0,'Upto Month COPPY'!$I$8)</f>
        <v>398</v>
      </c>
      <c r="H84" s="9">
        <f>IF('Upto Month COPPY'!$I$9="",0,'Upto Month COPPY'!$I$9)</f>
        <v>0</v>
      </c>
      <c r="I84" s="9">
        <f>IF('Upto Month COPPY'!$I$10="",0,'Upto Month COPPY'!$I$10)</f>
        <v>0</v>
      </c>
      <c r="J84" s="9">
        <f>IF('Upto Month COPPY'!$I$11="",0,'Upto Month COPPY'!$I$11)</f>
        <v>580</v>
      </c>
      <c r="K84" s="9">
        <f>IF('Upto Month COPPY'!$I$12="",0,'Upto Month COPPY'!$I$12)</f>
        <v>0</v>
      </c>
      <c r="L84" s="9">
        <f>IF('Upto Month COPPY'!$I$13="",0,'Upto Month COPPY'!$I$13)</f>
        <v>276</v>
      </c>
      <c r="M84" s="9">
        <f>IF('Upto Month COPPY'!$I$14="",0,'Upto Month COPPY'!$I$14)</f>
        <v>182</v>
      </c>
      <c r="N84" s="9">
        <f>IF('Upto Month COPPY'!$I$15="",0,'Upto Month COPPY'!$I$15)</f>
        <v>0</v>
      </c>
      <c r="O84" s="9">
        <f>IF('Upto Month COPPY'!$I$16="",0,'Upto Month COPPY'!$I$16)</f>
        <v>0</v>
      </c>
      <c r="P84" s="9">
        <f>IF('Upto Month COPPY'!$I$17="",0,'Upto Month COPPY'!$I$17)</f>
        <v>108</v>
      </c>
      <c r="Q84" s="9">
        <f>IF('Upto Month COPPY'!$I$18="",0,'Upto Month COPPY'!$I$18)</f>
        <v>0</v>
      </c>
      <c r="R84" s="9">
        <f>IF('Upto Month COPPY'!$I$21="",0,'Upto Month COPPY'!$I$21)</f>
        <v>56</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98</v>
      </c>
      <c r="Z84" s="9">
        <f>IF('Upto Month COPPY'!$I$43="",0,'Upto Month COPPY'!$I$43)</f>
        <v>0</v>
      </c>
      <c r="AA84" s="9">
        <f>IF('Upto Month COPPY'!$I$44="",0,'Upto Month COPPY'!$I$44)</f>
        <v>0</v>
      </c>
      <c r="AB84" s="9">
        <f>IF('Upto Month COPPY'!$I$48="",0,'Upto Month COPPY'!$I$48)</f>
        <v>0</v>
      </c>
      <c r="AC84" s="10">
        <f>IF('Upto Month COPPY'!$I$51="",0,'Upto Month COPPY'!$I$51)</f>
        <v>0</v>
      </c>
      <c r="AD84" s="229">
        <f t="shared" ref="AD84:AD85" si="1113">SUM(C84:AC84)</f>
        <v>13833</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78800</v>
      </c>
      <c r="AL84" s="9">
        <f>IF('Upto Month COPPY'!$I$29="",0,'Upto Month COPPY'!$I$29)</f>
        <v>2</v>
      </c>
      <c r="AM84" s="9">
        <f>IF('Upto Month COPPY'!$I$31="",0,'Upto Month COPPY'!$I$31)</f>
        <v>3523065</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624196</v>
      </c>
      <c r="AS84" s="9">
        <f>IF('Upto Month COPPY'!$I$38="",0,'Upto Month COPPY'!$I$38)</f>
        <v>0</v>
      </c>
      <c r="AT84" s="9">
        <f>IF('Upto Month COPPY'!$I$38="",0,'Upto Month COPPY'!$I$38)</f>
        <v>0</v>
      </c>
      <c r="AU84" s="9">
        <f>IF('Upto Month COPPY'!$I$41="",0,'Upto Month COPPY'!$I$41)</f>
        <v>235853</v>
      </c>
      <c r="AV84" s="9">
        <v>0</v>
      </c>
      <c r="AW84" s="9">
        <f>IF('Upto Month COPPY'!$I$45="",0,'Upto Month COPPY'!$I$45)</f>
        <v>0</v>
      </c>
      <c r="AX84" s="9">
        <f>IF('Upto Month COPPY'!$I$46="",0,'Upto Month COPPY'!$I$46)</f>
        <v>0</v>
      </c>
      <c r="AY84" s="9">
        <f>IF('Upto Month COPPY'!$I$47="",0,'Upto Month COPPY'!$I$47)</f>
        <v>0</v>
      </c>
      <c r="AZ84" s="9">
        <f>IF('Upto Month COPPY'!$I$49="",0,'Upto Month COPPY'!$I$49)</f>
        <v>213801</v>
      </c>
      <c r="BA84" s="9">
        <f>IF('Upto Month COPPY'!$I$50="",0,'Upto Month COPPY'!$I$50)</f>
        <v>305550</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40939</v>
      </c>
      <c r="BH84" s="9">
        <f>SUM(AE84:BG84)</f>
        <v>5022206</v>
      </c>
      <c r="BI84" s="222">
        <f>AD84+BH84</f>
        <v>5036039</v>
      </c>
      <c r="BJ84" s="9">
        <f>IF('Upto Month COPPY'!$I$60="",0,'Upto Month COPPY'!$I$60)-'Upto Month COPPY'!I57</f>
        <v>18232</v>
      </c>
      <c r="BK84" s="49">
        <f t="shared" ref="BK84:BK85" si="1114">BI84-BJ84</f>
        <v>5017807</v>
      </c>
      <c r="BL84">
        <f>'Upto Month COPPY'!$I$61</f>
        <v>5017810</v>
      </c>
      <c r="BM84" s="30">
        <f t="shared" ref="BM84:BM88" si="1115">BK84-AD84</f>
        <v>5003974</v>
      </c>
      <c r="BN84" s="68">
        <f>-------------------Sheet1!H8</f>
        <v>0</v>
      </c>
    </row>
    <row r="85" spans="1:66" ht="15.75" x14ac:dyDescent="0.25">
      <c r="A85" s="128"/>
      <c r="B85" s="182" t="s">
        <v>327</v>
      </c>
      <c r="C85" s="9">
        <f>IF('Upto Month Current'!$I$4="",0,'Upto Month Current'!$I$4)</f>
        <v>8361</v>
      </c>
      <c r="D85" s="9">
        <f>IF('Upto Month Current'!$I$5="",0,'Upto Month Current'!$I$5)</f>
        <v>2067</v>
      </c>
      <c r="E85" s="9">
        <f>IF('Upto Month Current'!$I$6="",0,'Upto Month Current'!$I$6)</f>
        <v>479</v>
      </c>
      <c r="F85" s="9">
        <f>IF('Upto Month Current'!$I$7="",0,'Upto Month Current'!$I$7)</f>
        <v>916</v>
      </c>
      <c r="G85" s="9">
        <f>IF('Upto Month Current'!$I$8="",0,'Upto Month Current'!$I$8)</f>
        <v>406</v>
      </c>
      <c r="H85" s="9">
        <f>IF('Upto Month Current'!$I$9="",0,'Upto Month Current'!$I$9)</f>
        <v>0</v>
      </c>
      <c r="I85" s="9">
        <f>IF('Upto Month Current'!$I$10="",0,'Upto Month Current'!$I$10)</f>
        <v>0</v>
      </c>
      <c r="J85" s="9">
        <f>IF('Upto Month Current'!$I$11="",0,'Upto Month Current'!$I$11)</f>
        <v>249</v>
      </c>
      <c r="K85" s="9">
        <f>IF('Upto Month Current'!$I$12="",0,'Upto Month Current'!$I$12)</f>
        <v>0</v>
      </c>
      <c r="L85" s="9">
        <f>IF('Upto Month Current'!$I$13="",0,'Upto Month Current'!$I$13)</f>
        <v>189</v>
      </c>
      <c r="M85" s="9">
        <f>IF('Upto Month Current'!$I$14="",0,'Upto Month Current'!$I$14)</f>
        <v>173</v>
      </c>
      <c r="N85" s="9">
        <f>IF('Upto Month Current'!$I$15="",0,'Upto Month Current'!$I$15)</f>
        <v>0</v>
      </c>
      <c r="O85" s="9">
        <f>IF('Upto Month Current'!$I$16="",0,'Upto Month Current'!$I$16)</f>
        <v>0</v>
      </c>
      <c r="P85" s="9">
        <f>IF('Upto Month Current'!$I$17="",0,'Upto Month Current'!$I$17)</f>
        <v>38</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2</v>
      </c>
      <c r="Z85" s="9">
        <f>IF('Upto Month Current'!$I$43="",0,'Upto Month Current'!$I$43)</f>
        <v>0</v>
      </c>
      <c r="AA85" s="9">
        <f>IF('Upto Month Current'!$I$44="",0,'Upto Month Current'!$I$44)</f>
        <v>0</v>
      </c>
      <c r="AB85" s="9">
        <f>IF('Upto Month Current'!$I$48="",0,'Upto Month Current'!$I$48)</f>
        <v>0</v>
      </c>
      <c r="AC85" s="10">
        <f>IF('Upto Month Current'!$I$51="",0,'Upto Month Current'!$I$51)</f>
        <v>0</v>
      </c>
      <c r="AD85" s="229">
        <f t="shared" si="1113"/>
        <v>12880</v>
      </c>
      <c r="AE85" s="9">
        <f>IF('Upto Month Current'!$I$19="",0,'Upto Month Current'!$I$19)</f>
        <v>0</v>
      </c>
      <c r="AF85" s="9">
        <f>IF('Upto Month Current'!$I$20="",0,'Upto Month Current'!$I$20)</f>
        <v>1</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281857</v>
      </c>
      <c r="AL85" s="9">
        <f>IF('Upto Month Current'!$I$29="",0,'Upto Month Current'!$I$29)</f>
        <v>0</v>
      </c>
      <c r="AM85" s="9">
        <f>IF('Upto Month Current'!$I$31="",0,'Upto Month Current'!$I$31)</f>
        <v>5826311</v>
      </c>
      <c r="AN85" s="9">
        <f>IF('Upto Month Current'!$I$32="",0,'Upto Month Current'!$I$32)</f>
        <v>0</v>
      </c>
      <c r="AO85" s="9">
        <f>IF('Upto Month Current'!$I$33="",0,'Upto Month Current'!$I$33)</f>
        <v>0</v>
      </c>
      <c r="AP85" s="9">
        <f>IF('Upto Month Current'!$I$34="",0,'Upto Month Current'!$I$34)</f>
        <v>727093</v>
      </c>
      <c r="AQ85" s="10">
        <f>IF('Upto Month Current'!$I$36="",0,'Upto Month Current'!$I$36)</f>
        <v>0</v>
      </c>
      <c r="AR85" s="9">
        <f>IF('Upto Month Current'!$I$37="",0,'Upto Month Current'!$I$37)</f>
        <v>261281</v>
      </c>
      <c r="AS85" s="9">
        <v>0</v>
      </c>
      <c r="AT85" s="9">
        <f>IF('Upto Month Current'!$I$38="",0,'Upto Month Current'!$I$38)</f>
        <v>0</v>
      </c>
      <c r="AU85" s="9">
        <f>IF('Upto Month Current'!$I$41="",0,'Upto Month Current'!$I$41)</f>
        <v>109108</v>
      </c>
      <c r="AV85" s="9">
        <v>0</v>
      </c>
      <c r="AW85" s="9">
        <f>IF('Upto Month Current'!$I$45="",0,'Upto Month Current'!$I$45)</f>
        <v>0</v>
      </c>
      <c r="AX85" s="9">
        <f>IF('Upto Month Current'!$I$46="",0,'Upto Month Current'!$I$46)</f>
        <v>0</v>
      </c>
      <c r="AY85" s="9">
        <f>IF('Upto Month Current'!$I$47="",0,'Upto Month Current'!$I$47)</f>
        <v>0</v>
      </c>
      <c r="AZ85" s="9">
        <f>IF('Upto Month Current'!$I$49="",0,'Upto Month Current'!$I$49)</f>
        <v>643143</v>
      </c>
      <c r="BA85" s="9">
        <f>IF('Upto Month Current'!$I$50="",0,'Upto Month Current'!$I$50)</f>
        <v>1181724</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3316</v>
      </c>
      <c r="BH85" s="9">
        <f>SUM(AE85:BG85)</f>
        <v>9033834</v>
      </c>
      <c r="BI85" s="222">
        <f>AD85+BH85</f>
        <v>9046714</v>
      </c>
      <c r="BJ85" s="9">
        <f>IF('Upto Month Current'!$I$60="",0,'Upto Month Current'!$I$60)-'Upto Month Current'!I57</f>
        <v>176584</v>
      </c>
      <c r="BK85" s="49">
        <f t="shared" si="1114"/>
        <v>8870130</v>
      </c>
      <c r="BL85" s="99">
        <f>'Upto Month Current'!$I$61</f>
        <v>8870130</v>
      </c>
      <c r="BM85" s="30">
        <f t="shared" si="1115"/>
        <v>8857250</v>
      </c>
    </row>
    <row r="86" spans="1:66" ht="15.75" x14ac:dyDescent="0.25">
      <c r="A86" s="128"/>
      <c r="B86" s="5" t="s">
        <v>132</v>
      </c>
      <c r="C86" s="11">
        <f>C85-C83</f>
        <v>-1704</v>
      </c>
      <c r="D86" s="11">
        <f t="shared" ref="D86" si="1116">D85-D83</f>
        <v>-691</v>
      </c>
      <c r="E86" s="11">
        <f t="shared" ref="E86" si="1117">E85-E83</f>
        <v>-67</v>
      </c>
      <c r="F86" s="11">
        <f t="shared" ref="F86" si="1118">F85-F83</f>
        <v>-208</v>
      </c>
      <c r="G86" s="11">
        <f t="shared" ref="G86" si="1119">G85-G83</f>
        <v>-35</v>
      </c>
      <c r="H86" s="11">
        <f t="shared" ref="H86" si="1120">H85-H83</f>
        <v>0</v>
      </c>
      <c r="I86" s="11">
        <f t="shared" ref="I86" si="1121">I85-I83</f>
        <v>0</v>
      </c>
      <c r="J86" s="11">
        <f t="shared" ref="J86" si="1122">J85-J83</f>
        <v>-480</v>
      </c>
      <c r="K86" s="11">
        <f t="shared" ref="K86" si="1123">K85-K83</f>
        <v>0</v>
      </c>
      <c r="L86" s="11">
        <f t="shared" ref="L86" si="1124">L85-L83</f>
        <v>-97</v>
      </c>
      <c r="M86" s="11">
        <f t="shared" ref="M86" si="1125">M85-M83</f>
        <v>-76</v>
      </c>
      <c r="N86" s="11">
        <f t="shared" ref="N86" si="1126">N85-N83</f>
        <v>0</v>
      </c>
      <c r="O86" s="11">
        <f t="shared" ref="O86" si="1127">O85-O83</f>
        <v>0</v>
      </c>
      <c r="P86" s="11">
        <f t="shared" ref="P86" si="1128">P85-P83</f>
        <v>-103</v>
      </c>
      <c r="Q86" s="11">
        <f t="shared" ref="Q86" si="1129">Q85-Q83</f>
        <v>0</v>
      </c>
      <c r="R86" s="11">
        <f t="shared" ref="R86" si="1130">R85-R83</f>
        <v>-90</v>
      </c>
      <c r="S86" s="11">
        <f t="shared" ref="S86" si="1131">S85-S83</f>
        <v>0</v>
      </c>
      <c r="T86" s="11">
        <f t="shared" ref="T86:U86" si="1132">T85-T83</f>
        <v>0</v>
      </c>
      <c r="U86" s="11">
        <f t="shared" si="1132"/>
        <v>0</v>
      </c>
      <c r="V86" s="9">
        <f t="shared" ref="V86" si="1133">V85-V83</f>
        <v>0</v>
      </c>
      <c r="W86" s="11">
        <f t="shared" ref="W86" si="1134">W85-W83</f>
        <v>0</v>
      </c>
      <c r="X86" s="11">
        <f t="shared" ref="X86" si="1135">X85-X83</f>
        <v>0</v>
      </c>
      <c r="Y86" s="11">
        <f t="shared" ref="Y86" si="1136">Y85-Y83</f>
        <v>-102</v>
      </c>
      <c r="Z86" s="11">
        <f t="shared" ref="Z86" si="1137">Z85-Z83</f>
        <v>0</v>
      </c>
      <c r="AA86" s="11">
        <f t="shared" ref="AA86:AD86" si="1138">AA85-AA83</f>
        <v>0</v>
      </c>
      <c r="AB86" s="11">
        <f t="shared" ref="AB86" si="1139">AB85-AB83</f>
        <v>-21</v>
      </c>
      <c r="AC86" s="10">
        <f t="shared" si="1138"/>
        <v>0</v>
      </c>
      <c r="AD86" s="223">
        <f t="shared" si="1138"/>
        <v>-3674</v>
      </c>
      <c r="AE86" s="11">
        <f t="shared" ref="AE86" si="1140">AE85-AE83</f>
        <v>0</v>
      </c>
      <c r="AF86" s="11">
        <f t="shared" ref="AF86" si="1141">AF85-AF83</f>
        <v>1</v>
      </c>
      <c r="AG86" s="11">
        <f t="shared" ref="AG86" si="1142">AG85-AG83</f>
        <v>0</v>
      </c>
      <c r="AH86" s="11">
        <f t="shared" ref="AH86" si="1143">AH85-AH83</f>
        <v>0</v>
      </c>
      <c r="AI86" s="11">
        <f t="shared" ref="AI86" si="1144">AI85-AI83</f>
        <v>0</v>
      </c>
      <c r="AJ86" s="11">
        <f t="shared" ref="AJ86" si="1145">AJ85-AJ83</f>
        <v>0</v>
      </c>
      <c r="AK86" s="11">
        <f t="shared" ref="AK86" si="1146">AK85-AK83</f>
        <v>196334</v>
      </c>
      <c r="AL86" s="11">
        <f t="shared" ref="AL86" si="1147">AL85-AL83</f>
        <v>-5761</v>
      </c>
      <c r="AM86" s="11">
        <f t="shared" ref="AM86" si="1148">AM85-AM83</f>
        <v>1715360</v>
      </c>
      <c r="AN86" s="11">
        <f t="shared" ref="AN86" si="1149">AN85-AN83</f>
        <v>0</v>
      </c>
      <c r="AO86" s="9">
        <f t="shared" ref="AO86" si="1150">AO85-AO83</f>
        <v>0</v>
      </c>
      <c r="AP86" s="11">
        <f t="shared" ref="AP86" si="1151">AP85-AP83</f>
        <v>727093</v>
      </c>
      <c r="AQ86" s="10">
        <f t="shared" ref="AQ86" si="1152">AQ85-AQ83</f>
        <v>0</v>
      </c>
      <c r="AR86" s="11">
        <f t="shared" ref="AR86" si="1153">AR85-AR83</f>
        <v>-212391</v>
      </c>
      <c r="AS86" s="11">
        <f t="shared" ref="AS86" si="1154">AS85-AS83</f>
        <v>0</v>
      </c>
      <c r="AT86" s="11">
        <f t="shared" ref="AT86" si="1155">AT85-AT83</f>
        <v>0</v>
      </c>
      <c r="AU86" s="11">
        <f t="shared" ref="AU86" si="1156">AU85-AU83</f>
        <v>-99849</v>
      </c>
      <c r="AV86" s="11">
        <f t="shared" ref="AV86" si="1157">AV85-AV83</f>
        <v>0</v>
      </c>
      <c r="AW86" s="11">
        <f t="shared" ref="AW86" si="1158">AW85-AW83</f>
        <v>0</v>
      </c>
      <c r="AX86" s="11">
        <f t="shared" ref="AX86" si="1159">AX85-AX83</f>
        <v>0</v>
      </c>
      <c r="AY86" s="11">
        <f t="shared" ref="AY86" si="1160">AY85-AY83</f>
        <v>0</v>
      </c>
      <c r="AZ86" s="11">
        <f t="shared" ref="AZ86" si="1161">AZ85-AZ83</f>
        <v>452749</v>
      </c>
      <c r="BA86" s="11">
        <f t="shared" ref="BA86" si="1162">BA85-BA83</f>
        <v>857057</v>
      </c>
      <c r="BB86" s="10">
        <f t="shared" ref="BB86" si="1163">BB85-BB83</f>
        <v>0</v>
      </c>
      <c r="BC86" s="11">
        <f t="shared" ref="BC86" si="1164">BC85-BC83</f>
        <v>0</v>
      </c>
      <c r="BD86" s="11">
        <f t="shared" ref="BD86" si="1165">BD85-BD83</f>
        <v>0</v>
      </c>
      <c r="BE86" s="11">
        <f t="shared" ref="BE86" si="1166">BE85-BE83</f>
        <v>0</v>
      </c>
      <c r="BF86" s="11">
        <f t="shared" ref="BF86" si="1167">BF85-BF83</f>
        <v>0</v>
      </c>
      <c r="BG86" s="11">
        <f t="shared" ref="BG86:BH86" si="1168">BG85-BG83</f>
        <v>-12186</v>
      </c>
      <c r="BH86" s="9">
        <f t="shared" si="1168"/>
        <v>3618407</v>
      </c>
      <c r="BI86" s="223">
        <f t="shared" ref="BI86" si="1169">BI85-BI83</f>
        <v>3614733</v>
      </c>
      <c r="BJ86" s="11">
        <f t="shared" ref="BJ86:BK86" si="1170">BJ85-BJ83</f>
        <v>-102121</v>
      </c>
      <c r="BK86" s="49">
        <f t="shared" si="1170"/>
        <v>3716854</v>
      </c>
      <c r="BM86" s="30">
        <f t="shared" si="1115"/>
        <v>3720528</v>
      </c>
    </row>
    <row r="87" spans="1:66" ht="15.75" x14ac:dyDescent="0.25">
      <c r="A87" s="128"/>
      <c r="B87" s="5" t="s">
        <v>133</v>
      </c>
      <c r="C87" s="13">
        <f>C86/C83</f>
        <v>-0.16929955290611029</v>
      </c>
      <c r="D87" s="13">
        <f t="shared" ref="D87" si="1171">D86/D83</f>
        <v>-0.25054387237128356</v>
      </c>
      <c r="E87" s="13">
        <f t="shared" ref="E87" si="1172">E86/E83</f>
        <v>-0.1227106227106227</v>
      </c>
      <c r="F87" s="13">
        <f t="shared" ref="F87" si="1173">F86/F83</f>
        <v>-0.18505338078291814</v>
      </c>
      <c r="G87" s="13">
        <f t="shared" ref="G87" si="1174">G86/G83</f>
        <v>-7.9365079365079361E-2</v>
      </c>
      <c r="H87" s="13" t="e">
        <f t="shared" ref="H87" si="1175">H86/H83</f>
        <v>#DIV/0!</v>
      </c>
      <c r="I87" s="13" t="e">
        <f t="shared" ref="I87" si="1176">I86/I83</f>
        <v>#DIV/0!</v>
      </c>
      <c r="J87" s="13">
        <f t="shared" ref="J87" si="1177">J86/J83</f>
        <v>-0.65843621399176955</v>
      </c>
      <c r="K87" s="13" t="e">
        <f t="shared" ref="K87" si="1178">K86/K83</f>
        <v>#DIV/0!</v>
      </c>
      <c r="L87" s="13">
        <f t="shared" ref="L87" si="1179">L86/L83</f>
        <v>-0.33916083916083917</v>
      </c>
      <c r="M87" s="13">
        <f t="shared" ref="M87" si="1180">M86/M83</f>
        <v>-0.30522088353413657</v>
      </c>
      <c r="N87" s="13" t="e">
        <f t="shared" ref="N87" si="1181">N86/N83</f>
        <v>#DIV/0!</v>
      </c>
      <c r="O87" s="13" t="e">
        <f t="shared" ref="O87" si="1182">O86/O83</f>
        <v>#DIV/0!</v>
      </c>
      <c r="P87" s="13">
        <f t="shared" ref="P87" si="1183">P86/P83</f>
        <v>-0.73049645390070927</v>
      </c>
      <c r="Q87" s="13" t="e">
        <f t="shared" ref="Q87" si="1184">Q86/Q83</f>
        <v>#DIV/0!</v>
      </c>
      <c r="R87" s="13">
        <f t="shared" ref="R87" si="1185">R86/R83</f>
        <v>-1</v>
      </c>
      <c r="S87" s="13" t="e">
        <f t="shared" ref="S87" si="1186">S86/S83</f>
        <v>#DIV/0!</v>
      </c>
      <c r="T87" s="13" t="e">
        <f t="shared" ref="T87:U87" si="1187">T86/T83</f>
        <v>#DIV/0!</v>
      </c>
      <c r="U87" s="13" t="e">
        <f t="shared" si="1187"/>
        <v>#DIV/0!</v>
      </c>
      <c r="V87" s="162" t="e">
        <f t="shared" ref="V87" si="1188">V86/V83</f>
        <v>#DIV/0!</v>
      </c>
      <c r="W87" s="13" t="e">
        <f t="shared" ref="W87" si="1189">W86/W83</f>
        <v>#DIV/0!</v>
      </c>
      <c r="X87" s="13" t="e">
        <f t="shared" ref="X87" si="1190">X86/X83</f>
        <v>#DIV/0!</v>
      </c>
      <c r="Y87" s="13">
        <f t="shared" ref="Y87" si="1191">Y86/Y83</f>
        <v>-0.98076923076923073</v>
      </c>
      <c r="Z87" s="13" t="e">
        <f t="shared" ref="Z87" si="1192">Z86/Z83</f>
        <v>#DIV/0!</v>
      </c>
      <c r="AA87" s="13" t="e">
        <f t="shared" ref="AA87:AD87" si="1193">AA86/AA83</f>
        <v>#DIV/0!</v>
      </c>
      <c r="AB87" s="13">
        <f t="shared" ref="AB87" si="1194">AB86/AB83</f>
        <v>-1</v>
      </c>
      <c r="AC87" s="14" t="e">
        <f t="shared" si="1193"/>
        <v>#DIV/0!</v>
      </c>
      <c r="AD87" s="224">
        <f t="shared" si="1193"/>
        <v>-0.22194031653980911</v>
      </c>
      <c r="AE87" s="13" t="e">
        <f t="shared" ref="AE87" si="1195">AE86/AE83</f>
        <v>#DIV/0!</v>
      </c>
      <c r="AF87" s="13" t="e">
        <f t="shared" ref="AF87" si="1196">AF86/AF83</f>
        <v>#DIV/0!</v>
      </c>
      <c r="AG87" s="13" t="e">
        <f t="shared" ref="AG87" si="1197">AG86/AG83</f>
        <v>#DIV/0!</v>
      </c>
      <c r="AH87" s="13" t="e">
        <f t="shared" ref="AH87" si="1198">AH86/AH83</f>
        <v>#DIV/0!</v>
      </c>
      <c r="AI87" s="13" t="e">
        <f t="shared" ref="AI87" si="1199">AI86/AI83</f>
        <v>#DIV/0!</v>
      </c>
      <c r="AJ87" s="13" t="e">
        <f t="shared" ref="AJ87" si="1200">AJ86/AJ83</f>
        <v>#DIV/0!</v>
      </c>
      <c r="AK87" s="13">
        <f t="shared" ref="AK87" si="1201">AK86/AK83</f>
        <v>2.2956865404627993</v>
      </c>
      <c r="AL87" s="13">
        <f t="shared" ref="AL87" si="1202">AL86/AL83</f>
        <v>-1</v>
      </c>
      <c r="AM87" s="13">
        <f t="shared" ref="AM87" si="1203">AM86/AM83</f>
        <v>0.41726598054805325</v>
      </c>
      <c r="AN87" s="13" t="e">
        <f t="shared" ref="AN87" si="1204">AN86/AN83</f>
        <v>#DIV/0!</v>
      </c>
      <c r="AO87" s="162" t="e">
        <f t="shared" ref="AO87" si="1205">AO86/AO83</f>
        <v>#DIV/0!</v>
      </c>
      <c r="AP87" s="13" t="e">
        <f t="shared" ref="AP87" si="1206">AP86/AP83</f>
        <v>#DIV/0!</v>
      </c>
      <c r="AQ87" s="14" t="e">
        <f t="shared" ref="AQ87" si="1207">AQ86/AQ83</f>
        <v>#DIV/0!</v>
      </c>
      <c r="AR87" s="13">
        <f t="shared" ref="AR87" si="1208">AR86/AR83</f>
        <v>-0.44839255856373189</v>
      </c>
      <c r="AS87" s="13" t="e">
        <f t="shared" ref="AS87" si="1209">AS86/AS83</f>
        <v>#DIV/0!</v>
      </c>
      <c r="AT87" s="13" t="e">
        <f t="shared" ref="AT87" si="1210">AT86/AT83</f>
        <v>#DIV/0!</v>
      </c>
      <c r="AU87" s="13">
        <f t="shared" ref="AU87" si="1211">AU86/AU83</f>
        <v>-0.47784472403413142</v>
      </c>
      <c r="AV87" s="13" t="e">
        <f t="shared" ref="AV87" si="1212">AV86/AV83</f>
        <v>#DIV/0!</v>
      </c>
      <c r="AW87" s="13" t="e">
        <f t="shared" ref="AW87" si="1213">AW86/AW83</f>
        <v>#DIV/0!</v>
      </c>
      <c r="AX87" s="13" t="e">
        <f t="shared" ref="AX87" si="1214">AX86/AX83</f>
        <v>#DIV/0!</v>
      </c>
      <c r="AY87" s="13" t="e">
        <f t="shared" ref="AY87" si="1215">AY86/AY83</f>
        <v>#DIV/0!</v>
      </c>
      <c r="AZ87" s="13">
        <f t="shared" ref="AZ87" si="1216">AZ86/AZ83</f>
        <v>2.3779583390232886</v>
      </c>
      <c r="BA87" s="13">
        <f t="shared" ref="BA87" si="1217">BA86/BA83</f>
        <v>2.6398032445551904</v>
      </c>
      <c r="BB87" s="14" t="e">
        <f t="shared" ref="BB87" si="1218">BB86/BB83</f>
        <v>#DIV/0!</v>
      </c>
      <c r="BC87" s="13" t="e">
        <f t="shared" ref="BC87" si="1219">BC86/BC83</f>
        <v>#DIV/0!</v>
      </c>
      <c r="BD87" s="13" t="e">
        <f t="shared" ref="BD87" si="1220">BD86/BD83</f>
        <v>#DIV/0!</v>
      </c>
      <c r="BE87" s="13" t="e">
        <f t="shared" ref="BE87" si="1221">BE86/BE83</f>
        <v>#DIV/0!</v>
      </c>
      <c r="BF87" s="13" t="e">
        <f t="shared" ref="BF87" si="1222">BF86/BF83</f>
        <v>#DIV/0!</v>
      </c>
      <c r="BG87" s="13">
        <f t="shared" ref="BG87:BH87" si="1223">BG86/BG83</f>
        <v>-0.78609211714617466</v>
      </c>
      <c r="BH87" s="162">
        <f t="shared" si="1223"/>
        <v>0.66816651761717039</v>
      </c>
      <c r="BI87" s="224">
        <f t="shared" ref="BI87" si="1224">BI86/BI83</f>
        <v>0.66545391082921679</v>
      </c>
      <c r="BJ87" s="13">
        <f t="shared" ref="BJ87:BK87" si="1225">BJ86/BJ83</f>
        <v>-0.36641251502484706</v>
      </c>
      <c r="BK87" s="50">
        <f t="shared" si="1225"/>
        <v>0.7212604176450087</v>
      </c>
      <c r="BM87" s="162" t="e">
        <f t="shared" ref="BM87" si="1226">BM86/BM83</f>
        <v>#DIV/0!</v>
      </c>
    </row>
    <row r="88" spans="1:66" ht="15.75" x14ac:dyDescent="0.25">
      <c r="A88" s="128"/>
      <c r="B88" s="5" t="s">
        <v>134</v>
      </c>
      <c r="C88" s="11">
        <f>C85-C84</f>
        <v>-666</v>
      </c>
      <c r="D88" s="11">
        <f t="shared" ref="D88:BK88" si="1227">D85-D84</f>
        <v>533</v>
      </c>
      <c r="E88" s="11">
        <f t="shared" si="1227"/>
        <v>-66</v>
      </c>
      <c r="F88" s="11">
        <f t="shared" si="1227"/>
        <v>-113</v>
      </c>
      <c r="G88" s="11">
        <f t="shared" si="1227"/>
        <v>8</v>
      </c>
      <c r="H88" s="11">
        <f t="shared" si="1227"/>
        <v>0</v>
      </c>
      <c r="I88" s="11">
        <f t="shared" si="1227"/>
        <v>0</v>
      </c>
      <c r="J88" s="11">
        <f t="shared" si="1227"/>
        <v>-331</v>
      </c>
      <c r="K88" s="11">
        <f t="shared" si="1227"/>
        <v>0</v>
      </c>
      <c r="L88" s="11">
        <f t="shared" si="1227"/>
        <v>-87</v>
      </c>
      <c r="M88" s="11">
        <f t="shared" si="1227"/>
        <v>-9</v>
      </c>
      <c r="N88" s="11">
        <f t="shared" si="1227"/>
        <v>0</v>
      </c>
      <c r="O88" s="11">
        <f t="shared" si="1227"/>
        <v>0</v>
      </c>
      <c r="P88" s="11">
        <f t="shared" si="1227"/>
        <v>-70</v>
      </c>
      <c r="Q88" s="11">
        <f t="shared" si="1227"/>
        <v>0</v>
      </c>
      <c r="R88" s="11">
        <f t="shared" si="1227"/>
        <v>-56</v>
      </c>
      <c r="S88" s="11">
        <f t="shared" si="1227"/>
        <v>0</v>
      </c>
      <c r="T88" s="11">
        <f t="shared" si="1227"/>
        <v>0</v>
      </c>
      <c r="U88" s="11">
        <f t="shared" ref="U88" si="1228">U85-U84</f>
        <v>0</v>
      </c>
      <c r="V88" s="9">
        <f t="shared" si="1227"/>
        <v>0</v>
      </c>
      <c r="W88" s="11">
        <f t="shared" si="1227"/>
        <v>0</v>
      </c>
      <c r="X88" s="11">
        <f t="shared" si="1227"/>
        <v>0</v>
      </c>
      <c r="Y88" s="11">
        <f t="shared" si="1227"/>
        <v>-96</v>
      </c>
      <c r="Z88" s="11">
        <f t="shared" si="1227"/>
        <v>0</v>
      </c>
      <c r="AA88" s="11">
        <f t="shared" si="1227"/>
        <v>0</v>
      </c>
      <c r="AB88" s="11">
        <f t="shared" ref="AB88" si="1229">AB85-AB84</f>
        <v>0</v>
      </c>
      <c r="AC88" s="10">
        <f t="shared" ref="AC88:AD88" si="1230">AC85-AC84</f>
        <v>0</v>
      </c>
      <c r="AD88" s="223">
        <f t="shared" si="1230"/>
        <v>-953</v>
      </c>
      <c r="AE88" s="11">
        <f t="shared" si="1227"/>
        <v>0</v>
      </c>
      <c r="AF88" s="11">
        <f t="shared" si="1227"/>
        <v>1</v>
      </c>
      <c r="AG88" s="11">
        <f t="shared" si="1227"/>
        <v>0</v>
      </c>
      <c r="AH88" s="11">
        <f t="shared" si="1227"/>
        <v>0</v>
      </c>
      <c r="AI88" s="11">
        <f t="shared" si="1227"/>
        <v>0</v>
      </c>
      <c r="AJ88" s="11">
        <f t="shared" si="1227"/>
        <v>0</v>
      </c>
      <c r="AK88" s="11">
        <f t="shared" si="1227"/>
        <v>203057</v>
      </c>
      <c r="AL88" s="11">
        <f t="shared" si="1227"/>
        <v>-2</v>
      </c>
      <c r="AM88" s="11">
        <f t="shared" si="1227"/>
        <v>2303246</v>
      </c>
      <c r="AN88" s="11">
        <f t="shared" si="1227"/>
        <v>0</v>
      </c>
      <c r="AO88" s="9">
        <f t="shared" si="1227"/>
        <v>0</v>
      </c>
      <c r="AP88" s="11">
        <f t="shared" si="1227"/>
        <v>727093</v>
      </c>
      <c r="AQ88" s="10">
        <f t="shared" si="1227"/>
        <v>0</v>
      </c>
      <c r="AR88" s="11">
        <f t="shared" si="1227"/>
        <v>-362915</v>
      </c>
      <c r="AS88" s="11">
        <f t="shared" si="1227"/>
        <v>0</v>
      </c>
      <c r="AT88" s="11">
        <f t="shared" si="1227"/>
        <v>0</v>
      </c>
      <c r="AU88" s="11">
        <f t="shared" si="1227"/>
        <v>-126745</v>
      </c>
      <c r="AV88" s="11">
        <f t="shared" si="1227"/>
        <v>0</v>
      </c>
      <c r="AW88" s="11">
        <f t="shared" si="1227"/>
        <v>0</v>
      </c>
      <c r="AX88" s="11">
        <f t="shared" si="1227"/>
        <v>0</v>
      </c>
      <c r="AY88" s="11">
        <f t="shared" si="1227"/>
        <v>0</v>
      </c>
      <c r="AZ88" s="11">
        <f t="shared" si="1227"/>
        <v>429342</v>
      </c>
      <c r="BA88" s="11">
        <f t="shared" si="1227"/>
        <v>876174</v>
      </c>
      <c r="BB88" s="10">
        <f t="shared" si="1227"/>
        <v>0</v>
      </c>
      <c r="BC88" s="11">
        <f t="shared" si="1227"/>
        <v>0</v>
      </c>
      <c r="BD88" s="11">
        <f t="shared" si="1227"/>
        <v>0</v>
      </c>
      <c r="BE88" s="11">
        <f t="shared" si="1227"/>
        <v>0</v>
      </c>
      <c r="BF88" s="11">
        <f t="shared" si="1227"/>
        <v>0</v>
      </c>
      <c r="BG88" s="11">
        <f t="shared" si="1227"/>
        <v>-37623</v>
      </c>
      <c r="BH88" s="9">
        <f t="shared" si="1227"/>
        <v>4011628</v>
      </c>
      <c r="BI88" s="223">
        <f t="shared" si="1227"/>
        <v>4010675</v>
      </c>
      <c r="BJ88" s="11">
        <f t="shared" si="1227"/>
        <v>158352</v>
      </c>
      <c r="BK88" s="49">
        <f t="shared" si="1227"/>
        <v>3852323</v>
      </c>
      <c r="BM88" s="30">
        <f t="shared" si="1115"/>
        <v>3853276</v>
      </c>
    </row>
    <row r="89" spans="1:66" ht="15.75" x14ac:dyDescent="0.25">
      <c r="A89" s="128"/>
      <c r="B89" s="5" t="s">
        <v>135</v>
      </c>
      <c r="C89" s="13">
        <f>C88/C84</f>
        <v>-7.3778664007976072E-2</v>
      </c>
      <c r="D89" s="13">
        <f t="shared" ref="D89" si="1231">D88/D84</f>
        <v>0.34745762711864409</v>
      </c>
      <c r="E89" s="13">
        <f t="shared" ref="E89" si="1232">E88/E84</f>
        <v>-0.12110091743119267</v>
      </c>
      <c r="F89" s="13">
        <f t="shared" ref="F89" si="1233">F88/F84</f>
        <v>-0.1098153547133139</v>
      </c>
      <c r="G89" s="13">
        <f t="shared" ref="G89" si="1234">G88/G84</f>
        <v>2.0100502512562814E-2</v>
      </c>
      <c r="H89" s="13" t="e">
        <f t="shared" ref="H89" si="1235">H88/H84</f>
        <v>#DIV/0!</v>
      </c>
      <c r="I89" s="13" t="e">
        <f t="shared" ref="I89" si="1236">I88/I84</f>
        <v>#DIV/0!</v>
      </c>
      <c r="J89" s="13">
        <f t="shared" ref="J89" si="1237">J88/J84</f>
        <v>-0.57068965517241377</v>
      </c>
      <c r="K89" s="13" t="e">
        <f t="shared" ref="K89" si="1238">K88/K84</f>
        <v>#DIV/0!</v>
      </c>
      <c r="L89" s="13">
        <f t="shared" ref="L89" si="1239">L88/L84</f>
        <v>-0.31521739130434784</v>
      </c>
      <c r="M89" s="13">
        <f t="shared" ref="M89" si="1240">M88/M84</f>
        <v>-4.9450549450549448E-2</v>
      </c>
      <c r="N89" s="13" t="e">
        <f t="shared" ref="N89" si="1241">N88/N84</f>
        <v>#DIV/0!</v>
      </c>
      <c r="O89" s="13" t="e">
        <f t="shared" ref="O89" si="1242">O88/O84</f>
        <v>#DIV/0!</v>
      </c>
      <c r="P89" s="13">
        <f t="shared" ref="P89" si="1243">P88/P84</f>
        <v>-0.64814814814814814</v>
      </c>
      <c r="Q89" s="13" t="e">
        <f t="shared" ref="Q89" si="1244">Q88/Q84</f>
        <v>#DIV/0!</v>
      </c>
      <c r="R89" s="13">
        <f t="shared" ref="R89" si="1245">R88/R84</f>
        <v>-1</v>
      </c>
      <c r="S89" s="13" t="e">
        <f t="shared" ref="S89" si="1246">S88/S84</f>
        <v>#DIV/0!</v>
      </c>
      <c r="T89" s="13" t="e">
        <f t="shared" ref="T89:U89" si="1247">T88/T84</f>
        <v>#DIV/0!</v>
      </c>
      <c r="U89" s="13" t="e">
        <f t="shared" si="1247"/>
        <v>#DIV/0!</v>
      </c>
      <c r="V89" s="162" t="e">
        <f t="shared" ref="V89" si="1248">V88/V84</f>
        <v>#DIV/0!</v>
      </c>
      <c r="W89" s="13" t="e">
        <f t="shared" ref="W89" si="1249">W88/W84</f>
        <v>#DIV/0!</v>
      </c>
      <c r="X89" s="13" t="e">
        <f t="shared" ref="X89" si="1250">X88/X84</f>
        <v>#DIV/0!</v>
      </c>
      <c r="Y89" s="13">
        <f t="shared" ref="Y89" si="1251">Y88/Y84</f>
        <v>-0.97959183673469385</v>
      </c>
      <c r="Z89" s="13" t="e">
        <f t="shared" ref="Z89" si="1252">Z88/Z84</f>
        <v>#DIV/0!</v>
      </c>
      <c r="AA89" s="13" t="e">
        <f t="shared" ref="AA89:AD89" si="1253">AA88/AA84</f>
        <v>#DIV/0!</v>
      </c>
      <c r="AB89" s="13" t="e">
        <f t="shared" ref="AB89" si="1254">AB88/AB84</f>
        <v>#DIV/0!</v>
      </c>
      <c r="AC89" s="14" t="e">
        <f t="shared" si="1253"/>
        <v>#DIV/0!</v>
      </c>
      <c r="AD89" s="224">
        <f t="shared" si="1253"/>
        <v>-6.889322634280344E-2</v>
      </c>
      <c r="AE89" s="13" t="e">
        <f t="shared" ref="AE89" si="1255">AE88/AE84</f>
        <v>#DIV/0!</v>
      </c>
      <c r="AF89" s="13" t="e">
        <f t="shared" ref="AF89" si="1256">AF88/AF84</f>
        <v>#DIV/0!</v>
      </c>
      <c r="AG89" s="13" t="e">
        <f t="shared" ref="AG89" si="1257">AG88/AG84</f>
        <v>#DIV/0!</v>
      </c>
      <c r="AH89" s="13" t="e">
        <f t="shared" ref="AH89" si="1258">AH88/AH84</f>
        <v>#DIV/0!</v>
      </c>
      <c r="AI89" s="13" t="e">
        <f t="shared" ref="AI89" si="1259">AI88/AI84</f>
        <v>#DIV/0!</v>
      </c>
      <c r="AJ89" s="13" t="e">
        <f t="shared" ref="AJ89" si="1260">AJ88/AJ84</f>
        <v>#DIV/0!</v>
      </c>
      <c r="AK89" s="13">
        <f t="shared" ref="AK89" si="1261">AK88/AK84</f>
        <v>2.5768654822335026</v>
      </c>
      <c r="AL89" s="13">
        <f t="shared" ref="AL89" si="1262">AL88/AL84</f>
        <v>-1</v>
      </c>
      <c r="AM89" s="13">
        <f t="shared" ref="AM89" si="1263">AM88/AM84</f>
        <v>0.65376199417268765</v>
      </c>
      <c r="AN89" s="13" t="e">
        <f t="shared" ref="AN89" si="1264">AN88/AN84</f>
        <v>#DIV/0!</v>
      </c>
      <c r="AO89" s="162" t="e">
        <f t="shared" ref="AO89" si="1265">AO88/AO84</f>
        <v>#DIV/0!</v>
      </c>
      <c r="AP89" s="13" t="e">
        <f t="shared" ref="AP89" si="1266">AP88/AP84</f>
        <v>#DIV/0!</v>
      </c>
      <c r="AQ89" s="14" t="e">
        <f t="shared" ref="AQ89" si="1267">AQ88/AQ84</f>
        <v>#DIV/0!</v>
      </c>
      <c r="AR89" s="13">
        <f t="shared" ref="AR89" si="1268">AR88/AR84</f>
        <v>-0.581411928304571</v>
      </c>
      <c r="AS89" s="13" t="e">
        <f t="shared" ref="AS89" si="1269">AS88/AS84</f>
        <v>#DIV/0!</v>
      </c>
      <c r="AT89" s="13" t="e">
        <f t="shared" ref="AT89" si="1270">AT88/AT84</f>
        <v>#DIV/0!</v>
      </c>
      <c r="AU89" s="13">
        <f t="shared" ref="AU89" si="1271">AU88/AU84</f>
        <v>-0.53738981484229587</v>
      </c>
      <c r="AV89" s="13" t="e">
        <f t="shared" ref="AV89" si="1272">AV88/AV84</f>
        <v>#DIV/0!</v>
      </c>
      <c r="AW89" s="13" t="e">
        <f t="shared" ref="AW89" si="1273">AW88/AW84</f>
        <v>#DIV/0!</v>
      </c>
      <c r="AX89" s="13" t="e">
        <f t="shared" ref="AX89" si="1274">AX88/AX84</f>
        <v>#DIV/0!</v>
      </c>
      <c r="AY89" s="13" t="e">
        <f t="shared" ref="AY89" si="1275">AY88/AY84</f>
        <v>#DIV/0!</v>
      </c>
      <c r="AZ89" s="13">
        <f t="shared" ref="AZ89" si="1276">AZ88/AZ84</f>
        <v>2.0081384090813419</v>
      </c>
      <c r="BA89" s="13">
        <f t="shared" ref="BA89" si="1277">BA88/BA84</f>
        <v>2.8675306823760431</v>
      </c>
      <c r="BB89" s="14" t="e">
        <f t="shared" ref="BB89" si="1278">BB88/BB84</f>
        <v>#DIV/0!</v>
      </c>
      <c r="BC89" s="13" t="e">
        <f t="shared" ref="BC89" si="1279">BC88/BC84</f>
        <v>#DIV/0!</v>
      </c>
      <c r="BD89" s="13" t="e">
        <f t="shared" ref="BD89" si="1280">BD88/BD84</f>
        <v>#DIV/0!</v>
      </c>
      <c r="BE89" s="13" t="e">
        <f t="shared" ref="BE89" si="1281">BE88/BE84</f>
        <v>#DIV/0!</v>
      </c>
      <c r="BF89" s="13" t="e">
        <f t="shared" ref="BF89" si="1282">BF88/BF84</f>
        <v>#DIV/0!</v>
      </c>
      <c r="BG89" s="13">
        <f t="shared" ref="BG89:BH89" si="1283">BG88/BG84</f>
        <v>-0.91900144116856786</v>
      </c>
      <c r="BH89" s="162">
        <f t="shared" si="1283"/>
        <v>0.79877806684950792</v>
      </c>
      <c r="BI89" s="224">
        <f t="shared" ref="BI89" si="1284">BI88/BI84</f>
        <v>0.79639474595014059</v>
      </c>
      <c r="BJ89" s="13">
        <f t="shared" ref="BJ89:BK89" si="1285">BJ88/BJ84</f>
        <v>8.6853883282141293</v>
      </c>
      <c r="BK89" s="50">
        <f t="shared" si="1285"/>
        <v>0.76773040493586142</v>
      </c>
      <c r="BM89" s="14">
        <f t="shared" ref="BM89" si="1286">BM88/BM84</f>
        <v>0.77004316968873143</v>
      </c>
    </row>
    <row r="90" spans="1:66" ht="15.75" x14ac:dyDescent="0.25">
      <c r="A90" s="128"/>
      <c r="B90" s="5" t="s">
        <v>296</v>
      </c>
      <c r="C90" s="126">
        <f>C85/C82</f>
        <v>0.49827175208581642</v>
      </c>
      <c r="D90" s="126">
        <f t="shared" ref="D90:BK90" si="1287">D85/D82</f>
        <v>0.4044218352572882</v>
      </c>
      <c r="E90" s="126">
        <f t="shared" si="1287"/>
        <v>0.87728937728937728</v>
      </c>
      <c r="F90" s="126">
        <f t="shared" si="1287"/>
        <v>0.48879402347918888</v>
      </c>
      <c r="G90" s="126">
        <f t="shared" si="1287"/>
        <v>0.55313351498637597</v>
      </c>
      <c r="H90" s="126" t="e">
        <f t="shared" si="1287"/>
        <v>#DIV/0!</v>
      </c>
      <c r="I90" s="126" t="e">
        <f t="shared" si="1287"/>
        <v>#DIV/0!</v>
      </c>
      <c r="J90" s="126">
        <f t="shared" si="1287"/>
        <v>0.20493827160493827</v>
      </c>
      <c r="K90" s="126" t="e">
        <f t="shared" si="1287"/>
        <v>#DIV/0!</v>
      </c>
      <c r="L90" s="126">
        <f t="shared" si="1287"/>
        <v>0.39789473684210525</v>
      </c>
      <c r="M90" s="126">
        <f t="shared" si="1287"/>
        <v>0.4148681055155875</v>
      </c>
      <c r="N90" s="126" t="e">
        <f t="shared" si="1287"/>
        <v>#DIV/0!</v>
      </c>
      <c r="O90" s="126" t="e">
        <f t="shared" si="1287"/>
        <v>#DIV/0!</v>
      </c>
      <c r="P90" s="126">
        <f t="shared" si="1287"/>
        <v>0.1630901287553648</v>
      </c>
      <c r="Q90" s="126" t="e">
        <f t="shared" si="1287"/>
        <v>#DIV/0!</v>
      </c>
      <c r="R90" s="126">
        <f t="shared" si="1287"/>
        <v>0</v>
      </c>
      <c r="S90" s="126" t="e">
        <f t="shared" si="1287"/>
        <v>#DIV/0!</v>
      </c>
      <c r="T90" s="126" t="e">
        <f t="shared" si="1287"/>
        <v>#DIV/0!</v>
      </c>
      <c r="U90" s="126" t="e">
        <f t="shared" si="1287"/>
        <v>#DIV/0!</v>
      </c>
      <c r="V90" s="177" t="e">
        <f t="shared" si="1287"/>
        <v>#DIV/0!</v>
      </c>
      <c r="W90" s="126" t="e">
        <f t="shared" si="1287"/>
        <v>#DIV/0!</v>
      </c>
      <c r="X90" s="126" t="e">
        <f t="shared" si="1287"/>
        <v>#DIV/0!</v>
      </c>
      <c r="Y90" s="126">
        <f t="shared" si="1287"/>
        <v>1.1764705882352941E-2</v>
      </c>
      <c r="Z90" s="126" t="e">
        <f t="shared" si="1287"/>
        <v>#DIV/0!</v>
      </c>
      <c r="AA90" s="126" t="e">
        <f t="shared" si="1287"/>
        <v>#DIV/0!</v>
      </c>
      <c r="AB90" s="126">
        <f t="shared" ref="AB90" si="1288">AB85/AB82</f>
        <v>0</v>
      </c>
      <c r="AC90" s="215" t="e">
        <f t="shared" si="1287"/>
        <v>#DIV/0!</v>
      </c>
      <c r="AD90" s="225">
        <f t="shared" si="1287"/>
        <v>0.46434494195688225</v>
      </c>
      <c r="AE90" s="126" t="e">
        <f t="shared" si="1287"/>
        <v>#DIV/0!</v>
      </c>
      <c r="AF90" s="126" t="e">
        <f t="shared" si="1287"/>
        <v>#DIV/0!</v>
      </c>
      <c r="AG90" s="126" t="e">
        <f t="shared" si="1287"/>
        <v>#DIV/0!</v>
      </c>
      <c r="AH90" s="126" t="e">
        <f t="shared" si="1287"/>
        <v>#DIV/0!</v>
      </c>
      <c r="AI90" s="126" t="e">
        <f t="shared" si="1287"/>
        <v>#DIV/0!</v>
      </c>
      <c r="AJ90" s="126" t="e">
        <f t="shared" si="1287"/>
        <v>#DIV/0!</v>
      </c>
      <c r="AK90" s="126">
        <f t="shared" si="1287"/>
        <v>1.9774165485695043</v>
      </c>
      <c r="AL90" s="126">
        <f t="shared" si="1287"/>
        <v>0</v>
      </c>
      <c r="AM90" s="126">
        <f t="shared" si="1287"/>
        <v>0.85035996066309938</v>
      </c>
      <c r="AN90" s="126" t="e">
        <f t="shared" si="1287"/>
        <v>#DIV/0!</v>
      </c>
      <c r="AO90" s="177" t="e">
        <f t="shared" si="1287"/>
        <v>#DIV/0!</v>
      </c>
      <c r="AP90" s="126" t="e">
        <f t="shared" si="1287"/>
        <v>#DIV/0!</v>
      </c>
      <c r="AQ90" s="215" t="e">
        <f t="shared" si="1287"/>
        <v>#DIV/0!</v>
      </c>
      <c r="AR90" s="126">
        <f t="shared" si="1287"/>
        <v>0.33096334691230417</v>
      </c>
      <c r="AS90" s="126" t="e">
        <f t="shared" si="1287"/>
        <v>#DIV/0!</v>
      </c>
      <c r="AT90" s="126" t="e">
        <f t="shared" si="1287"/>
        <v>#DIV/0!</v>
      </c>
      <c r="AU90" s="126">
        <f t="shared" si="1287"/>
        <v>0.31329376530820274</v>
      </c>
      <c r="AV90" s="126" t="e">
        <f t="shared" si="1287"/>
        <v>#DIV/0!</v>
      </c>
      <c r="AW90" s="126" t="e">
        <f t="shared" si="1287"/>
        <v>#DIV/0!</v>
      </c>
      <c r="AX90" s="126" t="e">
        <f t="shared" si="1287"/>
        <v>#DIV/0!</v>
      </c>
      <c r="AY90" s="126" t="e">
        <f t="shared" si="1287"/>
        <v>#DIV/0!</v>
      </c>
      <c r="AZ90" s="126">
        <f t="shared" si="1287"/>
        <v>2.0267707453580566</v>
      </c>
      <c r="BA90" s="126">
        <f t="shared" si="1287"/>
        <v>2.1838886732826968</v>
      </c>
      <c r="BB90" s="215" t="e">
        <f t="shared" si="1287"/>
        <v>#DIV/0!</v>
      </c>
      <c r="BC90" s="126" t="e">
        <f t="shared" si="1287"/>
        <v>#DIV/0!</v>
      </c>
      <c r="BD90" s="126" t="e">
        <f t="shared" si="1287"/>
        <v>#DIV/0!</v>
      </c>
      <c r="BE90" s="126" t="e">
        <f t="shared" si="1287"/>
        <v>#DIV/0!</v>
      </c>
      <c r="BF90" s="126" t="e">
        <f t="shared" si="1287"/>
        <v>#DIV/0!</v>
      </c>
      <c r="BG90" s="126">
        <f t="shared" si="1287"/>
        <v>0.1283480414924911</v>
      </c>
      <c r="BH90" s="177">
        <f t="shared" si="1287"/>
        <v>1.0009000953941574</v>
      </c>
      <c r="BI90" s="225">
        <f t="shared" si="1287"/>
        <v>0.99925619498781015</v>
      </c>
      <c r="BJ90" s="126">
        <f t="shared" si="1287"/>
        <v>0.36959579384481428</v>
      </c>
      <c r="BK90" s="126">
        <f t="shared" si="1287"/>
        <v>1.0343364345091557</v>
      </c>
      <c r="BM90" s="126" t="e">
        <f t="shared" ref="BM90" si="1289">BM85/BM82</f>
        <v>#DIV/0!</v>
      </c>
    </row>
    <row r="91" spans="1:66" s="180" customFormat="1" ht="15.75" x14ac:dyDescent="0.25">
      <c r="A91" s="128"/>
      <c r="B91" s="5" t="s">
        <v>297</v>
      </c>
      <c r="C91" s="11">
        <f>C85-C82</f>
        <v>-8419</v>
      </c>
      <c r="D91" s="11">
        <f t="shared" ref="D91:BM91" si="1290">D85-D82</f>
        <v>-3044</v>
      </c>
      <c r="E91" s="11">
        <f t="shared" si="1290"/>
        <v>-67</v>
      </c>
      <c r="F91" s="11">
        <f t="shared" si="1290"/>
        <v>-958</v>
      </c>
      <c r="G91" s="11">
        <f t="shared" si="1290"/>
        <v>-328</v>
      </c>
      <c r="H91" s="11">
        <f t="shared" si="1290"/>
        <v>0</v>
      </c>
      <c r="I91" s="11">
        <f t="shared" si="1290"/>
        <v>0</v>
      </c>
      <c r="J91" s="11">
        <f t="shared" si="1290"/>
        <v>-966</v>
      </c>
      <c r="K91" s="11">
        <f t="shared" si="1290"/>
        <v>0</v>
      </c>
      <c r="L91" s="11">
        <f t="shared" si="1290"/>
        <v>-286</v>
      </c>
      <c r="M91" s="11">
        <f t="shared" si="1290"/>
        <v>-244</v>
      </c>
      <c r="N91" s="11">
        <f t="shared" si="1290"/>
        <v>0</v>
      </c>
      <c r="O91" s="11">
        <f t="shared" si="1290"/>
        <v>0</v>
      </c>
      <c r="P91" s="11">
        <f t="shared" si="1290"/>
        <v>-195</v>
      </c>
      <c r="Q91" s="11">
        <f t="shared" si="1290"/>
        <v>0</v>
      </c>
      <c r="R91" s="11">
        <f t="shared" si="1290"/>
        <v>-150</v>
      </c>
      <c r="S91" s="11">
        <f t="shared" si="1290"/>
        <v>0</v>
      </c>
      <c r="T91" s="11">
        <f t="shared" si="1290"/>
        <v>0</v>
      </c>
      <c r="U91" s="11">
        <f t="shared" si="1290"/>
        <v>0</v>
      </c>
      <c r="V91" s="9">
        <f t="shared" si="1290"/>
        <v>0</v>
      </c>
      <c r="W91" s="11">
        <f t="shared" si="1290"/>
        <v>0</v>
      </c>
      <c r="X91" s="11">
        <f t="shared" si="1290"/>
        <v>0</v>
      </c>
      <c r="Y91" s="11">
        <f t="shared" si="1290"/>
        <v>-168</v>
      </c>
      <c r="Z91" s="11">
        <f t="shared" si="1290"/>
        <v>0</v>
      </c>
      <c r="AA91" s="11">
        <f t="shared" si="1290"/>
        <v>0</v>
      </c>
      <c r="AB91" s="11">
        <f t="shared" ref="AB91" si="1291">AB85-AB82</f>
        <v>-33</v>
      </c>
      <c r="AC91" s="10">
        <f t="shared" si="1290"/>
        <v>0</v>
      </c>
      <c r="AD91" s="223">
        <f t="shared" si="1290"/>
        <v>-14858</v>
      </c>
      <c r="AE91" s="11">
        <f t="shared" si="1290"/>
        <v>0</v>
      </c>
      <c r="AF91" s="11">
        <f t="shared" si="1290"/>
        <v>1</v>
      </c>
      <c r="AG91" s="11">
        <f t="shared" si="1290"/>
        <v>0</v>
      </c>
      <c r="AH91" s="11">
        <f t="shared" si="1290"/>
        <v>0</v>
      </c>
      <c r="AI91" s="11">
        <f t="shared" si="1290"/>
        <v>0</v>
      </c>
      <c r="AJ91" s="11">
        <f t="shared" si="1290"/>
        <v>0</v>
      </c>
      <c r="AK91" s="11">
        <f t="shared" si="1290"/>
        <v>139319</v>
      </c>
      <c r="AL91" s="11">
        <f t="shared" si="1290"/>
        <v>-9603</v>
      </c>
      <c r="AM91" s="11">
        <f t="shared" si="1290"/>
        <v>-1025271</v>
      </c>
      <c r="AN91" s="11">
        <f t="shared" si="1290"/>
        <v>0</v>
      </c>
      <c r="AO91" s="9">
        <f t="shared" si="1290"/>
        <v>0</v>
      </c>
      <c r="AP91" s="11">
        <f t="shared" si="1290"/>
        <v>727093</v>
      </c>
      <c r="AQ91" s="10">
        <f t="shared" si="1290"/>
        <v>0</v>
      </c>
      <c r="AR91" s="11">
        <f t="shared" si="1290"/>
        <v>-528175</v>
      </c>
      <c r="AS91" s="11">
        <f t="shared" si="1290"/>
        <v>0</v>
      </c>
      <c r="AT91" s="11">
        <f t="shared" si="1290"/>
        <v>0</v>
      </c>
      <c r="AU91" s="11">
        <f t="shared" si="1290"/>
        <v>-239153</v>
      </c>
      <c r="AV91" s="11">
        <f t="shared" si="1290"/>
        <v>0</v>
      </c>
      <c r="AW91" s="11">
        <f t="shared" si="1290"/>
        <v>0</v>
      </c>
      <c r="AX91" s="11">
        <f t="shared" si="1290"/>
        <v>0</v>
      </c>
      <c r="AY91" s="11">
        <f t="shared" si="1290"/>
        <v>0</v>
      </c>
      <c r="AZ91" s="11">
        <f t="shared" si="1290"/>
        <v>325819</v>
      </c>
      <c r="BA91" s="11">
        <f t="shared" si="1290"/>
        <v>640614</v>
      </c>
      <c r="BB91" s="10">
        <f t="shared" si="1290"/>
        <v>0</v>
      </c>
      <c r="BC91" s="11">
        <f t="shared" si="1290"/>
        <v>0</v>
      </c>
      <c r="BD91" s="11">
        <f t="shared" si="1290"/>
        <v>0</v>
      </c>
      <c r="BE91" s="11">
        <f t="shared" si="1290"/>
        <v>0</v>
      </c>
      <c r="BF91" s="11">
        <f t="shared" si="1290"/>
        <v>0</v>
      </c>
      <c r="BG91" s="11">
        <f t="shared" si="1290"/>
        <v>-22520</v>
      </c>
      <c r="BH91" s="11">
        <f t="shared" si="1290"/>
        <v>8124</v>
      </c>
      <c r="BI91" s="223">
        <f t="shared" si="1290"/>
        <v>-6734</v>
      </c>
      <c r="BJ91" s="11">
        <f t="shared" si="1290"/>
        <v>-301192</v>
      </c>
      <c r="BK91" s="11">
        <f t="shared" si="1290"/>
        <v>294458</v>
      </c>
      <c r="BL91" s="11">
        <f t="shared" si="1290"/>
        <v>8870122</v>
      </c>
      <c r="BM91" s="11">
        <f t="shared" si="1290"/>
        <v>8857250</v>
      </c>
    </row>
    <row r="92" spans="1:66" s="180" customFormat="1" ht="15.75" x14ac:dyDescent="0.25">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226"/>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226"/>
      <c r="BJ92" s="5"/>
      <c r="BK92" s="48"/>
    </row>
    <row r="93" spans="1:66" ht="15.75" x14ac:dyDescent="0.25">
      <c r="A93" s="15" t="s">
        <v>142</v>
      </c>
      <c r="B93" s="11" t="s">
        <v>300</v>
      </c>
      <c r="C93" s="120">
        <v>874071</v>
      </c>
      <c r="D93" s="120">
        <v>248485</v>
      </c>
      <c r="E93" s="120">
        <v>36632</v>
      </c>
      <c r="F93" s="120">
        <v>76560</v>
      </c>
      <c r="G93" s="120">
        <v>67137</v>
      </c>
      <c r="H93" s="120">
        <v>0</v>
      </c>
      <c r="I93" s="120">
        <v>0</v>
      </c>
      <c r="J93" s="120">
        <v>0</v>
      </c>
      <c r="K93" s="120">
        <v>382</v>
      </c>
      <c r="L93" s="120">
        <v>2863</v>
      </c>
      <c r="M93" s="120">
        <v>83348</v>
      </c>
      <c r="N93" s="120">
        <v>10356</v>
      </c>
      <c r="O93" s="120">
        <v>3059</v>
      </c>
      <c r="P93" s="120">
        <v>13101</v>
      </c>
      <c r="Q93" s="120">
        <v>0</v>
      </c>
      <c r="R93" s="120">
        <v>2858</v>
      </c>
      <c r="S93" s="120">
        <v>890316</v>
      </c>
      <c r="T93" s="120">
        <v>831482</v>
      </c>
      <c r="U93" s="120"/>
      <c r="V93" s="189">
        <v>0</v>
      </c>
      <c r="W93" s="120">
        <v>0</v>
      </c>
      <c r="X93" s="120">
        <v>0</v>
      </c>
      <c r="Y93" s="120">
        <v>158</v>
      </c>
      <c r="Z93" s="120">
        <v>20</v>
      </c>
      <c r="AA93" s="120">
        <v>66</v>
      </c>
      <c r="AB93" s="120">
        <v>1591</v>
      </c>
      <c r="AC93" s="151">
        <v>0</v>
      </c>
      <c r="AD93" s="229">
        <f t="shared" ref="AD93:AD94" si="1292">SUM(C93:AC93)</f>
        <v>3142485</v>
      </c>
      <c r="AE93" s="120">
        <v>3834</v>
      </c>
      <c r="AF93" s="120">
        <v>79</v>
      </c>
      <c r="AG93" s="151">
        <v>879</v>
      </c>
      <c r="AH93" s="120">
        <v>0</v>
      </c>
      <c r="AI93" s="120">
        <v>0</v>
      </c>
      <c r="AJ93" s="120">
        <v>32</v>
      </c>
      <c r="AK93" s="120">
        <v>19957</v>
      </c>
      <c r="AL93" s="120">
        <v>208861</v>
      </c>
      <c r="AM93" s="120">
        <v>163146</v>
      </c>
      <c r="AN93" s="120">
        <v>0</v>
      </c>
      <c r="AO93" s="189">
        <v>362425</v>
      </c>
      <c r="AP93" s="120">
        <v>0</v>
      </c>
      <c r="AQ93" s="151">
        <v>0</v>
      </c>
      <c r="AR93" s="120">
        <v>0</v>
      </c>
      <c r="AS93" s="120"/>
      <c r="AT93" s="120"/>
      <c r="AU93" s="120">
        <v>0</v>
      </c>
      <c r="AV93" s="120"/>
      <c r="AW93" s="120">
        <v>917</v>
      </c>
      <c r="AX93" s="120">
        <v>291</v>
      </c>
      <c r="AY93" s="120">
        <v>1658</v>
      </c>
      <c r="AZ93" s="120">
        <v>0</v>
      </c>
      <c r="BA93" s="120">
        <v>0</v>
      </c>
      <c r="BB93" s="151">
        <v>0</v>
      </c>
      <c r="BC93" s="120">
        <v>29657</v>
      </c>
      <c r="BD93" s="120">
        <v>29659</v>
      </c>
      <c r="BE93" s="120">
        <v>180</v>
      </c>
      <c r="BF93" s="120">
        <v>3518</v>
      </c>
      <c r="BG93" s="120">
        <v>-51520</v>
      </c>
      <c r="BH93" s="9">
        <f>SUM(AE93:BG93)</f>
        <v>773573</v>
      </c>
      <c r="BI93" s="222">
        <f>AD93+BH93</f>
        <v>3916058</v>
      </c>
      <c r="BJ93" s="96">
        <v>85</v>
      </c>
      <c r="BK93" s="49">
        <f t="shared" ref="BK93:BK94" si="1293">BI93-BJ93</f>
        <v>3915973</v>
      </c>
      <c r="BL93">
        <v>9</v>
      </c>
      <c r="BM93" s="30"/>
    </row>
    <row r="94" spans="1:66" s="41" customFormat="1" ht="15.75" x14ac:dyDescent="0.25">
      <c r="A94" s="134" t="s">
        <v>142</v>
      </c>
      <c r="B94" s="216" t="s">
        <v>325</v>
      </c>
      <c r="C94" s="10">
        <v>524444</v>
      </c>
      <c r="D94" s="10">
        <v>134101</v>
      </c>
      <c r="E94" s="10">
        <v>36632</v>
      </c>
      <c r="F94" s="10">
        <v>45940</v>
      </c>
      <c r="G94" s="10">
        <v>40281</v>
      </c>
      <c r="H94" s="10">
        <v>0</v>
      </c>
      <c r="I94" s="10">
        <v>0</v>
      </c>
      <c r="J94" s="10">
        <v>0</v>
      </c>
      <c r="K94" s="10">
        <v>231</v>
      </c>
      <c r="L94" s="10">
        <v>1718</v>
      </c>
      <c r="M94" s="10">
        <v>50009</v>
      </c>
      <c r="N94" s="10">
        <v>6212</v>
      </c>
      <c r="O94" s="10">
        <v>1837</v>
      </c>
      <c r="P94" s="10">
        <v>7859</v>
      </c>
      <c r="Q94" s="10">
        <v>0</v>
      </c>
      <c r="R94" s="10">
        <v>1716</v>
      </c>
      <c r="S94" s="10">
        <v>712253</v>
      </c>
      <c r="T94" s="10">
        <v>498891</v>
      </c>
      <c r="U94" s="10"/>
      <c r="V94" s="10">
        <v>0</v>
      </c>
      <c r="W94" s="10">
        <v>0</v>
      </c>
      <c r="X94" s="10">
        <v>0</v>
      </c>
      <c r="Y94" s="10">
        <v>96</v>
      </c>
      <c r="Z94" s="10">
        <v>14</v>
      </c>
      <c r="AA94" s="10">
        <v>39</v>
      </c>
      <c r="AB94" s="10">
        <v>953</v>
      </c>
      <c r="AC94" s="10">
        <v>0</v>
      </c>
      <c r="AD94" s="229">
        <f t="shared" si="1292"/>
        <v>2063226</v>
      </c>
      <c r="AE94" s="10">
        <v>2301</v>
      </c>
      <c r="AF94" s="10">
        <v>46</v>
      </c>
      <c r="AG94" s="10">
        <v>526</v>
      </c>
      <c r="AH94" s="10">
        <v>0</v>
      </c>
      <c r="AI94" s="10">
        <v>0</v>
      </c>
      <c r="AJ94" s="10">
        <v>15</v>
      </c>
      <c r="AK94" s="10">
        <v>11975</v>
      </c>
      <c r="AL94" s="10">
        <v>125317</v>
      </c>
      <c r="AM94" s="10">
        <v>97889</v>
      </c>
      <c r="AN94" s="10">
        <v>0</v>
      </c>
      <c r="AO94" s="10">
        <v>217456</v>
      </c>
      <c r="AP94" s="10">
        <v>0</v>
      </c>
      <c r="AQ94" s="10">
        <v>0</v>
      </c>
      <c r="AR94" s="10">
        <v>0</v>
      </c>
      <c r="AS94" s="10"/>
      <c r="AT94" s="10"/>
      <c r="AU94" s="10">
        <v>0</v>
      </c>
      <c r="AV94" s="10"/>
      <c r="AW94" s="10">
        <v>549</v>
      </c>
      <c r="AX94" s="10">
        <v>173</v>
      </c>
      <c r="AY94" s="10">
        <v>996</v>
      </c>
      <c r="AZ94" s="10">
        <v>0</v>
      </c>
      <c r="BA94" s="10">
        <v>0</v>
      </c>
      <c r="BB94" s="10">
        <v>0</v>
      </c>
      <c r="BC94" s="10">
        <v>17795</v>
      </c>
      <c r="BD94" s="10">
        <v>17796</v>
      </c>
      <c r="BE94" s="10">
        <v>105</v>
      </c>
      <c r="BF94" s="10">
        <v>2118</v>
      </c>
      <c r="BG94" s="10">
        <v>-30920</v>
      </c>
      <c r="BH94" s="10">
        <f>SUM(AE94:BG94)</f>
        <v>464137</v>
      </c>
      <c r="BI94" s="222">
        <f>AD94+BH94</f>
        <v>2527363</v>
      </c>
      <c r="BJ94" s="10">
        <v>49</v>
      </c>
      <c r="BK94" s="10">
        <f t="shared" si="1293"/>
        <v>2527314</v>
      </c>
      <c r="BM94" s="217"/>
    </row>
    <row r="95" spans="1:66" ht="15.75" x14ac:dyDescent="0.25">
      <c r="A95" s="128"/>
      <c r="B95" s="12" t="s">
        <v>326</v>
      </c>
      <c r="C95" s="9">
        <f>IF('Upto Month COPPY'!$J$4="",0,'Upto Month COPPY'!$J$4)</f>
        <v>500439</v>
      </c>
      <c r="D95" s="9">
        <f>IF('Upto Month COPPY'!$J$5="",0,'Upto Month COPPY'!$J$5)</f>
        <v>85295</v>
      </c>
      <c r="E95" s="9">
        <f>IF('Upto Month COPPY'!$J$6="",0,'Upto Month COPPY'!$J$6)</f>
        <v>27145</v>
      </c>
      <c r="F95" s="9">
        <f>IF('Upto Month COPPY'!$J$7="",0,'Upto Month COPPY'!$J$7)</f>
        <v>41112</v>
      </c>
      <c r="G95" s="9">
        <f>IF('Upto Month COPPY'!$J$8="",0,'Upto Month COPPY'!$J$8)</f>
        <v>32522</v>
      </c>
      <c r="H95" s="9">
        <f>IF('Upto Month COPPY'!$J$9="",0,'Upto Month COPPY'!$J$9)</f>
        <v>0</v>
      </c>
      <c r="I95" s="9">
        <f>IF('Upto Month COPPY'!$J$10="",0,'Upto Month COPPY'!$J$10)</f>
        <v>0</v>
      </c>
      <c r="J95" s="9">
        <f>IF('Upto Month COPPY'!$J$11="",0,'Upto Month COPPY'!$J$11)</f>
        <v>0</v>
      </c>
      <c r="K95" s="9">
        <f>IF('Upto Month COPPY'!$J$12="",0,'Upto Month COPPY'!$J$12)</f>
        <v>147</v>
      </c>
      <c r="L95" s="9">
        <f>IF('Upto Month COPPY'!$J$13="",0,'Upto Month COPPY'!$J$13)</f>
        <v>1593</v>
      </c>
      <c r="M95" s="9">
        <f>IF('Upto Month COPPY'!$J$14="",0,'Upto Month COPPY'!$J$14)</f>
        <v>48857</v>
      </c>
      <c r="N95" s="9">
        <f>IF('Upto Month COPPY'!$J$15="",0,'Upto Month COPPY'!$J$15)</f>
        <v>5082</v>
      </c>
      <c r="O95" s="9">
        <f>IF('Upto Month COPPY'!$J$16="",0,'Upto Month COPPY'!$J$16)</f>
        <v>1011</v>
      </c>
      <c r="P95" s="9">
        <f>IF('Upto Month COPPY'!$J$17="",0,'Upto Month COPPY'!$J$17)</f>
        <v>6815</v>
      </c>
      <c r="Q95" s="9">
        <f>IF('Upto Month COPPY'!$J$18="",0,'Upto Month COPPY'!$J$18)</f>
        <v>0</v>
      </c>
      <c r="R95" s="9">
        <f>IF('Upto Month COPPY'!$J$21="",0,'Upto Month COPPY'!$J$21)</f>
        <v>584</v>
      </c>
      <c r="S95" s="9">
        <f>IF('Upto Month COPPY'!$J$26="",0,'Upto Month COPPY'!$J$26)</f>
        <v>767279</v>
      </c>
      <c r="T95" s="9">
        <f>IF('Upto Month COPPY'!$J$27="",0,'Upto Month COPPY'!$J$27)</f>
        <v>560950</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73</v>
      </c>
      <c r="Z95" s="9">
        <f>IF('Upto Month COPPY'!$J$43="",0,'Upto Month COPPY'!$J$43)</f>
        <v>5</v>
      </c>
      <c r="AA95" s="9">
        <f>IF('Upto Month COPPY'!$J$44="",0,'Upto Month COPPY'!$J$44)</f>
        <v>20</v>
      </c>
      <c r="AB95" s="9">
        <f>IF('Upto Month COPPY'!$J$48="",0,'Upto Month COPPY'!$J$48)</f>
        <v>0</v>
      </c>
      <c r="AC95" s="10">
        <f>IF('Upto Month COPPY'!$J$51="",0,'Upto Month COPPY'!$J$51)</f>
        <v>0</v>
      </c>
      <c r="AD95" s="229">
        <f t="shared" ref="AD95:AD96" si="1294">SUM(C95:AC95)</f>
        <v>2078929</v>
      </c>
      <c r="AE95" s="9">
        <f>IF('Upto Month COPPY'!$J$19="",0,'Upto Month COPPY'!$J$19)</f>
        <v>702</v>
      </c>
      <c r="AF95" s="9">
        <f>IF('Upto Month COPPY'!$J$20="",0,'Upto Month COPPY'!$J$20)</f>
        <v>195</v>
      </c>
      <c r="AG95" s="9">
        <f>IF('Upto Month COPPY'!$J$22="",0,'Upto Month COPPY'!$J$22)</f>
        <v>2204</v>
      </c>
      <c r="AH95" s="9">
        <f>IF('Upto Month COPPY'!$J$23="",0,'Upto Month COPPY'!$J$23)</f>
        <v>0</v>
      </c>
      <c r="AI95" s="9">
        <f>IF('Upto Month COPPY'!$J$24="",0,'Upto Month COPPY'!$J$24)</f>
        <v>0</v>
      </c>
      <c r="AJ95" s="9">
        <f>IF('Upto Month COPPY'!$J$25="",0,'Upto Month COPPY'!$J$25)</f>
        <v>18</v>
      </c>
      <c r="AK95" s="9">
        <f>IF('Upto Month COPPY'!$J$28="",0,'Upto Month COPPY'!$J$28)</f>
        <v>18184</v>
      </c>
      <c r="AL95" s="9">
        <f>IF('Upto Month COPPY'!$J$29="",0,'Upto Month COPPY'!$J$29)</f>
        <v>153319</v>
      </c>
      <c r="AM95" s="9">
        <f>IF('Upto Month COPPY'!$J$31="",0,'Upto Month COPPY'!$J$31)</f>
        <v>98270</v>
      </c>
      <c r="AN95" s="9">
        <f>IF('Upto Month COPPY'!$J$32="",0,'Upto Month COPPY'!$J$32)</f>
        <v>2</v>
      </c>
      <c r="AO95" s="9">
        <f>IF('Upto Month COPPY'!$J$33="",0,'Upto Month COPPY'!$J$33)</f>
        <v>257456</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468</v>
      </c>
      <c r="AX95" s="9">
        <f>IF('Upto Month COPPY'!$J$46="",0,'Upto Month COPPY'!$J$46)</f>
        <v>52</v>
      </c>
      <c r="AY95" s="9">
        <f>IF('Upto Month COPPY'!$J$47="",0,'Upto Month COPPY'!$J$47)</f>
        <v>1063</v>
      </c>
      <c r="AZ95" s="9">
        <f>IF('Upto Month COPPY'!$J$49="",0,'Upto Month COPPY'!$J$49)</f>
        <v>0</v>
      </c>
      <c r="BA95" s="9">
        <f>IF('Upto Month COPPY'!$J$50="",0,'Upto Month COPPY'!$J$50)</f>
        <v>0</v>
      </c>
      <c r="BB95" s="10">
        <f>IF('Upto Month COPPY'!$J$52="",0,'Upto Month COPPY'!$J$52)</f>
        <v>0</v>
      </c>
      <c r="BC95" s="9">
        <f>IF('Upto Month COPPY'!$J$53="",0,'Upto Month COPPY'!$J$53)</f>
        <v>22135</v>
      </c>
      <c r="BD95" s="9">
        <f>IF('Upto Month COPPY'!$J$54="",0,'Upto Month COPPY'!$J$54)</f>
        <v>22137</v>
      </c>
      <c r="BE95" s="9">
        <f>IF('Upto Month COPPY'!$J$55="",0,'Upto Month COPPY'!$J$55)</f>
        <v>8</v>
      </c>
      <c r="BF95" s="9">
        <f>IF('Upto Month COPPY'!$J$56="",0,'Upto Month COPPY'!$J$56)</f>
        <v>2396</v>
      </c>
      <c r="BG95" s="9">
        <f>IF('Upto Month COPPY'!$J$58="",0,'Upto Month COPPY'!$J$58)</f>
        <v>-47441</v>
      </c>
      <c r="BH95" s="9">
        <f>SUM(AE95:BG95)</f>
        <v>531168</v>
      </c>
      <c r="BI95" s="222">
        <f>AD95+BH95</f>
        <v>2610097</v>
      </c>
      <c r="BJ95" s="9">
        <f>IF('Upto Month COPPY'!$J$60="",0,'Upto Month COPPY'!$J$60)</f>
        <v>11</v>
      </c>
      <c r="BK95" s="49">
        <f t="shared" ref="BK95:BK96" si="1295">BI95-BJ95</f>
        <v>2610086</v>
      </c>
      <c r="BL95">
        <f>'Upto Month COPPY'!$J$61</f>
        <v>2610087</v>
      </c>
      <c r="BM95" s="30">
        <f t="shared" ref="BM95:BM99" si="1296">BK95-AD95</f>
        <v>531157</v>
      </c>
    </row>
    <row r="96" spans="1:66" ht="15.75" x14ac:dyDescent="0.25">
      <c r="A96" s="128"/>
      <c r="B96" s="182" t="s">
        <v>327</v>
      </c>
      <c r="C96" s="9">
        <f>IF('Upto Month Current'!$J$4="",0,'Upto Month Current'!$J$4)</f>
        <v>500806</v>
      </c>
      <c r="D96" s="9">
        <f>IF('Upto Month Current'!$J$5="",0,'Upto Month Current'!$J$5)</f>
        <v>122175</v>
      </c>
      <c r="E96" s="9">
        <f>IF('Upto Month Current'!$J$6="",0,'Upto Month Current'!$J$6)</f>
        <v>27184</v>
      </c>
      <c r="F96" s="9">
        <f>IF('Upto Month Current'!$J$7="",0,'Upto Month Current'!$J$7)</f>
        <v>44271</v>
      </c>
      <c r="G96" s="9">
        <f>IF('Upto Month Current'!$J$8="",0,'Upto Month Current'!$J$8)</f>
        <v>30913</v>
      </c>
      <c r="H96" s="9">
        <f>IF('Upto Month Current'!$J$9="",0,'Upto Month Current'!$J$9)</f>
        <v>0</v>
      </c>
      <c r="I96" s="9">
        <f>IF('Upto Month Current'!$J$10="",0,'Upto Month Current'!$J$10)</f>
        <v>0</v>
      </c>
      <c r="J96" s="9">
        <f>IF('Upto Month Current'!$J$11="",0,'Upto Month Current'!$J$11)</f>
        <v>0</v>
      </c>
      <c r="K96" s="9">
        <f>IF('Upto Month Current'!$J$12="",0,'Upto Month Current'!$J$12)</f>
        <v>1017</v>
      </c>
      <c r="L96" s="9">
        <f>IF('Upto Month Current'!$J$13="",0,'Upto Month Current'!$J$13)</f>
        <v>1230</v>
      </c>
      <c r="M96" s="9">
        <f>IF('Upto Month Current'!$J$14="",0,'Upto Month Current'!$J$14)</f>
        <v>45757</v>
      </c>
      <c r="N96" s="9">
        <f>IF('Upto Month Current'!$J$15="",0,'Upto Month Current'!$J$15)</f>
        <v>6570</v>
      </c>
      <c r="O96" s="9">
        <f>IF('Upto Month Current'!$J$16="",0,'Upto Month Current'!$J$16)</f>
        <v>748</v>
      </c>
      <c r="P96" s="9">
        <f>IF('Upto Month Current'!$J$17="",0,'Upto Month Current'!$J$17)</f>
        <v>6562</v>
      </c>
      <c r="Q96" s="9">
        <f>IF('Upto Month Current'!$J$18="",0,'Upto Month Current'!$J$18)</f>
        <v>0</v>
      </c>
      <c r="R96" s="9">
        <f>IF('Upto Month Current'!$J$21="",0,'Upto Month Current'!$J$21)</f>
        <v>1218</v>
      </c>
      <c r="S96" s="9">
        <f>IF('Upto Month Current'!$J$26="",0,'Upto Month Current'!$J$26)</f>
        <v>797946</v>
      </c>
      <c r="T96" s="9">
        <f>IF('Upto Month Current'!$J$27="",0,'Upto Month Current'!$J$27)</f>
        <v>723284</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2601</v>
      </c>
      <c r="Z96" s="9">
        <f>IF('Upto Month Current'!$J$43="",0,'Upto Month Current'!$J$43)</f>
        <v>314</v>
      </c>
      <c r="AA96" s="9">
        <f>IF('Upto Month Current'!$J$44="",0,'Upto Month Current'!$J$44)</f>
        <v>780</v>
      </c>
      <c r="AB96" s="9">
        <f>IF('Upto Month Current'!$J$48="",0,'Upto Month Current'!$J$48)</f>
        <v>74</v>
      </c>
      <c r="AC96" s="10">
        <f>IF('Upto Month Current'!$J$51="",0,'Upto Month Current'!$J$51)</f>
        <v>0</v>
      </c>
      <c r="AD96" s="229">
        <f t="shared" si="1294"/>
        <v>2313450</v>
      </c>
      <c r="AE96" s="9">
        <f>IF('Upto Month Current'!$J$19="",0,'Upto Month Current'!$J$19)</f>
        <v>645</v>
      </c>
      <c r="AF96" s="9">
        <f>IF('Upto Month Current'!$J$20="",0,'Upto Month Current'!$J$20)</f>
        <v>160</v>
      </c>
      <c r="AG96" s="9">
        <f>IF('Upto Month Current'!$J$22="",0,'Upto Month Current'!$J$22)</f>
        <v>1743</v>
      </c>
      <c r="AH96" s="9">
        <f>IF('Upto Month Current'!$J$23="",0,'Upto Month Current'!$J$23)</f>
        <v>0</v>
      </c>
      <c r="AI96" s="9">
        <f>IF('Upto Month Current'!$J$24="",0,'Upto Month Current'!$J$24)</f>
        <v>0</v>
      </c>
      <c r="AJ96" s="9">
        <f>IF('Upto Month Current'!$J$25="",0,'Upto Month Current'!$J$25)</f>
        <v>117</v>
      </c>
      <c r="AK96" s="9">
        <f>IF('Upto Month Current'!$J$28="",0,'Upto Month Current'!$J$28)</f>
        <v>846</v>
      </c>
      <c r="AL96" s="9">
        <f>IF('Upto Month Current'!$J$29="",0,'Upto Month Current'!$J$29)</f>
        <v>163340</v>
      </c>
      <c r="AM96" s="9">
        <f>IF('Upto Month Current'!$J$31="",0,'Upto Month Current'!$J$31)</f>
        <v>70969</v>
      </c>
      <c r="AN96" s="9">
        <f>IF('Upto Month Current'!$J$32="",0,'Upto Month Current'!$J$32)</f>
        <v>10</v>
      </c>
      <c r="AO96" s="9">
        <f>IF('Upto Month Current'!$J$33="",0,'Upto Month Current'!$J$33)</f>
        <v>220076</v>
      </c>
      <c r="AP96" s="9">
        <f>IF('Upto Month Current'!$J$34="",0,'Upto Month Current'!$J$34)</f>
        <v>0</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310</v>
      </c>
      <c r="AX96" s="9">
        <f>IF('Upto Month Current'!$J$46="",0,'Upto Month Current'!$J$46)</f>
        <v>273</v>
      </c>
      <c r="AY96" s="9">
        <f>IF('Upto Month Current'!$J$47="",0,'Upto Month Current'!$J$47)</f>
        <v>429</v>
      </c>
      <c r="AZ96" s="9">
        <f>IF('Upto Month Current'!$J$49="",0,'Upto Month Current'!$J$49)</f>
        <v>0</v>
      </c>
      <c r="BA96" s="9">
        <f>IF('Upto Month Current'!$J$50="",0,'Upto Month Current'!$J$50)</f>
        <v>0</v>
      </c>
      <c r="BB96" s="10">
        <f>IF('Upto Month Current'!$J$52="",0,'Upto Month Current'!$J$52)</f>
        <v>0</v>
      </c>
      <c r="BC96" s="9">
        <f>IF('Upto Month Current'!$J$53="",0,'Upto Month Current'!$J$53)</f>
        <v>20338</v>
      </c>
      <c r="BD96" s="9">
        <f>IF('Upto Month Current'!$J$54="",0,'Upto Month Current'!$J$54)</f>
        <v>20082</v>
      </c>
      <c r="BE96" s="9">
        <f>IF('Upto Month Current'!$J$55="",0,'Upto Month Current'!$J$55)</f>
        <v>2</v>
      </c>
      <c r="BF96" s="9">
        <f>IF('Upto Month Current'!$J$56="",0,'Upto Month Current'!$J$56)</f>
        <v>2831</v>
      </c>
      <c r="BG96" s="9">
        <f>IF('Upto Month Current'!$J$58="",0,'Upto Month Current'!$J$58)</f>
        <v>-25958</v>
      </c>
      <c r="BH96" s="9">
        <f>SUM(AE96:BG96)</f>
        <v>476213</v>
      </c>
      <c r="BI96" s="222">
        <f>AD96+BH96</f>
        <v>2789663</v>
      </c>
      <c r="BJ96" s="9">
        <f>IF('Upto Month Current'!$J$60="",0,'Upto Month Current'!$J$60)</f>
        <v>0</v>
      </c>
      <c r="BK96" s="49">
        <f t="shared" si="1295"/>
        <v>2789663</v>
      </c>
      <c r="BL96">
        <f>'Upto Month Current'!$J$61</f>
        <v>2789668</v>
      </c>
      <c r="BM96" s="30">
        <f t="shared" si="1296"/>
        <v>476213</v>
      </c>
    </row>
    <row r="97" spans="1:65" ht="15.75" x14ac:dyDescent="0.25">
      <c r="A97" s="128"/>
      <c r="B97" s="5" t="s">
        <v>132</v>
      </c>
      <c r="C97" s="11">
        <f>C96-C94</f>
        <v>-23638</v>
      </c>
      <c r="D97" s="11">
        <f t="shared" ref="D97" si="1297">D96-D94</f>
        <v>-11926</v>
      </c>
      <c r="E97" s="11">
        <f t="shared" ref="E97" si="1298">E96-E94</f>
        <v>-9448</v>
      </c>
      <c r="F97" s="11">
        <f t="shared" ref="F97" si="1299">F96-F94</f>
        <v>-1669</v>
      </c>
      <c r="G97" s="11">
        <f t="shared" ref="G97" si="1300">G96-G94</f>
        <v>-9368</v>
      </c>
      <c r="H97" s="11">
        <f t="shared" ref="H97" si="1301">H96-H94</f>
        <v>0</v>
      </c>
      <c r="I97" s="11">
        <f t="shared" ref="I97" si="1302">I96-I94</f>
        <v>0</v>
      </c>
      <c r="J97" s="11">
        <f t="shared" ref="J97" si="1303">J96-J94</f>
        <v>0</v>
      </c>
      <c r="K97" s="11">
        <f t="shared" ref="K97" si="1304">K96-K94</f>
        <v>786</v>
      </c>
      <c r="L97" s="11">
        <f t="shared" ref="L97" si="1305">L96-L94</f>
        <v>-488</v>
      </c>
      <c r="M97" s="11">
        <f t="shared" ref="M97" si="1306">M96-M94</f>
        <v>-4252</v>
      </c>
      <c r="N97" s="11">
        <f t="shared" ref="N97" si="1307">N96-N94</f>
        <v>358</v>
      </c>
      <c r="O97" s="11">
        <f t="shared" ref="O97" si="1308">O96-O94</f>
        <v>-1089</v>
      </c>
      <c r="P97" s="11">
        <f t="shared" ref="P97" si="1309">P96-P94</f>
        <v>-1297</v>
      </c>
      <c r="Q97" s="11">
        <f t="shared" ref="Q97" si="1310">Q96-Q94</f>
        <v>0</v>
      </c>
      <c r="R97" s="11">
        <f t="shared" ref="R97" si="1311">R96-R94</f>
        <v>-498</v>
      </c>
      <c r="S97" s="11">
        <f t="shared" ref="S97" si="1312">S96-S94</f>
        <v>85693</v>
      </c>
      <c r="T97" s="11">
        <f t="shared" ref="T97:U97" si="1313">T96-T94</f>
        <v>224393</v>
      </c>
      <c r="U97" s="11">
        <f t="shared" si="1313"/>
        <v>0</v>
      </c>
      <c r="V97" s="9">
        <f t="shared" ref="V97" si="1314">V96-V94</f>
        <v>0</v>
      </c>
      <c r="W97" s="11">
        <f t="shared" ref="W97" si="1315">W96-W94</f>
        <v>0</v>
      </c>
      <c r="X97" s="11">
        <f t="shared" ref="X97" si="1316">X96-X94</f>
        <v>0</v>
      </c>
      <c r="Y97" s="11">
        <f t="shared" ref="Y97" si="1317">Y96-Y94</f>
        <v>2505</v>
      </c>
      <c r="Z97" s="11">
        <f t="shared" ref="Z97" si="1318">Z96-Z94</f>
        <v>300</v>
      </c>
      <c r="AA97" s="11">
        <f t="shared" ref="AA97:AD97" si="1319">AA96-AA94</f>
        <v>741</v>
      </c>
      <c r="AB97" s="11">
        <f t="shared" ref="AB97" si="1320">AB96-AB94</f>
        <v>-879</v>
      </c>
      <c r="AC97" s="10">
        <f t="shared" si="1319"/>
        <v>0</v>
      </c>
      <c r="AD97" s="223">
        <f t="shared" si="1319"/>
        <v>250224</v>
      </c>
      <c r="AE97" s="11">
        <f t="shared" ref="AE97" si="1321">AE96-AE94</f>
        <v>-1656</v>
      </c>
      <c r="AF97" s="11">
        <f t="shared" ref="AF97" si="1322">AF96-AF94</f>
        <v>114</v>
      </c>
      <c r="AG97" s="11">
        <f t="shared" ref="AG97" si="1323">AG96-AG94</f>
        <v>1217</v>
      </c>
      <c r="AH97" s="11">
        <f t="shared" ref="AH97" si="1324">AH96-AH94</f>
        <v>0</v>
      </c>
      <c r="AI97" s="11">
        <f t="shared" ref="AI97" si="1325">AI96-AI94</f>
        <v>0</v>
      </c>
      <c r="AJ97" s="11">
        <f t="shared" ref="AJ97" si="1326">AJ96-AJ94</f>
        <v>102</v>
      </c>
      <c r="AK97" s="11">
        <f t="shared" ref="AK97" si="1327">AK96-AK94</f>
        <v>-11129</v>
      </c>
      <c r="AL97" s="11">
        <f t="shared" ref="AL97" si="1328">AL96-AL94</f>
        <v>38023</v>
      </c>
      <c r="AM97" s="11">
        <f t="shared" ref="AM97" si="1329">AM96-AM94</f>
        <v>-26920</v>
      </c>
      <c r="AN97" s="11">
        <f t="shared" ref="AN97" si="1330">AN96-AN94</f>
        <v>10</v>
      </c>
      <c r="AO97" s="9">
        <f t="shared" ref="AO97" si="1331">AO96-AO94</f>
        <v>2620</v>
      </c>
      <c r="AP97" s="11">
        <f t="shared" ref="AP97" si="1332">AP96-AP94</f>
        <v>0</v>
      </c>
      <c r="AQ97" s="10">
        <f t="shared" ref="AQ97" si="1333">AQ96-AQ94</f>
        <v>0</v>
      </c>
      <c r="AR97" s="11">
        <f t="shared" ref="AR97" si="1334">AR96-AR94</f>
        <v>0</v>
      </c>
      <c r="AS97" s="11">
        <f t="shared" ref="AS97" si="1335">AS96-AS94</f>
        <v>0</v>
      </c>
      <c r="AT97" s="11">
        <f t="shared" ref="AT97" si="1336">AT96-AT94</f>
        <v>0</v>
      </c>
      <c r="AU97" s="11">
        <f t="shared" ref="AU97" si="1337">AU96-AU94</f>
        <v>0</v>
      </c>
      <c r="AV97" s="11">
        <f t="shared" ref="AV97" si="1338">AV96-AV94</f>
        <v>0</v>
      </c>
      <c r="AW97" s="11">
        <f t="shared" ref="AW97" si="1339">AW96-AW94</f>
        <v>-239</v>
      </c>
      <c r="AX97" s="11">
        <f t="shared" ref="AX97" si="1340">AX96-AX94</f>
        <v>100</v>
      </c>
      <c r="AY97" s="11">
        <f t="shared" ref="AY97" si="1341">AY96-AY94</f>
        <v>-567</v>
      </c>
      <c r="AZ97" s="11">
        <f t="shared" ref="AZ97" si="1342">AZ96-AZ94</f>
        <v>0</v>
      </c>
      <c r="BA97" s="11">
        <f t="shared" ref="BA97" si="1343">BA96-BA94</f>
        <v>0</v>
      </c>
      <c r="BB97" s="10">
        <f t="shared" ref="BB97" si="1344">BB96-BB94</f>
        <v>0</v>
      </c>
      <c r="BC97" s="11">
        <f t="shared" ref="BC97" si="1345">BC96-BC94</f>
        <v>2543</v>
      </c>
      <c r="BD97" s="11">
        <f t="shared" ref="BD97" si="1346">BD96-BD94</f>
        <v>2286</v>
      </c>
      <c r="BE97" s="11">
        <f t="shared" ref="BE97" si="1347">BE96-BE94</f>
        <v>-103</v>
      </c>
      <c r="BF97" s="11">
        <f t="shared" ref="BF97" si="1348">BF96-BF94</f>
        <v>713</v>
      </c>
      <c r="BG97" s="11">
        <f t="shared" ref="BG97:BH97" si="1349">BG96-BG94</f>
        <v>4962</v>
      </c>
      <c r="BH97" s="9">
        <f t="shared" si="1349"/>
        <v>12076</v>
      </c>
      <c r="BI97" s="223">
        <f t="shared" ref="BI97" si="1350">BI96-BI94</f>
        <v>262300</v>
      </c>
      <c r="BJ97" s="11">
        <f t="shared" ref="BJ97:BK97" si="1351">BJ96-BJ94</f>
        <v>-49</v>
      </c>
      <c r="BK97" s="49">
        <f t="shared" si="1351"/>
        <v>262349</v>
      </c>
      <c r="BM97" s="30">
        <f t="shared" si="1296"/>
        <v>12125</v>
      </c>
    </row>
    <row r="98" spans="1:65" ht="15.75" x14ac:dyDescent="0.25">
      <c r="A98" s="128"/>
      <c r="B98" s="5" t="s">
        <v>133</v>
      </c>
      <c r="C98" s="13">
        <f>C97/C94</f>
        <v>-4.5072495824149003E-2</v>
      </c>
      <c r="D98" s="13">
        <f t="shared" ref="D98" si="1352">D97/D94</f>
        <v>-8.8932968434239867E-2</v>
      </c>
      <c r="E98" s="13">
        <f t="shared" ref="E98" si="1353">E97/E94</f>
        <v>-0.25791657567154402</v>
      </c>
      <c r="F98" s="13">
        <f t="shared" ref="F98" si="1354">F97/F94</f>
        <v>-3.632999564649543E-2</v>
      </c>
      <c r="G98" s="13">
        <f t="shared" ref="G98" si="1355">G97/G94</f>
        <v>-0.23256622228842383</v>
      </c>
      <c r="H98" s="13" t="e">
        <f t="shared" ref="H98" si="1356">H97/H94</f>
        <v>#DIV/0!</v>
      </c>
      <c r="I98" s="13" t="e">
        <f t="shared" ref="I98" si="1357">I97/I94</f>
        <v>#DIV/0!</v>
      </c>
      <c r="J98" s="13" t="e">
        <f t="shared" ref="J98" si="1358">J97/J94</f>
        <v>#DIV/0!</v>
      </c>
      <c r="K98" s="13">
        <f t="shared" ref="K98" si="1359">K97/K94</f>
        <v>3.4025974025974026</v>
      </c>
      <c r="L98" s="13">
        <f t="shared" ref="L98" si="1360">L97/L94</f>
        <v>-0.2840512223515716</v>
      </c>
      <c r="M98" s="13">
        <f t="shared" ref="M98" si="1361">M97/M94</f>
        <v>-8.5024695554800134E-2</v>
      </c>
      <c r="N98" s="13">
        <f t="shared" ref="N98" si="1362">N97/N94</f>
        <v>5.7630392788151963E-2</v>
      </c>
      <c r="O98" s="13">
        <f t="shared" ref="O98" si="1363">O97/O94</f>
        <v>-0.59281437125748504</v>
      </c>
      <c r="P98" s="13">
        <f t="shared" ref="P98" si="1364">P97/P94</f>
        <v>-0.16503371930271027</v>
      </c>
      <c r="Q98" s="13" t="e">
        <f t="shared" ref="Q98" si="1365">Q97/Q94</f>
        <v>#DIV/0!</v>
      </c>
      <c r="R98" s="13">
        <f t="shared" ref="R98" si="1366">R97/R94</f>
        <v>-0.29020979020979021</v>
      </c>
      <c r="S98" s="13">
        <f t="shared" ref="S98" si="1367">S97/S94</f>
        <v>0.1203125855559752</v>
      </c>
      <c r="T98" s="13">
        <f t="shared" ref="T98:U98" si="1368">T97/T94</f>
        <v>0.44978362006931372</v>
      </c>
      <c r="U98" s="13" t="e">
        <f t="shared" si="1368"/>
        <v>#DIV/0!</v>
      </c>
      <c r="V98" s="162" t="e">
        <f t="shared" ref="V98" si="1369">V97/V94</f>
        <v>#DIV/0!</v>
      </c>
      <c r="W98" s="13" t="e">
        <f t="shared" ref="W98" si="1370">W97/W94</f>
        <v>#DIV/0!</v>
      </c>
      <c r="X98" s="13" t="e">
        <f t="shared" ref="X98" si="1371">X97/X94</f>
        <v>#DIV/0!</v>
      </c>
      <c r="Y98" s="13">
        <f t="shared" ref="Y98" si="1372">Y97/Y94</f>
        <v>26.09375</v>
      </c>
      <c r="Z98" s="13">
        <f t="shared" ref="Z98" si="1373">Z97/Z94</f>
        <v>21.428571428571427</v>
      </c>
      <c r="AA98" s="13">
        <f t="shared" ref="AA98:AD98" si="1374">AA97/AA94</f>
        <v>19</v>
      </c>
      <c r="AB98" s="13">
        <f t="shared" ref="AB98" si="1375">AB97/AB94</f>
        <v>-0.92235047219307453</v>
      </c>
      <c r="AC98" s="14" t="e">
        <f t="shared" si="1374"/>
        <v>#DIV/0!</v>
      </c>
      <c r="AD98" s="224">
        <f t="shared" si="1374"/>
        <v>0.12127803740356122</v>
      </c>
      <c r="AE98" s="13">
        <f t="shared" ref="AE98" si="1376">AE97/AE94</f>
        <v>-0.71968709256844854</v>
      </c>
      <c r="AF98" s="13">
        <f t="shared" ref="AF98" si="1377">AF97/AF94</f>
        <v>2.4782608695652173</v>
      </c>
      <c r="AG98" s="13">
        <f t="shared" ref="AG98" si="1378">AG97/AG94</f>
        <v>2.3136882129277567</v>
      </c>
      <c r="AH98" s="13" t="e">
        <f t="shared" ref="AH98" si="1379">AH97/AH94</f>
        <v>#DIV/0!</v>
      </c>
      <c r="AI98" s="13" t="e">
        <f t="shared" ref="AI98" si="1380">AI97/AI94</f>
        <v>#DIV/0!</v>
      </c>
      <c r="AJ98" s="13">
        <f t="shared" ref="AJ98" si="1381">AJ97/AJ94</f>
        <v>6.8</v>
      </c>
      <c r="AK98" s="13">
        <f t="shared" ref="AK98" si="1382">AK97/AK94</f>
        <v>-0.92935281837160755</v>
      </c>
      <c r="AL98" s="13">
        <f t="shared" ref="AL98" si="1383">AL97/AL94</f>
        <v>0.30341454072472213</v>
      </c>
      <c r="AM98" s="13">
        <f t="shared" ref="AM98" si="1384">AM97/AM94</f>
        <v>-0.27500536321752189</v>
      </c>
      <c r="AN98" s="13" t="e">
        <f t="shared" ref="AN98" si="1385">AN97/AN94</f>
        <v>#DIV/0!</v>
      </c>
      <c r="AO98" s="162">
        <f t="shared" ref="AO98" si="1386">AO97/AO94</f>
        <v>1.2048414391876977E-2</v>
      </c>
      <c r="AP98" s="13" t="e">
        <f t="shared" ref="AP98" si="1387">AP97/AP94</f>
        <v>#DIV/0!</v>
      </c>
      <c r="AQ98" s="14" t="e">
        <f t="shared" ref="AQ98" si="1388">AQ97/AQ94</f>
        <v>#DIV/0!</v>
      </c>
      <c r="AR98" s="13" t="e">
        <f t="shared" ref="AR98" si="1389">AR97/AR94</f>
        <v>#DIV/0!</v>
      </c>
      <c r="AS98" s="13" t="e">
        <f t="shared" ref="AS98" si="1390">AS97/AS94</f>
        <v>#DIV/0!</v>
      </c>
      <c r="AT98" s="13" t="e">
        <f t="shared" ref="AT98" si="1391">AT97/AT94</f>
        <v>#DIV/0!</v>
      </c>
      <c r="AU98" s="13" t="e">
        <f t="shared" ref="AU98" si="1392">AU97/AU94</f>
        <v>#DIV/0!</v>
      </c>
      <c r="AV98" s="13" t="e">
        <f t="shared" ref="AV98" si="1393">AV97/AV94</f>
        <v>#DIV/0!</v>
      </c>
      <c r="AW98" s="13">
        <f t="shared" ref="AW98" si="1394">AW97/AW94</f>
        <v>-0.43533697632058288</v>
      </c>
      <c r="AX98" s="13">
        <f t="shared" ref="AX98" si="1395">AX97/AX94</f>
        <v>0.5780346820809249</v>
      </c>
      <c r="AY98" s="13">
        <f t="shared" ref="AY98" si="1396">AY97/AY94</f>
        <v>-0.56927710843373491</v>
      </c>
      <c r="AZ98" s="13" t="e">
        <f t="shared" ref="AZ98" si="1397">AZ97/AZ94</f>
        <v>#DIV/0!</v>
      </c>
      <c r="BA98" s="13" t="e">
        <f t="shared" ref="BA98" si="1398">BA97/BA94</f>
        <v>#DIV/0!</v>
      </c>
      <c r="BB98" s="14" t="e">
        <f t="shared" ref="BB98" si="1399">BB97/BB94</f>
        <v>#DIV/0!</v>
      </c>
      <c r="BC98" s="13">
        <f t="shared" ref="BC98" si="1400">BC97/BC94</f>
        <v>0.14290531048047203</v>
      </c>
      <c r="BD98" s="13">
        <f t="shared" ref="BD98" si="1401">BD97/BD94</f>
        <v>0.12845583277140932</v>
      </c>
      <c r="BE98" s="13">
        <f t="shared" ref="BE98" si="1402">BE97/BE94</f>
        <v>-0.98095238095238091</v>
      </c>
      <c r="BF98" s="13">
        <f t="shared" ref="BF98" si="1403">BF97/BF94</f>
        <v>0.33663833805476867</v>
      </c>
      <c r="BG98" s="13">
        <f t="shared" ref="BG98:BH98" si="1404">BG97/BG94</f>
        <v>-0.16047865459249677</v>
      </c>
      <c r="BH98" s="162">
        <f t="shared" si="1404"/>
        <v>2.6018179977032645E-2</v>
      </c>
      <c r="BI98" s="224">
        <f t="shared" ref="BI98" si="1405">BI97/BI94</f>
        <v>0.10378406267718567</v>
      </c>
      <c r="BJ98" s="13">
        <f t="shared" ref="BJ98:BK98" si="1406">BJ97/BJ94</f>
        <v>-1</v>
      </c>
      <c r="BK98" s="50">
        <f t="shared" si="1406"/>
        <v>0.10380546303308572</v>
      </c>
      <c r="BM98" s="162" t="e">
        <f t="shared" ref="BM98" si="1407">BM97/BM94</f>
        <v>#DIV/0!</v>
      </c>
    </row>
    <row r="99" spans="1:65" ht="15.75" x14ac:dyDescent="0.25">
      <c r="A99" s="128"/>
      <c r="B99" s="5" t="s">
        <v>134</v>
      </c>
      <c r="C99" s="11">
        <f>C96-C95</f>
        <v>367</v>
      </c>
      <c r="D99" s="11">
        <f t="shared" ref="D99:BK99" si="1408">D96-D95</f>
        <v>36880</v>
      </c>
      <c r="E99" s="11">
        <f t="shared" si="1408"/>
        <v>39</v>
      </c>
      <c r="F99" s="11">
        <f t="shared" si="1408"/>
        <v>3159</v>
      </c>
      <c r="G99" s="11">
        <f t="shared" si="1408"/>
        <v>-1609</v>
      </c>
      <c r="H99" s="11">
        <f t="shared" si="1408"/>
        <v>0</v>
      </c>
      <c r="I99" s="11">
        <f t="shared" si="1408"/>
        <v>0</v>
      </c>
      <c r="J99" s="11">
        <f t="shared" si="1408"/>
        <v>0</v>
      </c>
      <c r="K99" s="11">
        <f t="shared" si="1408"/>
        <v>870</v>
      </c>
      <c r="L99" s="11">
        <f t="shared" si="1408"/>
        <v>-363</v>
      </c>
      <c r="M99" s="11">
        <f t="shared" si="1408"/>
        <v>-3100</v>
      </c>
      <c r="N99" s="11">
        <f t="shared" si="1408"/>
        <v>1488</v>
      </c>
      <c r="O99" s="11">
        <f t="shared" si="1408"/>
        <v>-263</v>
      </c>
      <c r="P99" s="11">
        <f t="shared" si="1408"/>
        <v>-253</v>
      </c>
      <c r="Q99" s="11">
        <f t="shared" si="1408"/>
        <v>0</v>
      </c>
      <c r="R99" s="11">
        <f t="shared" si="1408"/>
        <v>634</v>
      </c>
      <c r="S99" s="11">
        <f t="shared" si="1408"/>
        <v>30667</v>
      </c>
      <c r="T99" s="11">
        <f t="shared" si="1408"/>
        <v>162334</v>
      </c>
      <c r="U99" s="11">
        <f t="shared" ref="U99" si="1409">U96-U95</f>
        <v>0</v>
      </c>
      <c r="V99" s="9">
        <f t="shared" si="1408"/>
        <v>0</v>
      </c>
      <c r="W99" s="11">
        <f t="shared" si="1408"/>
        <v>0</v>
      </c>
      <c r="X99" s="11">
        <f t="shared" si="1408"/>
        <v>0</v>
      </c>
      <c r="Y99" s="11">
        <f t="shared" si="1408"/>
        <v>2528</v>
      </c>
      <c r="Z99" s="11">
        <f t="shared" si="1408"/>
        <v>309</v>
      </c>
      <c r="AA99" s="11">
        <f t="shared" si="1408"/>
        <v>760</v>
      </c>
      <c r="AB99" s="11">
        <f t="shared" ref="AB99" si="1410">AB96-AB95</f>
        <v>74</v>
      </c>
      <c r="AC99" s="10">
        <f t="shared" ref="AC99:AD99" si="1411">AC96-AC95</f>
        <v>0</v>
      </c>
      <c r="AD99" s="223">
        <f t="shared" si="1411"/>
        <v>234521</v>
      </c>
      <c r="AE99" s="11">
        <f t="shared" si="1408"/>
        <v>-57</v>
      </c>
      <c r="AF99" s="11">
        <f t="shared" si="1408"/>
        <v>-35</v>
      </c>
      <c r="AG99" s="11">
        <f t="shared" si="1408"/>
        <v>-461</v>
      </c>
      <c r="AH99" s="11">
        <f t="shared" si="1408"/>
        <v>0</v>
      </c>
      <c r="AI99" s="11">
        <f t="shared" si="1408"/>
        <v>0</v>
      </c>
      <c r="AJ99" s="11">
        <f t="shared" si="1408"/>
        <v>99</v>
      </c>
      <c r="AK99" s="11">
        <f t="shared" si="1408"/>
        <v>-17338</v>
      </c>
      <c r="AL99" s="11">
        <f t="shared" si="1408"/>
        <v>10021</v>
      </c>
      <c r="AM99" s="11">
        <f t="shared" si="1408"/>
        <v>-27301</v>
      </c>
      <c r="AN99" s="11">
        <f t="shared" si="1408"/>
        <v>8</v>
      </c>
      <c r="AO99" s="9">
        <f t="shared" si="1408"/>
        <v>-37380</v>
      </c>
      <c r="AP99" s="11">
        <f t="shared" si="1408"/>
        <v>0</v>
      </c>
      <c r="AQ99" s="10">
        <f t="shared" si="1408"/>
        <v>0</v>
      </c>
      <c r="AR99" s="11">
        <f t="shared" si="1408"/>
        <v>0</v>
      </c>
      <c r="AS99" s="11">
        <f t="shared" si="1408"/>
        <v>0</v>
      </c>
      <c r="AT99" s="11">
        <f t="shared" si="1408"/>
        <v>0</v>
      </c>
      <c r="AU99" s="11">
        <f t="shared" si="1408"/>
        <v>0</v>
      </c>
      <c r="AV99" s="11">
        <f t="shared" si="1408"/>
        <v>0</v>
      </c>
      <c r="AW99" s="11">
        <f t="shared" si="1408"/>
        <v>-158</v>
      </c>
      <c r="AX99" s="11">
        <f t="shared" si="1408"/>
        <v>221</v>
      </c>
      <c r="AY99" s="11">
        <f t="shared" si="1408"/>
        <v>-634</v>
      </c>
      <c r="AZ99" s="11">
        <f t="shared" si="1408"/>
        <v>0</v>
      </c>
      <c r="BA99" s="11">
        <f t="shared" si="1408"/>
        <v>0</v>
      </c>
      <c r="BB99" s="10">
        <f t="shared" si="1408"/>
        <v>0</v>
      </c>
      <c r="BC99" s="11">
        <f t="shared" si="1408"/>
        <v>-1797</v>
      </c>
      <c r="BD99" s="11">
        <f t="shared" si="1408"/>
        <v>-2055</v>
      </c>
      <c r="BE99" s="11">
        <f t="shared" si="1408"/>
        <v>-6</v>
      </c>
      <c r="BF99" s="11">
        <f t="shared" si="1408"/>
        <v>435</v>
      </c>
      <c r="BG99" s="11">
        <f t="shared" si="1408"/>
        <v>21483</v>
      </c>
      <c r="BH99" s="9">
        <f t="shared" si="1408"/>
        <v>-54955</v>
      </c>
      <c r="BI99" s="223">
        <f t="shared" si="1408"/>
        <v>179566</v>
      </c>
      <c r="BJ99" s="11">
        <f t="shared" si="1408"/>
        <v>-11</v>
      </c>
      <c r="BK99" s="49">
        <f t="shared" si="1408"/>
        <v>179577</v>
      </c>
      <c r="BM99" s="30">
        <f t="shared" si="1296"/>
        <v>-54944</v>
      </c>
    </row>
    <row r="100" spans="1:65" ht="15.75" x14ac:dyDescent="0.25">
      <c r="A100" s="128"/>
      <c r="B100" s="5" t="s">
        <v>135</v>
      </c>
      <c r="C100" s="13">
        <f>C99/C95</f>
        <v>7.3335611333249411E-4</v>
      </c>
      <c r="D100" s="13">
        <f t="shared" ref="D100" si="1412">D99/D95</f>
        <v>0.43238173398206226</v>
      </c>
      <c r="E100" s="13">
        <f t="shared" ref="E100" si="1413">E99/E95</f>
        <v>1.436728679314791E-3</v>
      </c>
      <c r="F100" s="13">
        <f t="shared" ref="F100" si="1414">F99/F95</f>
        <v>7.683887915936953E-2</v>
      </c>
      <c r="G100" s="13">
        <f t="shared" ref="G100" si="1415">G99/G95</f>
        <v>-4.9474202078592953E-2</v>
      </c>
      <c r="H100" s="13" t="e">
        <f t="shared" ref="H100" si="1416">H99/H95</f>
        <v>#DIV/0!</v>
      </c>
      <c r="I100" s="13" t="e">
        <f t="shared" ref="I100" si="1417">I99/I95</f>
        <v>#DIV/0!</v>
      </c>
      <c r="J100" s="13" t="e">
        <f t="shared" ref="J100" si="1418">J99/J95</f>
        <v>#DIV/0!</v>
      </c>
      <c r="K100" s="13">
        <f t="shared" ref="K100" si="1419">K99/K95</f>
        <v>5.9183673469387754</v>
      </c>
      <c r="L100" s="13">
        <f t="shared" ref="L100" si="1420">L99/L95</f>
        <v>-0.22787193973634651</v>
      </c>
      <c r="M100" s="13">
        <f t="shared" ref="M100" si="1421">M99/M95</f>
        <v>-6.3450477925374046E-2</v>
      </c>
      <c r="N100" s="13">
        <f t="shared" ref="N100" si="1422">N99/N95</f>
        <v>0.29279811097992914</v>
      </c>
      <c r="O100" s="13">
        <f t="shared" ref="O100" si="1423">O99/O95</f>
        <v>-0.26013847675568746</v>
      </c>
      <c r="P100" s="13">
        <f t="shared" ref="P100" si="1424">P99/P95</f>
        <v>-3.7123991195891416E-2</v>
      </c>
      <c r="Q100" s="13" t="e">
        <f t="shared" ref="Q100" si="1425">Q99/Q95</f>
        <v>#DIV/0!</v>
      </c>
      <c r="R100" s="13">
        <f t="shared" ref="R100" si="1426">R99/R95</f>
        <v>1.0856164383561644</v>
      </c>
      <c r="S100" s="13">
        <f t="shared" ref="S100" si="1427">S99/S95</f>
        <v>3.9968512105765963E-2</v>
      </c>
      <c r="T100" s="13">
        <f t="shared" ref="T100:U100" si="1428">T99/T95</f>
        <v>0.2893912113379089</v>
      </c>
      <c r="U100" s="13" t="e">
        <f t="shared" si="1428"/>
        <v>#DIV/0!</v>
      </c>
      <c r="V100" s="162" t="e">
        <f t="shared" ref="V100" si="1429">V99/V95</f>
        <v>#DIV/0!</v>
      </c>
      <c r="W100" s="13" t="e">
        <f t="shared" ref="W100" si="1430">W99/W95</f>
        <v>#DIV/0!</v>
      </c>
      <c r="X100" s="13" t="e">
        <f t="shared" ref="X100" si="1431">X99/X95</f>
        <v>#DIV/0!</v>
      </c>
      <c r="Y100" s="13">
        <f t="shared" ref="Y100" si="1432">Y99/Y95</f>
        <v>34.630136986301373</v>
      </c>
      <c r="Z100" s="13">
        <f t="shared" ref="Z100" si="1433">Z99/Z95</f>
        <v>61.8</v>
      </c>
      <c r="AA100" s="13">
        <f t="shared" ref="AA100:AD100" si="1434">AA99/AA95</f>
        <v>38</v>
      </c>
      <c r="AB100" s="13" t="e">
        <f t="shared" ref="AB100" si="1435">AB99/AB95</f>
        <v>#DIV/0!</v>
      </c>
      <c r="AC100" s="14" t="e">
        <f t="shared" si="1434"/>
        <v>#DIV/0!</v>
      </c>
      <c r="AD100" s="224">
        <f t="shared" si="1434"/>
        <v>0.1128085663339152</v>
      </c>
      <c r="AE100" s="13">
        <f t="shared" ref="AE100" si="1436">AE99/AE95</f>
        <v>-8.11965811965812E-2</v>
      </c>
      <c r="AF100" s="13">
        <f t="shared" ref="AF100" si="1437">AF99/AF95</f>
        <v>-0.17948717948717949</v>
      </c>
      <c r="AG100" s="13">
        <f t="shared" ref="AG100" si="1438">AG99/AG95</f>
        <v>-0.20916515426497279</v>
      </c>
      <c r="AH100" s="13" t="e">
        <f t="shared" ref="AH100" si="1439">AH99/AH95</f>
        <v>#DIV/0!</v>
      </c>
      <c r="AI100" s="13" t="e">
        <f t="shared" ref="AI100" si="1440">AI99/AI95</f>
        <v>#DIV/0!</v>
      </c>
      <c r="AJ100" s="13">
        <f t="shared" ref="AJ100" si="1441">AJ99/AJ95</f>
        <v>5.5</v>
      </c>
      <c r="AK100" s="13">
        <f t="shared" ref="AK100" si="1442">AK99/AK95</f>
        <v>-0.95347558293004842</v>
      </c>
      <c r="AL100" s="13">
        <f t="shared" ref="AL100" si="1443">AL99/AL95</f>
        <v>6.5360457607993791E-2</v>
      </c>
      <c r="AM100" s="13">
        <f t="shared" ref="AM100" si="1444">AM99/AM95</f>
        <v>-0.27781622061666839</v>
      </c>
      <c r="AN100" s="13">
        <f t="shared" ref="AN100" si="1445">AN99/AN95</f>
        <v>4</v>
      </c>
      <c r="AO100" s="162">
        <f t="shared" ref="AO100" si="1446">AO99/AO95</f>
        <v>-0.14518985768441986</v>
      </c>
      <c r="AP100" s="13" t="e">
        <f t="shared" ref="AP100" si="1447">AP99/AP95</f>
        <v>#DIV/0!</v>
      </c>
      <c r="AQ100" s="14"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f t="shared" ref="AW100" si="1454">AW99/AW95</f>
        <v>-0.33760683760683763</v>
      </c>
      <c r="AX100" s="13">
        <f t="shared" ref="AX100" si="1455">AX99/AX95</f>
        <v>4.25</v>
      </c>
      <c r="AY100" s="13">
        <f t="shared" ref="AY100" si="1456">AY99/AY95</f>
        <v>-0.59642521166509876</v>
      </c>
      <c r="AZ100" s="13" t="e">
        <f t="shared" ref="AZ100" si="1457">AZ99/AZ95</f>
        <v>#DIV/0!</v>
      </c>
      <c r="BA100" s="13" t="e">
        <f t="shared" ref="BA100" si="1458">BA99/BA95</f>
        <v>#DIV/0!</v>
      </c>
      <c r="BB100" s="14" t="e">
        <f t="shared" ref="BB100" si="1459">BB99/BB95</f>
        <v>#DIV/0!</v>
      </c>
      <c r="BC100" s="13">
        <f t="shared" ref="BC100" si="1460">BC99/BC95</f>
        <v>-8.1183645809803473E-2</v>
      </c>
      <c r="BD100" s="13">
        <f t="shared" ref="BD100" si="1461">BD99/BD95</f>
        <v>-9.2831006911505629E-2</v>
      </c>
      <c r="BE100" s="13">
        <f t="shared" ref="BE100" si="1462">BE99/BE95</f>
        <v>-0.75</v>
      </c>
      <c r="BF100" s="13">
        <f t="shared" ref="BF100" si="1463">BF99/BF95</f>
        <v>0.18155258764607679</v>
      </c>
      <c r="BG100" s="13">
        <f t="shared" ref="BG100:BH100" si="1464">BG99/BG95</f>
        <v>-0.45283615438123143</v>
      </c>
      <c r="BH100" s="162">
        <f t="shared" si="1464"/>
        <v>-0.10346067534188806</v>
      </c>
      <c r="BI100" s="224">
        <f t="shared" ref="BI100" si="1465">BI99/BI95</f>
        <v>6.8796676905111195E-2</v>
      </c>
      <c r="BJ100" s="13">
        <f t="shared" ref="BJ100:BK100" si="1466">BJ99/BJ95</f>
        <v>-1</v>
      </c>
      <c r="BK100" s="50">
        <f t="shared" si="1466"/>
        <v>6.8801181263759129E-2</v>
      </c>
      <c r="BM100" s="14">
        <f t="shared" ref="BM100" si="1467">BM99/BM95</f>
        <v>-0.10344210845380933</v>
      </c>
    </row>
    <row r="101" spans="1:65" ht="15.75" x14ac:dyDescent="0.25">
      <c r="A101" s="128"/>
      <c r="B101" s="5" t="s">
        <v>296</v>
      </c>
      <c r="C101" s="126">
        <f>C96/C93</f>
        <v>0.57295803201341766</v>
      </c>
      <c r="D101" s="126">
        <f t="shared" ref="D101:BK101" si="1468">D96/D93</f>
        <v>0.49167957824415959</v>
      </c>
      <c r="E101" s="126">
        <f t="shared" si="1468"/>
        <v>0.74208342432845598</v>
      </c>
      <c r="F101" s="126">
        <f t="shared" si="1468"/>
        <v>0.57825235109717865</v>
      </c>
      <c r="G101" s="126">
        <f t="shared" si="1468"/>
        <v>0.46044654959262404</v>
      </c>
      <c r="H101" s="126" t="e">
        <f t="shared" si="1468"/>
        <v>#DIV/0!</v>
      </c>
      <c r="I101" s="126" t="e">
        <f t="shared" si="1468"/>
        <v>#DIV/0!</v>
      </c>
      <c r="J101" s="126" t="e">
        <f t="shared" si="1468"/>
        <v>#DIV/0!</v>
      </c>
      <c r="K101" s="126">
        <f t="shared" si="1468"/>
        <v>2.662303664921466</v>
      </c>
      <c r="L101" s="126">
        <f t="shared" si="1468"/>
        <v>0.42961928047502618</v>
      </c>
      <c r="M101" s="126">
        <f t="shared" si="1468"/>
        <v>0.54898737822143306</v>
      </c>
      <c r="N101" s="126">
        <f t="shared" si="1468"/>
        <v>0.63441483198145998</v>
      </c>
      <c r="O101" s="126">
        <f t="shared" si="1468"/>
        <v>0.2445243543641713</v>
      </c>
      <c r="P101" s="126">
        <f t="shared" si="1468"/>
        <v>0.50087779558812306</v>
      </c>
      <c r="Q101" s="126" t="e">
        <f t="shared" si="1468"/>
        <v>#DIV/0!</v>
      </c>
      <c r="R101" s="126">
        <f t="shared" si="1468"/>
        <v>0.42617214835549333</v>
      </c>
      <c r="S101" s="126">
        <f t="shared" si="1468"/>
        <v>0.89625032011106165</v>
      </c>
      <c r="T101" s="126">
        <f t="shared" si="1468"/>
        <v>0.86987331054671058</v>
      </c>
      <c r="U101" s="126" t="e">
        <f t="shared" si="1468"/>
        <v>#DIV/0!</v>
      </c>
      <c r="V101" s="177" t="e">
        <f t="shared" si="1468"/>
        <v>#DIV/0!</v>
      </c>
      <c r="W101" s="126" t="e">
        <f t="shared" si="1468"/>
        <v>#DIV/0!</v>
      </c>
      <c r="X101" s="126" t="e">
        <f t="shared" si="1468"/>
        <v>#DIV/0!</v>
      </c>
      <c r="Y101" s="126">
        <f t="shared" si="1468"/>
        <v>16.462025316455698</v>
      </c>
      <c r="Z101" s="126">
        <f t="shared" si="1468"/>
        <v>15.7</v>
      </c>
      <c r="AA101" s="126">
        <f t="shared" si="1468"/>
        <v>11.818181818181818</v>
      </c>
      <c r="AB101" s="126">
        <f t="shared" ref="AB101" si="1469">AB96/AB93</f>
        <v>4.6511627906976744E-2</v>
      </c>
      <c r="AC101" s="215" t="e">
        <f t="shared" si="1468"/>
        <v>#DIV/0!</v>
      </c>
      <c r="AD101" s="225">
        <f t="shared" si="1468"/>
        <v>0.73618489825727096</v>
      </c>
      <c r="AE101" s="126">
        <f t="shared" si="1468"/>
        <v>0.16823161189358374</v>
      </c>
      <c r="AF101" s="126">
        <f t="shared" si="1468"/>
        <v>2.0253164556962027</v>
      </c>
      <c r="AG101" s="126">
        <f t="shared" si="1468"/>
        <v>1.9829351535836177</v>
      </c>
      <c r="AH101" s="126" t="e">
        <f t="shared" si="1468"/>
        <v>#DIV/0!</v>
      </c>
      <c r="AI101" s="126" t="e">
        <f t="shared" si="1468"/>
        <v>#DIV/0!</v>
      </c>
      <c r="AJ101" s="126">
        <f t="shared" si="1468"/>
        <v>3.65625</v>
      </c>
      <c r="AK101" s="126">
        <f t="shared" si="1468"/>
        <v>4.2391140953049057E-2</v>
      </c>
      <c r="AL101" s="126">
        <f t="shared" si="1468"/>
        <v>0.78205122066829136</v>
      </c>
      <c r="AM101" s="126">
        <f t="shared" si="1468"/>
        <v>0.43500300344476728</v>
      </c>
      <c r="AN101" s="126" t="e">
        <f t="shared" si="1468"/>
        <v>#DIV/0!</v>
      </c>
      <c r="AO101" s="177">
        <f t="shared" si="1468"/>
        <v>0.60723184107056627</v>
      </c>
      <c r="AP101" s="126" t="e">
        <f t="shared" si="1468"/>
        <v>#DIV/0!</v>
      </c>
      <c r="AQ101" s="215" t="e">
        <f t="shared" si="1468"/>
        <v>#DIV/0!</v>
      </c>
      <c r="AR101" s="126" t="e">
        <f t="shared" si="1468"/>
        <v>#DIV/0!</v>
      </c>
      <c r="AS101" s="126" t="e">
        <f t="shared" si="1468"/>
        <v>#DIV/0!</v>
      </c>
      <c r="AT101" s="126" t="e">
        <f t="shared" si="1468"/>
        <v>#DIV/0!</v>
      </c>
      <c r="AU101" s="126" t="e">
        <f t="shared" si="1468"/>
        <v>#DIV/0!</v>
      </c>
      <c r="AV101" s="126" t="e">
        <f t="shared" si="1468"/>
        <v>#DIV/0!</v>
      </c>
      <c r="AW101" s="126">
        <f t="shared" si="1468"/>
        <v>0.33805888767720826</v>
      </c>
      <c r="AX101" s="126">
        <f t="shared" si="1468"/>
        <v>0.93814432989690721</v>
      </c>
      <c r="AY101" s="126">
        <f t="shared" si="1468"/>
        <v>0.25874547647768398</v>
      </c>
      <c r="AZ101" s="126" t="e">
        <f t="shared" si="1468"/>
        <v>#DIV/0!</v>
      </c>
      <c r="BA101" s="126" t="e">
        <f t="shared" si="1468"/>
        <v>#DIV/0!</v>
      </c>
      <c r="BB101" s="215" t="e">
        <f t="shared" si="1468"/>
        <v>#DIV/0!</v>
      </c>
      <c r="BC101" s="126">
        <f t="shared" si="1468"/>
        <v>0.6857740162524868</v>
      </c>
      <c r="BD101" s="126">
        <f t="shared" si="1468"/>
        <v>0.67709632826460775</v>
      </c>
      <c r="BE101" s="126">
        <f t="shared" si="1468"/>
        <v>1.1111111111111112E-2</v>
      </c>
      <c r="BF101" s="126">
        <f t="shared" si="1468"/>
        <v>0.80471859010801594</v>
      </c>
      <c r="BG101" s="126">
        <f t="shared" si="1468"/>
        <v>0.50384316770186333</v>
      </c>
      <c r="BH101" s="177">
        <f t="shared" si="1468"/>
        <v>0.61560188889736323</v>
      </c>
      <c r="BI101" s="225">
        <f t="shared" si="1468"/>
        <v>0.71236508754466865</v>
      </c>
      <c r="BJ101" s="126">
        <f t="shared" si="1468"/>
        <v>0</v>
      </c>
      <c r="BK101" s="126">
        <f t="shared" si="1468"/>
        <v>0.71238055012125978</v>
      </c>
      <c r="BM101" s="126" t="e">
        <f t="shared" ref="BM101" si="1470">BM96/BM93</f>
        <v>#DIV/0!</v>
      </c>
    </row>
    <row r="102" spans="1:65" s="180" customFormat="1" ht="15.75" x14ac:dyDescent="0.25">
      <c r="A102" s="128"/>
      <c r="B102" s="5" t="s">
        <v>297</v>
      </c>
      <c r="C102" s="11">
        <f>C96-C93</f>
        <v>-373265</v>
      </c>
      <c r="D102" s="11">
        <f t="shared" ref="D102:BM102" si="1471">D96-D93</f>
        <v>-126310</v>
      </c>
      <c r="E102" s="11">
        <f t="shared" si="1471"/>
        <v>-9448</v>
      </c>
      <c r="F102" s="11">
        <f t="shared" si="1471"/>
        <v>-32289</v>
      </c>
      <c r="G102" s="11">
        <f t="shared" si="1471"/>
        <v>-36224</v>
      </c>
      <c r="H102" s="11">
        <f t="shared" si="1471"/>
        <v>0</v>
      </c>
      <c r="I102" s="11">
        <f t="shared" si="1471"/>
        <v>0</v>
      </c>
      <c r="J102" s="11">
        <f t="shared" si="1471"/>
        <v>0</v>
      </c>
      <c r="K102" s="11">
        <f t="shared" si="1471"/>
        <v>635</v>
      </c>
      <c r="L102" s="11">
        <f t="shared" si="1471"/>
        <v>-1633</v>
      </c>
      <c r="M102" s="11">
        <f t="shared" si="1471"/>
        <v>-37591</v>
      </c>
      <c r="N102" s="11">
        <f t="shared" si="1471"/>
        <v>-3786</v>
      </c>
      <c r="O102" s="11">
        <f t="shared" si="1471"/>
        <v>-2311</v>
      </c>
      <c r="P102" s="11">
        <f t="shared" si="1471"/>
        <v>-6539</v>
      </c>
      <c r="Q102" s="11">
        <f t="shared" si="1471"/>
        <v>0</v>
      </c>
      <c r="R102" s="11">
        <f t="shared" si="1471"/>
        <v>-1640</v>
      </c>
      <c r="S102" s="11">
        <f t="shared" si="1471"/>
        <v>-92370</v>
      </c>
      <c r="T102" s="11">
        <f t="shared" si="1471"/>
        <v>-108198</v>
      </c>
      <c r="U102" s="11">
        <f t="shared" si="1471"/>
        <v>0</v>
      </c>
      <c r="V102" s="9">
        <f t="shared" si="1471"/>
        <v>0</v>
      </c>
      <c r="W102" s="11">
        <f t="shared" si="1471"/>
        <v>0</v>
      </c>
      <c r="X102" s="11">
        <f t="shared" si="1471"/>
        <v>0</v>
      </c>
      <c r="Y102" s="11">
        <f t="shared" si="1471"/>
        <v>2443</v>
      </c>
      <c r="Z102" s="11">
        <f t="shared" si="1471"/>
        <v>294</v>
      </c>
      <c r="AA102" s="11">
        <f t="shared" si="1471"/>
        <v>714</v>
      </c>
      <c r="AB102" s="11">
        <f t="shared" ref="AB102" si="1472">AB96-AB93</f>
        <v>-1517</v>
      </c>
      <c r="AC102" s="10">
        <f t="shared" si="1471"/>
        <v>0</v>
      </c>
      <c r="AD102" s="223">
        <f t="shared" si="1471"/>
        <v>-829035</v>
      </c>
      <c r="AE102" s="11">
        <f t="shared" si="1471"/>
        <v>-3189</v>
      </c>
      <c r="AF102" s="11">
        <f t="shared" si="1471"/>
        <v>81</v>
      </c>
      <c r="AG102" s="11">
        <f t="shared" si="1471"/>
        <v>864</v>
      </c>
      <c r="AH102" s="11">
        <f t="shared" si="1471"/>
        <v>0</v>
      </c>
      <c r="AI102" s="11">
        <f t="shared" si="1471"/>
        <v>0</v>
      </c>
      <c r="AJ102" s="11">
        <f t="shared" si="1471"/>
        <v>85</v>
      </c>
      <c r="AK102" s="11">
        <f t="shared" si="1471"/>
        <v>-19111</v>
      </c>
      <c r="AL102" s="11">
        <f t="shared" si="1471"/>
        <v>-45521</v>
      </c>
      <c r="AM102" s="11">
        <f t="shared" si="1471"/>
        <v>-92177</v>
      </c>
      <c r="AN102" s="11">
        <f t="shared" si="1471"/>
        <v>10</v>
      </c>
      <c r="AO102" s="9">
        <f t="shared" si="1471"/>
        <v>-142349</v>
      </c>
      <c r="AP102" s="11">
        <f t="shared" si="1471"/>
        <v>0</v>
      </c>
      <c r="AQ102" s="10">
        <f t="shared" si="1471"/>
        <v>0</v>
      </c>
      <c r="AR102" s="11">
        <f t="shared" si="1471"/>
        <v>0</v>
      </c>
      <c r="AS102" s="11">
        <f t="shared" si="1471"/>
        <v>0</v>
      </c>
      <c r="AT102" s="11">
        <f t="shared" si="1471"/>
        <v>0</v>
      </c>
      <c r="AU102" s="11">
        <f t="shared" si="1471"/>
        <v>0</v>
      </c>
      <c r="AV102" s="11">
        <f t="shared" si="1471"/>
        <v>0</v>
      </c>
      <c r="AW102" s="11">
        <f t="shared" si="1471"/>
        <v>-607</v>
      </c>
      <c r="AX102" s="11">
        <f t="shared" si="1471"/>
        <v>-18</v>
      </c>
      <c r="AY102" s="11">
        <f t="shared" si="1471"/>
        <v>-1229</v>
      </c>
      <c r="AZ102" s="11">
        <f t="shared" si="1471"/>
        <v>0</v>
      </c>
      <c r="BA102" s="11">
        <f t="shared" si="1471"/>
        <v>0</v>
      </c>
      <c r="BB102" s="10">
        <f t="shared" si="1471"/>
        <v>0</v>
      </c>
      <c r="BC102" s="11">
        <f t="shared" si="1471"/>
        <v>-9319</v>
      </c>
      <c r="BD102" s="11">
        <f t="shared" si="1471"/>
        <v>-9577</v>
      </c>
      <c r="BE102" s="11">
        <f t="shared" si="1471"/>
        <v>-178</v>
      </c>
      <c r="BF102" s="11">
        <f t="shared" si="1471"/>
        <v>-687</v>
      </c>
      <c r="BG102" s="11">
        <f t="shared" si="1471"/>
        <v>25562</v>
      </c>
      <c r="BH102" s="11">
        <f t="shared" si="1471"/>
        <v>-297360</v>
      </c>
      <c r="BI102" s="223">
        <f t="shared" si="1471"/>
        <v>-1126395</v>
      </c>
      <c r="BJ102" s="11">
        <f t="shared" si="1471"/>
        <v>-85</v>
      </c>
      <c r="BK102" s="11">
        <f t="shared" si="1471"/>
        <v>-1126310</v>
      </c>
      <c r="BL102" s="11">
        <f t="shared" si="1471"/>
        <v>2789659</v>
      </c>
      <c r="BM102" s="11">
        <f t="shared" si="1471"/>
        <v>476213</v>
      </c>
    </row>
    <row r="103" spans="1:65" s="180" customFormat="1" ht="15.75" x14ac:dyDescent="0.25">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226"/>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226"/>
      <c r="BJ103" s="5"/>
      <c r="BK103" s="48"/>
    </row>
    <row r="104" spans="1:65" ht="15.75" x14ac:dyDescent="0.25">
      <c r="A104" s="15" t="s">
        <v>42</v>
      </c>
      <c r="B104" s="11" t="s">
        <v>300</v>
      </c>
      <c r="C104" s="120">
        <v>1439983</v>
      </c>
      <c r="D104" s="120">
        <v>409606</v>
      </c>
      <c r="E104" s="120">
        <v>23170</v>
      </c>
      <c r="F104" s="120">
        <v>159053</v>
      </c>
      <c r="G104" s="120">
        <v>99520</v>
      </c>
      <c r="H104" s="120">
        <v>0</v>
      </c>
      <c r="I104" s="120">
        <v>0</v>
      </c>
      <c r="J104" s="120">
        <v>0</v>
      </c>
      <c r="K104" s="120">
        <v>120</v>
      </c>
      <c r="L104" s="120">
        <v>2477</v>
      </c>
      <c r="M104" s="120">
        <v>187773</v>
      </c>
      <c r="N104" s="120">
        <v>1058</v>
      </c>
      <c r="O104" s="120">
        <v>24597</v>
      </c>
      <c r="P104" s="120">
        <v>157750</v>
      </c>
      <c r="Q104" s="120">
        <v>0</v>
      </c>
      <c r="R104" s="120">
        <v>10398</v>
      </c>
      <c r="S104" s="120">
        <v>0</v>
      </c>
      <c r="T104" s="120">
        <v>0</v>
      </c>
      <c r="U104" s="120"/>
      <c r="V104" s="189">
        <v>0</v>
      </c>
      <c r="W104" s="120">
        <v>0</v>
      </c>
      <c r="X104" s="120">
        <v>0</v>
      </c>
      <c r="Y104" s="120">
        <v>2088</v>
      </c>
      <c r="Z104" s="120">
        <v>774</v>
      </c>
      <c r="AA104" s="120">
        <v>420</v>
      </c>
      <c r="AB104" s="120">
        <v>2622</v>
      </c>
      <c r="AC104" s="151">
        <v>0</v>
      </c>
      <c r="AD104" s="229">
        <f t="shared" ref="AD104:AD105" si="1473">SUM(C104:AC104)</f>
        <v>2521409</v>
      </c>
      <c r="AE104" s="120">
        <v>6495</v>
      </c>
      <c r="AF104" s="120">
        <v>208</v>
      </c>
      <c r="AG104" s="120">
        <v>96</v>
      </c>
      <c r="AH104" s="120">
        <v>0</v>
      </c>
      <c r="AI104" s="120">
        <v>0</v>
      </c>
      <c r="AJ104" s="120">
        <v>0</v>
      </c>
      <c r="AK104" s="120">
        <v>5033</v>
      </c>
      <c r="AL104" s="120">
        <v>11085</v>
      </c>
      <c r="AM104" s="120">
        <v>394</v>
      </c>
      <c r="AN104" s="120">
        <v>289</v>
      </c>
      <c r="AO104" s="189">
        <v>78894</v>
      </c>
      <c r="AP104" s="120">
        <v>177168</v>
      </c>
      <c r="AQ104" s="151">
        <v>0</v>
      </c>
      <c r="AR104" s="120">
        <v>0</v>
      </c>
      <c r="AS104" s="120"/>
      <c r="AT104" s="120"/>
      <c r="AU104" s="120">
        <v>0</v>
      </c>
      <c r="AV104" s="120"/>
      <c r="AW104" s="120">
        <v>4939</v>
      </c>
      <c r="AX104" s="120">
        <v>1512</v>
      </c>
      <c r="AY104" s="120">
        <v>388</v>
      </c>
      <c r="AZ104" s="120"/>
      <c r="BA104" s="120"/>
      <c r="BB104" s="151">
        <v>0</v>
      </c>
      <c r="BC104" s="120">
        <v>6341</v>
      </c>
      <c r="BD104" s="120">
        <v>6341</v>
      </c>
      <c r="BE104" s="120">
        <v>65</v>
      </c>
      <c r="BF104" s="120">
        <v>900</v>
      </c>
      <c r="BG104" s="136">
        <f>934138</f>
        <v>934138</v>
      </c>
      <c r="BH104" s="9">
        <f>SUM(AE104:BG104)</f>
        <v>1234286</v>
      </c>
      <c r="BI104" s="222">
        <f>AD104+BH104</f>
        <v>3755695</v>
      </c>
      <c r="BJ104" s="96">
        <v>148013</v>
      </c>
      <c r="BK104" s="49">
        <f t="shared" ref="BK104:BK105" si="1474">BI104-BJ104</f>
        <v>3607682</v>
      </c>
      <c r="BL104">
        <v>10</v>
      </c>
      <c r="BM104" s="30"/>
    </row>
    <row r="105" spans="1:65" s="41" customFormat="1" ht="15.75" x14ac:dyDescent="0.25">
      <c r="A105" s="134" t="s">
        <v>42</v>
      </c>
      <c r="B105" s="216" t="s">
        <v>325</v>
      </c>
      <c r="C105" s="10">
        <v>863991</v>
      </c>
      <c r="D105" s="10">
        <v>221057</v>
      </c>
      <c r="E105" s="10">
        <v>23170</v>
      </c>
      <c r="F105" s="10">
        <v>95430</v>
      </c>
      <c r="G105" s="10">
        <v>59716</v>
      </c>
      <c r="H105" s="10">
        <v>0</v>
      </c>
      <c r="I105" s="10">
        <v>0</v>
      </c>
      <c r="J105" s="10">
        <v>0</v>
      </c>
      <c r="K105" s="10">
        <v>74</v>
      </c>
      <c r="L105" s="10">
        <v>1486</v>
      </c>
      <c r="M105" s="10">
        <v>112663</v>
      </c>
      <c r="N105" s="10">
        <v>636</v>
      </c>
      <c r="O105" s="10">
        <v>14759</v>
      </c>
      <c r="P105" s="10">
        <v>94650</v>
      </c>
      <c r="Q105" s="10">
        <v>0</v>
      </c>
      <c r="R105" s="10">
        <v>6240</v>
      </c>
      <c r="S105" s="10">
        <v>0</v>
      </c>
      <c r="T105" s="10">
        <v>0</v>
      </c>
      <c r="U105" s="10"/>
      <c r="V105" s="10">
        <v>0</v>
      </c>
      <c r="W105" s="10">
        <v>0</v>
      </c>
      <c r="X105" s="10">
        <v>0</v>
      </c>
      <c r="Y105" s="10">
        <v>1255</v>
      </c>
      <c r="Z105" s="10">
        <v>462</v>
      </c>
      <c r="AA105" s="10">
        <v>254</v>
      </c>
      <c r="AB105" s="10">
        <v>1574</v>
      </c>
      <c r="AC105" s="10">
        <v>0</v>
      </c>
      <c r="AD105" s="229">
        <f t="shared" si="1473"/>
        <v>1497417</v>
      </c>
      <c r="AE105" s="10">
        <v>3899</v>
      </c>
      <c r="AF105" s="10">
        <v>125</v>
      </c>
      <c r="AG105" s="10">
        <v>59</v>
      </c>
      <c r="AH105" s="10">
        <v>0</v>
      </c>
      <c r="AI105" s="10">
        <v>0</v>
      </c>
      <c r="AJ105" s="10">
        <v>0</v>
      </c>
      <c r="AK105" s="10">
        <v>3021</v>
      </c>
      <c r="AL105" s="10">
        <v>6652</v>
      </c>
      <c r="AM105" s="10">
        <v>238</v>
      </c>
      <c r="AN105" s="10">
        <v>173</v>
      </c>
      <c r="AO105" s="10">
        <v>47339</v>
      </c>
      <c r="AP105" s="10">
        <v>106299</v>
      </c>
      <c r="AQ105" s="10">
        <v>0</v>
      </c>
      <c r="AR105" s="10">
        <v>0</v>
      </c>
      <c r="AS105" s="10"/>
      <c r="AT105" s="10"/>
      <c r="AU105" s="10">
        <v>0</v>
      </c>
      <c r="AV105" s="10"/>
      <c r="AW105" s="10">
        <v>2963</v>
      </c>
      <c r="AX105" s="10">
        <v>907</v>
      </c>
      <c r="AY105" s="10">
        <v>233</v>
      </c>
      <c r="AZ105" s="10">
        <v>0</v>
      </c>
      <c r="BA105" s="10">
        <v>0</v>
      </c>
      <c r="BB105" s="10">
        <v>0</v>
      </c>
      <c r="BC105" s="10">
        <v>3803</v>
      </c>
      <c r="BD105" s="10">
        <v>3803</v>
      </c>
      <c r="BE105" s="10">
        <v>39</v>
      </c>
      <c r="BF105" s="10">
        <v>539</v>
      </c>
      <c r="BG105" s="10">
        <v>579909</v>
      </c>
      <c r="BH105" s="10">
        <f>SUM(AE105:BG105)</f>
        <v>760001</v>
      </c>
      <c r="BI105" s="222">
        <f>AD105+BH105</f>
        <v>2257418</v>
      </c>
      <c r="BJ105" s="10">
        <v>74059</v>
      </c>
      <c r="BK105" s="10">
        <f t="shared" si="1474"/>
        <v>2183359</v>
      </c>
      <c r="BM105" s="217"/>
    </row>
    <row r="106" spans="1:65" ht="15.75" x14ac:dyDescent="0.25">
      <c r="A106" s="128"/>
      <c r="B106" s="12" t="s">
        <v>326</v>
      </c>
      <c r="C106" s="9">
        <f>IF('Upto Month COPPY'!$K$4="",0,'Upto Month COPPY'!$K$4)</f>
        <v>923561</v>
      </c>
      <c r="D106" s="9">
        <f>IF('Upto Month COPPY'!$K$5="",0,'Upto Month COPPY'!$K$5)</f>
        <v>154531</v>
      </c>
      <c r="E106" s="9">
        <f>IF('Upto Month COPPY'!$K$6="",0,'Upto Month COPPY'!$K$6)</f>
        <v>6123</v>
      </c>
      <c r="F106" s="9">
        <f>IF('Upto Month COPPY'!$K$7="",0,'Upto Month COPPY'!$K$7)</f>
        <v>74607</v>
      </c>
      <c r="G106" s="9">
        <f>IF('Upto Month COPPY'!$K$8="",0,'Upto Month COPPY'!$K$8)</f>
        <v>46916</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815</v>
      </c>
      <c r="M106" s="9">
        <f>IF('Upto Month COPPY'!$K$14="",0,'Upto Month COPPY'!$K$14)</f>
        <v>99573</v>
      </c>
      <c r="N106" s="9">
        <f>IF('Upto Month COPPY'!$K$15="",0,'Upto Month COPPY'!$K$15)</f>
        <v>98</v>
      </c>
      <c r="O106" s="9">
        <f>IF('Upto Month COPPY'!$K$16="",0,'Upto Month COPPY'!$K$16)</f>
        <v>3801</v>
      </c>
      <c r="P106" s="9">
        <f>IF('Upto Month COPPY'!$K$17="",0,'Upto Month COPPY'!$K$17)</f>
        <v>106898</v>
      </c>
      <c r="Q106" s="9">
        <f>IF('Upto Month COPPY'!$K$18="",0,'Upto Month COPPY'!$K$18)</f>
        <v>0</v>
      </c>
      <c r="R106" s="9">
        <f>IF('Upto Month COPPY'!$K$21="",0,'Upto Month COPPY'!$K$21)</f>
        <v>1508</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1320</v>
      </c>
      <c r="Z106" s="9">
        <f>IF('Upto Month COPPY'!$K$43="",0,'Upto Month COPPY'!$K$43)</f>
        <v>310</v>
      </c>
      <c r="AA106" s="9">
        <f>IF('Upto Month COPPY'!$K$44="",0,'Upto Month COPPY'!$K$44)</f>
        <v>239</v>
      </c>
      <c r="AB106" s="9">
        <f>IF('Upto Month COPPY'!$K$48="",0,'Upto Month COPPY'!$K$48)</f>
        <v>0</v>
      </c>
      <c r="AC106" s="10">
        <f>IF('Upto Month COPPY'!$K$51="",0,'Upto Month COPPY'!$K$51)</f>
        <v>0</v>
      </c>
      <c r="AD106" s="229">
        <f t="shared" ref="AD106:AD107" si="1475">SUM(C106:AC106)</f>
        <v>1420300</v>
      </c>
      <c r="AE106" s="9">
        <f>IF('Upto Month COPPY'!$K$19="",0,'Upto Month COPPY'!$K$19)</f>
        <v>3104</v>
      </c>
      <c r="AF106" s="9">
        <f>IF('Upto Month COPPY'!$K$20="",0,'Upto Month COPPY'!$K$20)</f>
        <v>421</v>
      </c>
      <c r="AG106" s="9">
        <f>IF('Upto Month COPPY'!$K$22="",0,'Upto Month COPPY'!$K$22)</f>
        <v>7691</v>
      </c>
      <c r="AH106" s="9">
        <f>IF('Upto Month COPPY'!$K$23="",0,'Upto Month COPPY'!$K$23)</f>
        <v>0</v>
      </c>
      <c r="AI106" s="9">
        <f>IF('Upto Month COPPY'!$K$24="",0,'Upto Month COPPY'!$K$24)</f>
        <v>0</v>
      </c>
      <c r="AJ106" s="9">
        <f>IF('Upto Month COPPY'!$K$25="",0,'Upto Month COPPY'!$K$25)</f>
        <v>324</v>
      </c>
      <c r="AK106" s="9">
        <f>IF('Upto Month COPPY'!$K$28="",0,'Upto Month COPPY'!$K$28)</f>
        <v>3407</v>
      </c>
      <c r="AL106" s="9">
        <f>IF('Upto Month COPPY'!$K$29="",0,'Upto Month COPPY'!$K$29)</f>
        <v>23188</v>
      </c>
      <c r="AM106" s="9">
        <f>IF('Upto Month COPPY'!$K$31="",0,'Upto Month COPPY'!$K$31)</f>
        <v>165</v>
      </c>
      <c r="AN106" s="9">
        <f>IF('Upto Month COPPY'!$K$32="",0,'Upto Month COPPY'!$K$32)</f>
        <v>24</v>
      </c>
      <c r="AO106" s="9">
        <f>IF('Upto Month COPPY'!$K$33="",0,'Upto Month COPPY'!$K$33)</f>
        <v>43697</v>
      </c>
      <c r="AP106" s="9">
        <f>IF('Upto Month COPPY'!$K$34="",0,'Upto Month COPPY'!$K$34)</f>
        <v>105723</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1362</v>
      </c>
      <c r="AX106" s="9">
        <f>IF('Upto Month COPPY'!$K$46="",0,'Upto Month COPPY'!$K$46)</f>
        <v>559</v>
      </c>
      <c r="AY106" s="9">
        <f>IF('Upto Month COPPY'!$K$47="",0,'Upto Month COPPY'!$K$47)</f>
        <v>271</v>
      </c>
      <c r="AZ106" s="9">
        <f>IF('Upto Month COPPY'!$K$49="",0,'Upto Month COPPY'!$K$49)</f>
        <v>0</v>
      </c>
      <c r="BA106" s="9">
        <f>IF('Upto Month COPPY'!$K$50="",0,'Upto Month COPPY'!$K$50)</f>
        <v>0</v>
      </c>
      <c r="BB106" s="10">
        <f>IF('Upto Month COPPY'!$K$52="",0,'Upto Month COPPY'!$K$52)</f>
        <v>0</v>
      </c>
      <c r="BC106" s="9">
        <f>IF('Upto Month COPPY'!$K$53="",0,'Upto Month COPPY'!$K$53)</f>
        <v>3771</v>
      </c>
      <c r="BD106" s="9">
        <f>IF('Upto Month COPPY'!$K$54="",0,'Upto Month COPPY'!$K$54)</f>
        <v>3771</v>
      </c>
      <c r="BE106" s="9">
        <f>IF('Upto Month COPPY'!$K$55="",0,'Upto Month COPPY'!$K$55)</f>
        <v>0</v>
      </c>
      <c r="BF106" s="9">
        <f>IF('Upto Month COPPY'!$K$56="",0,'Upto Month COPPY'!$K$56)</f>
        <v>1045</v>
      </c>
      <c r="BG106" s="9">
        <f>IF('Upto Month COPPY'!$K$58="",0,'Upto Month COPPY'!$K$58)</f>
        <v>816703</v>
      </c>
      <c r="BH106" s="9">
        <f>SUM(AE106:BG106)</f>
        <v>1015226</v>
      </c>
      <c r="BI106" s="222">
        <f>AD106+BH106</f>
        <v>2435526</v>
      </c>
      <c r="BJ106" s="9">
        <f>IF('Upto Month COPPY'!$K$60="",0,'Upto Month COPPY'!$K$60)</f>
        <v>0</v>
      </c>
      <c r="BK106" s="49">
        <f t="shared" ref="BK106:BK107" si="1476">BI106-BJ106</f>
        <v>2435526</v>
      </c>
      <c r="BL106">
        <f>'Upto Month COPPY'!$K$61</f>
        <v>2435529</v>
      </c>
      <c r="BM106" s="30">
        <f t="shared" ref="BM106:BM110" si="1477">BK106-AD106</f>
        <v>1015226</v>
      </c>
    </row>
    <row r="107" spans="1:65" ht="15.75" x14ac:dyDescent="0.25">
      <c r="A107" s="128"/>
      <c r="B107" s="182" t="s">
        <v>327</v>
      </c>
      <c r="C107" s="9">
        <f>IF('Upto Month Current'!$K$4="",0,'Upto Month Current'!$K$4)</f>
        <v>983365</v>
      </c>
      <c r="D107" s="9">
        <f>IF('Upto Month Current'!$K$5="",0,'Upto Month Current'!$K$5)</f>
        <v>239967</v>
      </c>
      <c r="E107" s="9">
        <f>IF('Upto Month Current'!$K$6="",0,'Upto Month Current'!$K$6)</f>
        <v>7091</v>
      </c>
      <c r="F107" s="9">
        <f>IF('Upto Month Current'!$K$7="",0,'Upto Month Current'!$K$7)</f>
        <v>94222</v>
      </c>
      <c r="G107" s="9">
        <f>IF('Upto Month Current'!$K$8="",0,'Upto Month Current'!$K$8)</f>
        <v>56393</v>
      </c>
      <c r="H107" s="9">
        <f>IF('Upto Month Current'!$K$9="",0,'Upto Month Current'!$K$9)</f>
        <v>0</v>
      </c>
      <c r="I107" s="9">
        <f>IF('Upto Month Current'!$K$10="",0,'Upto Month Current'!$K$10)</f>
        <v>0</v>
      </c>
      <c r="J107" s="9">
        <f>IF('Upto Month Current'!$K$11="",0,'Upto Month Current'!$K$11)</f>
        <v>33</v>
      </c>
      <c r="K107" s="9">
        <f>IF('Upto Month Current'!$K$12="",0,'Upto Month Current'!$K$12)</f>
        <v>0</v>
      </c>
      <c r="L107" s="9">
        <f>IF('Upto Month Current'!$K$13="",0,'Upto Month Current'!$K$13)</f>
        <v>281</v>
      </c>
      <c r="M107" s="9">
        <f>IF('Upto Month Current'!$K$14="",0,'Upto Month Current'!$K$14)</f>
        <v>103462</v>
      </c>
      <c r="N107" s="9">
        <f>IF('Upto Month Current'!$K$15="",0,'Upto Month Current'!$K$15)</f>
        <v>154</v>
      </c>
      <c r="O107" s="9">
        <f>IF('Upto Month Current'!$K$16="",0,'Upto Month Current'!$K$16)</f>
        <v>8268</v>
      </c>
      <c r="P107" s="9">
        <f>IF('Upto Month Current'!$K$17="",0,'Upto Month Current'!$K$17)</f>
        <v>123530</v>
      </c>
      <c r="Q107" s="9">
        <f>IF('Upto Month Current'!$K$18="",0,'Upto Month Current'!$K$18)</f>
        <v>0</v>
      </c>
      <c r="R107" s="9">
        <f>IF('Upto Month Current'!$K$21="",0,'Upto Month Current'!$K$21)</f>
        <v>2086</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2719</v>
      </c>
      <c r="Z107" s="9">
        <f>IF('Upto Month Current'!$K$43="",0,'Upto Month Current'!$K$43)</f>
        <v>420</v>
      </c>
      <c r="AA107" s="9">
        <f>IF('Upto Month Current'!$K$44="",0,'Upto Month Current'!$K$44)</f>
        <v>1182</v>
      </c>
      <c r="AB107" s="9">
        <f>IF('Upto Month Current'!$K$48="",0,'Upto Month Current'!$K$48)</f>
        <v>0</v>
      </c>
      <c r="AC107" s="10">
        <f>IF('Upto Month Current'!$K$51="",0,'Upto Month Current'!$K$51)</f>
        <v>0</v>
      </c>
      <c r="AD107" s="229">
        <f t="shared" si="1475"/>
        <v>1623173</v>
      </c>
      <c r="AE107" s="9">
        <f>IF('Upto Month Current'!$K$19="",0,'Upto Month Current'!$K$19)</f>
        <v>2745</v>
      </c>
      <c r="AF107" s="9">
        <f>IF('Upto Month Current'!$K$20="",0,'Upto Month Current'!$K$20)</f>
        <v>393</v>
      </c>
      <c r="AG107" s="9">
        <f>IF('Upto Month Current'!$K$22="",0,'Upto Month Current'!$K$22)</f>
        <v>193</v>
      </c>
      <c r="AH107" s="9">
        <f>IF('Upto Month Current'!$K$23="",0,'Upto Month Current'!$K$23)</f>
        <v>0</v>
      </c>
      <c r="AI107" s="9">
        <f>IF('Upto Month Current'!$K$24="",0,'Upto Month Current'!$K$24)</f>
        <v>0</v>
      </c>
      <c r="AJ107" s="9">
        <f>IF('Upto Month Current'!$K$25="",0,'Upto Month Current'!$K$25)</f>
        <v>62</v>
      </c>
      <c r="AK107" s="9">
        <f>IF('Upto Month Current'!$K$28="",0,'Upto Month Current'!$K$28)</f>
        <v>4650</v>
      </c>
      <c r="AL107" s="9">
        <f>IF('Upto Month Current'!$K$29="",0,'Upto Month Current'!$K$29)</f>
        <v>10633</v>
      </c>
      <c r="AM107" s="9">
        <f>IF('Upto Month Current'!$K$31="",0,'Upto Month Current'!$K$31)</f>
        <v>42</v>
      </c>
      <c r="AN107" s="9">
        <f>IF('Upto Month Current'!$K$32="",0,'Upto Month Current'!$K$32)</f>
        <v>107</v>
      </c>
      <c r="AO107" s="9">
        <f>IF('Upto Month Current'!$K$33="",0,'Upto Month Current'!$K$33)</f>
        <v>58180</v>
      </c>
      <c r="AP107" s="9">
        <f>IF('Upto Month Current'!$K$34="",0,'Upto Month Current'!$K$34)</f>
        <v>110690</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2127</v>
      </c>
      <c r="AX107" s="9">
        <f>IF('Upto Month Current'!$K$46="",0,'Upto Month Current'!$K$46)</f>
        <v>1089</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1739</v>
      </c>
      <c r="BD107" s="9">
        <f>IF('Upto Month Current'!$K$54="",0,'Upto Month Current'!$K$54)</f>
        <v>1739</v>
      </c>
      <c r="BE107" s="9">
        <f>IF('Upto Month Current'!$K$55="",0,'Upto Month Current'!$K$55)</f>
        <v>0</v>
      </c>
      <c r="BF107" s="9">
        <f>IF('Upto Month Current'!$K$56="",0,'Upto Month Current'!$K$56)</f>
        <v>2832</v>
      </c>
      <c r="BG107" s="9">
        <f>IF('Upto Month Current'!$K$58="",0,'Upto Month Current'!$K$58)</f>
        <v>880624</v>
      </c>
      <c r="BH107" s="9">
        <f>SUM(AE107:BG107)</f>
        <v>1077845</v>
      </c>
      <c r="BI107" s="222">
        <f>AD107+BH107</f>
        <v>2701018</v>
      </c>
      <c r="BJ107" s="9">
        <f>IF('Upto Month Current'!$K$60="",0,'Upto Month Current'!$K$60)</f>
        <v>0</v>
      </c>
      <c r="BK107" s="49">
        <f t="shared" si="1476"/>
        <v>2701018</v>
      </c>
      <c r="BL107">
        <f>'Upto Month Current'!$K$61</f>
        <v>2701018</v>
      </c>
      <c r="BM107" s="30">
        <f t="shared" si="1477"/>
        <v>1077845</v>
      </c>
    </row>
    <row r="108" spans="1:65" ht="15.75" x14ac:dyDescent="0.25">
      <c r="A108" s="128"/>
      <c r="B108" s="5" t="s">
        <v>132</v>
      </c>
      <c r="C108" s="11">
        <f>C107-C105</f>
        <v>119374</v>
      </c>
      <c r="D108" s="11">
        <f t="shared" ref="D108" si="1478">D107-D105</f>
        <v>18910</v>
      </c>
      <c r="E108" s="11">
        <f t="shared" ref="E108" si="1479">E107-E105</f>
        <v>-16079</v>
      </c>
      <c r="F108" s="11">
        <f t="shared" ref="F108" si="1480">F107-F105</f>
        <v>-1208</v>
      </c>
      <c r="G108" s="11">
        <f t="shared" ref="G108" si="1481">G107-G105</f>
        <v>-3323</v>
      </c>
      <c r="H108" s="11">
        <f t="shared" ref="H108" si="1482">H107-H105</f>
        <v>0</v>
      </c>
      <c r="I108" s="11">
        <f t="shared" ref="I108" si="1483">I107-I105</f>
        <v>0</v>
      </c>
      <c r="J108" s="11">
        <f t="shared" ref="J108" si="1484">J107-J105</f>
        <v>33</v>
      </c>
      <c r="K108" s="11">
        <f t="shared" ref="K108" si="1485">K107-K105</f>
        <v>-74</v>
      </c>
      <c r="L108" s="11">
        <f t="shared" ref="L108" si="1486">L107-L105</f>
        <v>-1205</v>
      </c>
      <c r="M108" s="11">
        <f t="shared" ref="M108" si="1487">M107-M105</f>
        <v>-9201</v>
      </c>
      <c r="N108" s="11">
        <f t="shared" ref="N108" si="1488">N107-N105</f>
        <v>-482</v>
      </c>
      <c r="O108" s="11">
        <f t="shared" ref="O108" si="1489">O107-O105</f>
        <v>-6491</v>
      </c>
      <c r="P108" s="11">
        <f t="shared" ref="P108" si="1490">P107-P105</f>
        <v>28880</v>
      </c>
      <c r="Q108" s="11">
        <f t="shared" ref="Q108" si="1491">Q107-Q105</f>
        <v>0</v>
      </c>
      <c r="R108" s="11">
        <f t="shared" ref="R108" si="1492">R107-R105</f>
        <v>-4154</v>
      </c>
      <c r="S108" s="11">
        <f t="shared" ref="S108" si="1493">S107-S105</f>
        <v>0</v>
      </c>
      <c r="T108" s="11">
        <f t="shared" ref="T108:U108" si="1494">T107-T105</f>
        <v>0</v>
      </c>
      <c r="U108" s="11">
        <f t="shared" si="1494"/>
        <v>0</v>
      </c>
      <c r="V108" s="9">
        <f t="shared" ref="V108" si="1495">V107-V105</f>
        <v>0</v>
      </c>
      <c r="W108" s="11">
        <f t="shared" ref="W108" si="1496">W107-W105</f>
        <v>0</v>
      </c>
      <c r="X108" s="11">
        <f t="shared" ref="X108" si="1497">X107-X105</f>
        <v>0</v>
      </c>
      <c r="Y108" s="11">
        <f t="shared" ref="Y108" si="1498">Y107-Y105</f>
        <v>1464</v>
      </c>
      <c r="Z108" s="11">
        <f t="shared" ref="Z108" si="1499">Z107-Z105</f>
        <v>-42</v>
      </c>
      <c r="AA108" s="11">
        <f t="shared" ref="AA108:AD108" si="1500">AA107-AA105</f>
        <v>928</v>
      </c>
      <c r="AB108" s="11">
        <f t="shared" ref="AB108" si="1501">AB107-AB105</f>
        <v>-1574</v>
      </c>
      <c r="AC108" s="10">
        <f t="shared" si="1500"/>
        <v>0</v>
      </c>
      <c r="AD108" s="223">
        <f t="shared" si="1500"/>
        <v>125756</v>
      </c>
      <c r="AE108" s="11">
        <f t="shared" ref="AE108" si="1502">AE107-AE105</f>
        <v>-1154</v>
      </c>
      <c r="AF108" s="11">
        <f t="shared" ref="AF108" si="1503">AF107-AF105</f>
        <v>268</v>
      </c>
      <c r="AG108" s="11">
        <f t="shared" ref="AG108" si="1504">AG107-AG105</f>
        <v>134</v>
      </c>
      <c r="AH108" s="11">
        <f t="shared" ref="AH108" si="1505">AH107-AH105</f>
        <v>0</v>
      </c>
      <c r="AI108" s="11">
        <f t="shared" ref="AI108" si="1506">AI107-AI105</f>
        <v>0</v>
      </c>
      <c r="AJ108" s="11">
        <f t="shared" ref="AJ108" si="1507">AJ107-AJ105</f>
        <v>62</v>
      </c>
      <c r="AK108" s="11">
        <f t="shared" ref="AK108" si="1508">AK107-AK105</f>
        <v>1629</v>
      </c>
      <c r="AL108" s="11">
        <f t="shared" ref="AL108" si="1509">AL107-AL105</f>
        <v>3981</v>
      </c>
      <c r="AM108" s="11">
        <f t="shared" ref="AM108" si="1510">AM107-AM105</f>
        <v>-196</v>
      </c>
      <c r="AN108" s="11">
        <f t="shared" ref="AN108" si="1511">AN107-AN105</f>
        <v>-66</v>
      </c>
      <c r="AO108" s="9">
        <f t="shared" ref="AO108" si="1512">AO107-AO105</f>
        <v>10841</v>
      </c>
      <c r="AP108" s="11">
        <f t="shared" ref="AP108" si="1513">AP107-AP105</f>
        <v>4391</v>
      </c>
      <c r="AQ108" s="10">
        <f t="shared" ref="AQ108" si="1514">AQ107-AQ105</f>
        <v>0</v>
      </c>
      <c r="AR108" s="11">
        <f t="shared" ref="AR108" si="1515">AR107-AR105</f>
        <v>0</v>
      </c>
      <c r="AS108" s="11">
        <f t="shared" ref="AS108" si="1516">AS107-AS105</f>
        <v>0</v>
      </c>
      <c r="AT108" s="11">
        <f t="shared" ref="AT108" si="1517">AT107-AT105</f>
        <v>0</v>
      </c>
      <c r="AU108" s="11">
        <f t="shared" ref="AU108" si="1518">AU107-AU105</f>
        <v>0</v>
      </c>
      <c r="AV108" s="11">
        <f t="shared" ref="AV108" si="1519">AV107-AV105</f>
        <v>0</v>
      </c>
      <c r="AW108" s="11">
        <f t="shared" ref="AW108" si="1520">AW107-AW105</f>
        <v>-836</v>
      </c>
      <c r="AX108" s="11">
        <f t="shared" ref="AX108" si="1521">AX107-AX105</f>
        <v>182</v>
      </c>
      <c r="AY108" s="11">
        <f t="shared" ref="AY108" si="1522">AY107-AY105</f>
        <v>-233</v>
      </c>
      <c r="AZ108" s="11">
        <f t="shared" ref="AZ108" si="1523">AZ107-AZ105</f>
        <v>0</v>
      </c>
      <c r="BA108" s="11">
        <f t="shared" ref="BA108" si="1524">BA107-BA105</f>
        <v>0</v>
      </c>
      <c r="BB108" s="10">
        <f t="shared" ref="BB108" si="1525">BB107-BB105</f>
        <v>0</v>
      </c>
      <c r="BC108" s="11">
        <f t="shared" ref="BC108" si="1526">BC107-BC105</f>
        <v>-2064</v>
      </c>
      <c r="BD108" s="11">
        <f t="shared" ref="BD108" si="1527">BD107-BD105</f>
        <v>-2064</v>
      </c>
      <c r="BE108" s="11">
        <f t="shared" ref="BE108" si="1528">BE107-BE105</f>
        <v>-39</v>
      </c>
      <c r="BF108" s="11">
        <f t="shared" ref="BF108" si="1529">BF107-BF105</f>
        <v>2293</v>
      </c>
      <c r="BG108" s="11">
        <f t="shared" ref="BG108:BH108" si="1530">BG107-BG105</f>
        <v>300715</v>
      </c>
      <c r="BH108" s="9">
        <f t="shared" si="1530"/>
        <v>317844</v>
      </c>
      <c r="BI108" s="223">
        <f t="shared" ref="BI108" si="1531">BI107-BI105</f>
        <v>443600</v>
      </c>
      <c r="BJ108" s="11">
        <f t="shared" ref="BJ108:BK108" si="1532">BJ107-BJ105</f>
        <v>-74059</v>
      </c>
      <c r="BK108" s="49">
        <f t="shared" si="1532"/>
        <v>517659</v>
      </c>
      <c r="BM108" s="30">
        <f t="shared" si="1477"/>
        <v>391903</v>
      </c>
    </row>
    <row r="109" spans="1:65" ht="15.75" x14ac:dyDescent="0.25">
      <c r="A109" s="128"/>
      <c r="B109" s="5" t="s">
        <v>133</v>
      </c>
      <c r="C109" s="13">
        <f>C108/C105</f>
        <v>0.13816579107884225</v>
      </c>
      <c r="D109" s="13">
        <f t="shared" ref="D109" si="1533">D108/D105</f>
        <v>8.5543547591797595E-2</v>
      </c>
      <c r="E109" s="13">
        <f t="shared" ref="E109" si="1534">E108/E105</f>
        <v>-0.69395770392749245</v>
      </c>
      <c r="F109" s="13">
        <f t="shared" ref="F109" si="1535">F108/F105</f>
        <v>-1.2658493136330294E-2</v>
      </c>
      <c r="G109" s="13">
        <f t="shared" ref="G109" si="1536">G108/G105</f>
        <v>-5.564672784513363E-2</v>
      </c>
      <c r="H109" s="13" t="e">
        <f t="shared" ref="H109" si="1537">H108/H105</f>
        <v>#DIV/0!</v>
      </c>
      <c r="I109" s="13" t="e">
        <f t="shared" ref="I109" si="1538">I108/I105</f>
        <v>#DIV/0!</v>
      </c>
      <c r="J109" s="13" t="e">
        <f t="shared" ref="J109" si="1539">J108/J105</f>
        <v>#DIV/0!</v>
      </c>
      <c r="K109" s="13">
        <f t="shared" ref="K109" si="1540">K108/K105</f>
        <v>-1</v>
      </c>
      <c r="L109" s="13">
        <f t="shared" ref="L109" si="1541">L108/L105</f>
        <v>-0.81090174966352624</v>
      </c>
      <c r="M109" s="13">
        <f t="shared" ref="M109" si="1542">M108/M105</f>
        <v>-8.1668338318702682E-2</v>
      </c>
      <c r="N109" s="13">
        <f t="shared" ref="N109" si="1543">N108/N105</f>
        <v>-0.75786163522012584</v>
      </c>
      <c r="O109" s="13">
        <f t="shared" ref="O109" si="1544">O108/O105</f>
        <v>-0.43979944440680263</v>
      </c>
      <c r="P109" s="13">
        <f t="shared" ref="P109" si="1545">P108/P105</f>
        <v>0.3051241415742208</v>
      </c>
      <c r="Q109" s="13" t="e">
        <f t="shared" ref="Q109" si="1546">Q108/Q105</f>
        <v>#DIV/0!</v>
      </c>
      <c r="R109" s="13">
        <f t="shared" ref="R109" si="1547">R108/R105</f>
        <v>-0.66570512820512817</v>
      </c>
      <c r="S109" s="13" t="e">
        <f t="shared" ref="S109" si="1548">S108/S105</f>
        <v>#DIV/0!</v>
      </c>
      <c r="T109" s="13" t="e">
        <f t="shared" ref="T109:U109" si="1549">T108/T105</f>
        <v>#DIV/0!</v>
      </c>
      <c r="U109" s="13" t="e">
        <f t="shared" si="1549"/>
        <v>#DIV/0!</v>
      </c>
      <c r="V109" s="162" t="e">
        <f t="shared" ref="V109" si="1550">V108/V105</f>
        <v>#DIV/0!</v>
      </c>
      <c r="W109" s="13" t="e">
        <f t="shared" ref="W109" si="1551">W108/W105</f>
        <v>#DIV/0!</v>
      </c>
      <c r="X109" s="13" t="e">
        <f t="shared" ref="X109" si="1552">X108/X105</f>
        <v>#DIV/0!</v>
      </c>
      <c r="Y109" s="13">
        <f t="shared" ref="Y109" si="1553">Y108/Y105</f>
        <v>1.1665338645418326</v>
      </c>
      <c r="Z109" s="13">
        <f t="shared" ref="Z109" si="1554">Z108/Z105</f>
        <v>-9.0909090909090912E-2</v>
      </c>
      <c r="AA109" s="13">
        <f t="shared" ref="AA109:AD109" si="1555">AA108/AA105</f>
        <v>3.6535433070866143</v>
      </c>
      <c r="AB109" s="13">
        <f t="shared" ref="AB109" si="1556">AB108/AB105</f>
        <v>-1</v>
      </c>
      <c r="AC109" s="14" t="e">
        <f t="shared" si="1555"/>
        <v>#DIV/0!</v>
      </c>
      <c r="AD109" s="224">
        <f t="shared" si="1555"/>
        <v>8.3981950251666701E-2</v>
      </c>
      <c r="AE109" s="13">
        <f t="shared" ref="AE109" si="1557">AE108/AE105</f>
        <v>-0.29597332649397279</v>
      </c>
      <c r="AF109" s="13">
        <f t="shared" ref="AF109" si="1558">AF108/AF105</f>
        <v>2.1440000000000001</v>
      </c>
      <c r="AG109" s="13">
        <f t="shared" ref="AG109" si="1559">AG108/AG105</f>
        <v>2.2711864406779663</v>
      </c>
      <c r="AH109" s="13" t="e">
        <f t="shared" ref="AH109" si="1560">AH108/AH105</f>
        <v>#DIV/0!</v>
      </c>
      <c r="AI109" s="13" t="e">
        <f t="shared" ref="AI109" si="1561">AI108/AI105</f>
        <v>#DIV/0!</v>
      </c>
      <c r="AJ109" s="13" t="e">
        <f t="shared" ref="AJ109" si="1562">AJ108/AJ105</f>
        <v>#DIV/0!</v>
      </c>
      <c r="AK109" s="13">
        <f t="shared" ref="AK109" si="1563">AK108/AK105</f>
        <v>0.53922542204568025</v>
      </c>
      <c r="AL109" s="13">
        <f t="shared" ref="AL109" si="1564">AL108/AL105</f>
        <v>0.5984666265784726</v>
      </c>
      <c r="AM109" s="13">
        <f t="shared" ref="AM109" si="1565">AM108/AM105</f>
        <v>-0.82352941176470584</v>
      </c>
      <c r="AN109" s="13">
        <f t="shared" ref="AN109" si="1566">AN108/AN105</f>
        <v>-0.38150289017341038</v>
      </c>
      <c r="AO109" s="162">
        <f t="shared" ref="AO109" si="1567">AO108/AO105</f>
        <v>0.22900779484146264</v>
      </c>
      <c r="AP109" s="13">
        <f t="shared" ref="AP109" si="1568">AP108/AP105</f>
        <v>4.1308008541943012E-2</v>
      </c>
      <c r="AQ109" s="14" t="e">
        <f t="shared" ref="AQ109" si="1569">AQ108/AQ105</f>
        <v>#DIV/0!</v>
      </c>
      <c r="AR109" s="13" t="e">
        <f t="shared" ref="AR109" si="1570">AR108/AR105</f>
        <v>#DIV/0!</v>
      </c>
      <c r="AS109" s="13" t="e">
        <f t="shared" ref="AS109" si="1571">AS108/AS105</f>
        <v>#DIV/0!</v>
      </c>
      <c r="AT109" s="13" t="e">
        <f t="shared" ref="AT109" si="1572">AT108/AT105</f>
        <v>#DIV/0!</v>
      </c>
      <c r="AU109" s="13" t="e">
        <f t="shared" ref="AU109" si="1573">AU108/AU105</f>
        <v>#DIV/0!</v>
      </c>
      <c r="AV109" s="13" t="e">
        <f t="shared" ref="AV109" si="1574">AV108/AV105</f>
        <v>#DIV/0!</v>
      </c>
      <c r="AW109" s="13">
        <f t="shared" ref="AW109" si="1575">AW108/AW105</f>
        <v>-0.28214647316908537</v>
      </c>
      <c r="AX109" s="13">
        <f t="shared" ref="AX109" si="1576">AX108/AX105</f>
        <v>0.20066152149944874</v>
      </c>
      <c r="AY109" s="13">
        <f t="shared" ref="AY109" si="1577">AY108/AY105</f>
        <v>-1</v>
      </c>
      <c r="AZ109" s="13" t="e">
        <f t="shared" ref="AZ109" si="1578">AZ108/AZ105</f>
        <v>#DIV/0!</v>
      </c>
      <c r="BA109" s="13" t="e">
        <f t="shared" ref="BA109" si="1579">BA108/BA105</f>
        <v>#DIV/0!</v>
      </c>
      <c r="BB109" s="14" t="e">
        <f t="shared" ref="BB109" si="1580">BB108/BB105</f>
        <v>#DIV/0!</v>
      </c>
      <c r="BC109" s="13">
        <f t="shared" ref="BC109" si="1581">BC108/BC105</f>
        <v>-0.54272942413883773</v>
      </c>
      <c r="BD109" s="13">
        <f t="shared" ref="BD109" si="1582">BD108/BD105</f>
        <v>-0.54272942413883773</v>
      </c>
      <c r="BE109" s="13">
        <f t="shared" ref="BE109" si="1583">BE108/BE105</f>
        <v>-1</v>
      </c>
      <c r="BF109" s="13">
        <f t="shared" ref="BF109" si="1584">BF108/BF105</f>
        <v>4.25417439703154</v>
      </c>
      <c r="BG109" s="13">
        <f t="shared" ref="BG109:BH109" si="1585">BG108/BG105</f>
        <v>0.51855549750046992</v>
      </c>
      <c r="BH109" s="162">
        <f t="shared" si="1585"/>
        <v>0.41821523919047476</v>
      </c>
      <c r="BI109" s="224">
        <f t="shared" ref="BI109" si="1586">BI108/BI105</f>
        <v>0.19650769153076655</v>
      </c>
      <c r="BJ109" s="13">
        <f t="shared" ref="BJ109:BK109" si="1587">BJ108/BJ105</f>
        <v>-1</v>
      </c>
      <c r="BK109" s="50">
        <f t="shared" si="1587"/>
        <v>0.23709293799141598</v>
      </c>
      <c r="BM109" s="162" t="e">
        <f t="shared" ref="BM109" si="1588">BM108/BM105</f>
        <v>#DIV/0!</v>
      </c>
    </row>
    <row r="110" spans="1:65" ht="15.75" x14ac:dyDescent="0.25">
      <c r="A110" s="128"/>
      <c r="B110" s="5" t="s">
        <v>134</v>
      </c>
      <c r="C110" s="11">
        <f>C107-C106</f>
        <v>59804</v>
      </c>
      <c r="D110" s="11">
        <f t="shared" ref="D110:BK110" si="1589">D107-D106</f>
        <v>85436</v>
      </c>
      <c r="E110" s="11">
        <f t="shared" si="1589"/>
        <v>968</v>
      </c>
      <c r="F110" s="11">
        <f t="shared" si="1589"/>
        <v>19615</v>
      </c>
      <c r="G110" s="11">
        <f t="shared" si="1589"/>
        <v>9477</v>
      </c>
      <c r="H110" s="11">
        <f t="shared" si="1589"/>
        <v>0</v>
      </c>
      <c r="I110" s="11">
        <f t="shared" si="1589"/>
        <v>0</v>
      </c>
      <c r="J110" s="11">
        <f t="shared" si="1589"/>
        <v>33</v>
      </c>
      <c r="K110" s="11">
        <f t="shared" si="1589"/>
        <v>0</v>
      </c>
      <c r="L110" s="11">
        <f t="shared" si="1589"/>
        <v>-534</v>
      </c>
      <c r="M110" s="11">
        <f t="shared" si="1589"/>
        <v>3889</v>
      </c>
      <c r="N110" s="11">
        <f t="shared" si="1589"/>
        <v>56</v>
      </c>
      <c r="O110" s="11">
        <f t="shared" si="1589"/>
        <v>4467</v>
      </c>
      <c r="P110" s="11">
        <f t="shared" si="1589"/>
        <v>16632</v>
      </c>
      <c r="Q110" s="11">
        <f t="shared" si="1589"/>
        <v>0</v>
      </c>
      <c r="R110" s="11">
        <f t="shared" si="1589"/>
        <v>578</v>
      </c>
      <c r="S110" s="11">
        <f t="shared" si="1589"/>
        <v>0</v>
      </c>
      <c r="T110" s="11">
        <f t="shared" si="1589"/>
        <v>0</v>
      </c>
      <c r="U110" s="11">
        <f t="shared" ref="U110" si="1590">U107-U106</f>
        <v>0</v>
      </c>
      <c r="V110" s="9">
        <f t="shared" si="1589"/>
        <v>0</v>
      </c>
      <c r="W110" s="11">
        <f t="shared" si="1589"/>
        <v>0</v>
      </c>
      <c r="X110" s="11">
        <f t="shared" si="1589"/>
        <v>0</v>
      </c>
      <c r="Y110" s="11">
        <f t="shared" si="1589"/>
        <v>1399</v>
      </c>
      <c r="Z110" s="11">
        <f t="shared" si="1589"/>
        <v>110</v>
      </c>
      <c r="AA110" s="11">
        <f t="shared" si="1589"/>
        <v>943</v>
      </c>
      <c r="AB110" s="11">
        <f t="shared" ref="AB110" si="1591">AB107-AB106</f>
        <v>0</v>
      </c>
      <c r="AC110" s="10">
        <f t="shared" ref="AC110:AD110" si="1592">AC107-AC106</f>
        <v>0</v>
      </c>
      <c r="AD110" s="223">
        <f t="shared" si="1592"/>
        <v>202873</v>
      </c>
      <c r="AE110" s="11">
        <f t="shared" si="1589"/>
        <v>-359</v>
      </c>
      <c r="AF110" s="11">
        <f t="shared" si="1589"/>
        <v>-28</v>
      </c>
      <c r="AG110" s="11">
        <f t="shared" si="1589"/>
        <v>-7498</v>
      </c>
      <c r="AH110" s="11">
        <f t="shared" si="1589"/>
        <v>0</v>
      </c>
      <c r="AI110" s="11">
        <f t="shared" si="1589"/>
        <v>0</v>
      </c>
      <c r="AJ110" s="11">
        <f t="shared" si="1589"/>
        <v>-262</v>
      </c>
      <c r="AK110" s="11">
        <f t="shared" si="1589"/>
        <v>1243</v>
      </c>
      <c r="AL110" s="11">
        <f t="shared" si="1589"/>
        <v>-12555</v>
      </c>
      <c r="AM110" s="11">
        <f t="shared" si="1589"/>
        <v>-123</v>
      </c>
      <c r="AN110" s="11">
        <f t="shared" si="1589"/>
        <v>83</v>
      </c>
      <c r="AO110" s="9">
        <f t="shared" si="1589"/>
        <v>14483</v>
      </c>
      <c r="AP110" s="11">
        <f t="shared" si="1589"/>
        <v>4967</v>
      </c>
      <c r="AQ110" s="10">
        <f t="shared" si="1589"/>
        <v>0</v>
      </c>
      <c r="AR110" s="11">
        <f t="shared" si="1589"/>
        <v>0</v>
      </c>
      <c r="AS110" s="11">
        <f t="shared" si="1589"/>
        <v>0</v>
      </c>
      <c r="AT110" s="11">
        <f t="shared" si="1589"/>
        <v>0</v>
      </c>
      <c r="AU110" s="11">
        <f t="shared" si="1589"/>
        <v>0</v>
      </c>
      <c r="AV110" s="11">
        <f t="shared" si="1589"/>
        <v>0</v>
      </c>
      <c r="AW110" s="11">
        <f t="shared" si="1589"/>
        <v>765</v>
      </c>
      <c r="AX110" s="11">
        <f t="shared" si="1589"/>
        <v>530</v>
      </c>
      <c r="AY110" s="11">
        <f t="shared" si="1589"/>
        <v>-271</v>
      </c>
      <c r="AZ110" s="11">
        <f t="shared" si="1589"/>
        <v>0</v>
      </c>
      <c r="BA110" s="11">
        <f t="shared" si="1589"/>
        <v>0</v>
      </c>
      <c r="BB110" s="10">
        <f t="shared" si="1589"/>
        <v>0</v>
      </c>
      <c r="BC110" s="11">
        <f t="shared" si="1589"/>
        <v>-2032</v>
      </c>
      <c r="BD110" s="11">
        <f t="shared" si="1589"/>
        <v>-2032</v>
      </c>
      <c r="BE110" s="11">
        <f t="shared" si="1589"/>
        <v>0</v>
      </c>
      <c r="BF110" s="11">
        <f t="shared" si="1589"/>
        <v>1787</v>
      </c>
      <c r="BG110" s="11">
        <f t="shared" si="1589"/>
        <v>63921</v>
      </c>
      <c r="BH110" s="9">
        <f t="shared" si="1589"/>
        <v>62619</v>
      </c>
      <c r="BI110" s="223">
        <f t="shared" si="1589"/>
        <v>265492</v>
      </c>
      <c r="BJ110" s="11">
        <f t="shared" si="1589"/>
        <v>0</v>
      </c>
      <c r="BK110" s="49">
        <f t="shared" si="1589"/>
        <v>265492</v>
      </c>
      <c r="BM110" s="30">
        <f t="shared" si="1477"/>
        <v>62619</v>
      </c>
    </row>
    <row r="111" spans="1:65" ht="15.75" x14ac:dyDescent="0.25">
      <c r="A111" s="128"/>
      <c r="B111" s="5" t="s">
        <v>135</v>
      </c>
      <c r="C111" s="13">
        <f>C110/C106</f>
        <v>6.4753708742573579E-2</v>
      </c>
      <c r="D111" s="13">
        <f t="shared" ref="D111" si="1593">D110/D106</f>
        <v>0.55287288634642884</v>
      </c>
      <c r="E111" s="13">
        <f t="shared" ref="E111" si="1594">E110/E106</f>
        <v>0.15809243834721542</v>
      </c>
      <c r="F111" s="13">
        <f t="shared" ref="F111" si="1595">F110/F106</f>
        <v>0.26291098690471404</v>
      </c>
      <c r="G111" s="13">
        <f t="shared" ref="G111" si="1596">G110/G106</f>
        <v>0.20199931792991729</v>
      </c>
      <c r="H111" s="13" t="e">
        <f t="shared" ref="H111" si="1597">H110/H106</f>
        <v>#DIV/0!</v>
      </c>
      <c r="I111" s="13" t="e">
        <f t="shared" ref="I111" si="1598">I110/I106</f>
        <v>#DIV/0!</v>
      </c>
      <c r="J111" s="13" t="e">
        <f t="shared" ref="J111" si="1599">J110/J106</f>
        <v>#DIV/0!</v>
      </c>
      <c r="K111" s="13" t="e">
        <f t="shared" ref="K111" si="1600">K110/K106</f>
        <v>#DIV/0!</v>
      </c>
      <c r="L111" s="13">
        <f t="shared" ref="L111" si="1601">L110/L106</f>
        <v>-0.65521472392638036</v>
      </c>
      <c r="M111" s="13">
        <f t="shared" ref="M111" si="1602">M110/M106</f>
        <v>3.9056772418225826E-2</v>
      </c>
      <c r="N111" s="13">
        <f t="shared" ref="N111" si="1603">N110/N106</f>
        <v>0.5714285714285714</v>
      </c>
      <c r="O111" s="13">
        <f t="shared" ref="O111" si="1604">O110/O106</f>
        <v>1.1752170481452249</v>
      </c>
      <c r="P111" s="13">
        <f t="shared" ref="P111" si="1605">P110/P106</f>
        <v>0.15558756945873636</v>
      </c>
      <c r="Q111" s="13" t="e">
        <f t="shared" ref="Q111" si="1606">Q110/Q106</f>
        <v>#DIV/0!</v>
      </c>
      <c r="R111" s="13">
        <f t="shared" ref="R111" si="1607">R110/R106</f>
        <v>0.38328912466843501</v>
      </c>
      <c r="S111" s="13" t="e">
        <f t="shared" ref="S111" si="1608">S110/S106</f>
        <v>#DIV/0!</v>
      </c>
      <c r="T111" s="13" t="e">
        <f t="shared" ref="T111:U111" si="1609">T110/T106</f>
        <v>#DIV/0!</v>
      </c>
      <c r="U111" s="13" t="e">
        <f t="shared" si="1609"/>
        <v>#DIV/0!</v>
      </c>
      <c r="V111" s="162" t="e">
        <f t="shared" ref="V111" si="1610">V110/V106</f>
        <v>#DIV/0!</v>
      </c>
      <c r="W111" s="13" t="e">
        <f t="shared" ref="W111" si="1611">W110/W106</f>
        <v>#DIV/0!</v>
      </c>
      <c r="X111" s="13" t="e">
        <f t="shared" ref="X111" si="1612">X110/X106</f>
        <v>#DIV/0!</v>
      </c>
      <c r="Y111" s="13">
        <f t="shared" ref="Y111" si="1613">Y110/Y106</f>
        <v>1.0598484848484848</v>
      </c>
      <c r="Z111" s="13">
        <f t="shared" ref="Z111" si="1614">Z110/Z106</f>
        <v>0.35483870967741937</v>
      </c>
      <c r="AA111" s="13">
        <f t="shared" ref="AA111:AD111" si="1615">AA110/AA106</f>
        <v>3.9456066945606696</v>
      </c>
      <c r="AB111" s="13" t="e">
        <f t="shared" ref="AB111" si="1616">AB110/AB106</f>
        <v>#DIV/0!</v>
      </c>
      <c r="AC111" s="14" t="e">
        <f t="shared" si="1615"/>
        <v>#DIV/0!</v>
      </c>
      <c r="AD111" s="224">
        <f t="shared" si="1615"/>
        <v>0.14283813278884744</v>
      </c>
      <c r="AE111" s="13">
        <f t="shared" ref="AE111" si="1617">AE110/AE106</f>
        <v>-0.11565721649484537</v>
      </c>
      <c r="AF111" s="13">
        <f t="shared" ref="AF111" si="1618">AF110/AF106</f>
        <v>-6.6508313539192399E-2</v>
      </c>
      <c r="AG111" s="13">
        <f t="shared" ref="AG111" si="1619">AG110/AG106</f>
        <v>-0.97490573397477576</v>
      </c>
      <c r="AH111" s="13" t="e">
        <f t="shared" ref="AH111" si="1620">AH110/AH106</f>
        <v>#DIV/0!</v>
      </c>
      <c r="AI111" s="13" t="e">
        <f t="shared" ref="AI111" si="1621">AI110/AI106</f>
        <v>#DIV/0!</v>
      </c>
      <c r="AJ111" s="13">
        <f t="shared" ref="AJ111" si="1622">AJ110/AJ106</f>
        <v>-0.80864197530864201</v>
      </c>
      <c r="AK111" s="13">
        <f t="shared" ref="AK111" si="1623">AK110/AK106</f>
        <v>0.36483710008805403</v>
      </c>
      <c r="AL111" s="13">
        <f t="shared" ref="AL111" si="1624">AL110/AL106</f>
        <v>-0.54144385026737973</v>
      </c>
      <c r="AM111" s="13">
        <f t="shared" ref="AM111" si="1625">AM110/AM106</f>
        <v>-0.74545454545454548</v>
      </c>
      <c r="AN111" s="13">
        <f t="shared" ref="AN111" si="1626">AN110/AN106</f>
        <v>3.4583333333333335</v>
      </c>
      <c r="AO111" s="162">
        <f t="shared" ref="AO111" si="1627">AO110/AO106</f>
        <v>0.33144151772432889</v>
      </c>
      <c r="AP111" s="13">
        <f t="shared" ref="AP111" si="1628">AP110/AP106</f>
        <v>4.6981262355400434E-2</v>
      </c>
      <c r="AQ111" s="14" t="e">
        <f t="shared" ref="AQ111" si="1629">AQ110/AQ106</f>
        <v>#DIV/0!</v>
      </c>
      <c r="AR111" s="13" t="e">
        <f t="shared" ref="AR111" si="1630">AR110/AR106</f>
        <v>#DIV/0!</v>
      </c>
      <c r="AS111" s="13" t="e">
        <f t="shared" ref="AS111" si="1631">AS110/AS106</f>
        <v>#DIV/0!</v>
      </c>
      <c r="AT111" s="13" t="e">
        <f t="shared" ref="AT111" si="1632">AT110/AT106</f>
        <v>#DIV/0!</v>
      </c>
      <c r="AU111" s="13" t="e">
        <f t="shared" ref="AU111" si="1633">AU110/AU106</f>
        <v>#DIV/0!</v>
      </c>
      <c r="AV111" s="13" t="e">
        <f t="shared" ref="AV111" si="1634">AV110/AV106</f>
        <v>#DIV/0!</v>
      </c>
      <c r="AW111" s="13">
        <f t="shared" ref="AW111" si="1635">AW110/AW106</f>
        <v>0.56167400881057272</v>
      </c>
      <c r="AX111" s="13">
        <f t="shared" ref="AX111" si="1636">AX110/AX106</f>
        <v>0.94812164579606439</v>
      </c>
      <c r="AY111" s="13">
        <f t="shared" ref="AY111" si="1637">AY110/AY106</f>
        <v>-1</v>
      </c>
      <c r="AZ111" s="13" t="e">
        <f t="shared" ref="AZ111" si="1638">AZ110/AZ106</f>
        <v>#DIV/0!</v>
      </c>
      <c r="BA111" s="13" t="e">
        <f t="shared" ref="BA111" si="1639">BA110/BA106</f>
        <v>#DIV/0!</v>
      </c>
      <c r="BB111" s="14" t="e">
        <f t="shared" ref="BB111" si="1640">BB110/BB106</f>
        <v>#DIV/0!</v>
      </c>
      <c r="BC111" s="13">
        <f t="shared" ref="BC111" si="1641">BC110/BC106</f>
        <v>-0.53884911164147442</v>
      </c>
      <c r="BD111" s="13">
        <f t="shared" ref="BD111" si="1642">BD110/BD106</f>
        <v>-0.53884911164147442</v>
      </c>
      <c r="BE111" s="13" t="e">
        <f t="shared" ref="BE111" si="1643">BE110/BE106</f>
        <v>#DIV/0!</v>
      </c>
      <c r="BF111" s="13">
        <f t="shared" ref="BF111" si="1644">BF110/BF106</f>
        <v>1.7100478468899523</v>
      </c>
      <c r="BG111" s="13">
        <f t="shared" ref="BG111:BH111" si="1645">BG110/BG106</f>
        <v>7.8267130156250198E-2</v>
      </c>
      <c r="BH111" s="162">
        <f t="shared" si="1645"/>
        <v>6.1679862414871174E-2</v>
      </c>
      <c r="BI111" s="224">
        <f t="shared" ref="BI111" si="1646">BI110/BI106</f>
        <v>0.10900807464178169</v>
      </c>
      <c r="BJ111" s="13" t="e">
        <f t="shared" ref="BJ111:BK111" si="1647">BJ110/BJ106</f>
        <v>#DIV/0!</v>
      </c>
      <c r="BK111" s="50">
        <f t="shared" si="1647"/>
        <v>0.10900807464178169</v>
      </c>
      <c r="BM111" s="14">
        <f t="shared" ref="BM111" si="1648">BM110/BM106</f>
        <v>6.1679862414871174E-2</v>
      </c>
    </row>
    <row r="112" spans="1:65" ht="15.75" x14ac:dyDescent="0.25">
      <c r="A112" s="128"/>
      <c r="B112" s="5" t="s">
        <v>296</v>
      </c>
      <c r="C112" s="126">
        <f>C107/C104</f>
        <v>0.68290042312999533</v>
      </c>
      <c r="D112" s="126">
        <f t="shared" ref="D112:BK112" si="1649">D107/D104</f>
        <v>0.58584835183078376</v>
      </c>
      <c r="E112" s="126">
        <f t="shared" si="1649"/>
        <v>0.30604229607250755</v>
      </c>
      <c r="F112" s="126">
        <f t="shared" si="1649"/>
        <v>0.59239373039175625</v>
      </c>
      <c r="G112" s="126">
        <f t="shared" si="1649"/>
        <v>0.5666499196141479</v>
      </c>
      <c r="H112" s="126" t="e">
        <f t="shared" si="1649"/>
        <v>#DIV/0!</v>
      </c>
      <c r="I112" s="126" t="e">
        <f t="shared" si="1649"/>
        <v>#DIV/0!</v>
      </c>
      <c r="J112" s="126" t="e">
        <f t="shared" si="1649"/>
        <v>#DIV/0!</v>
      </c>
      <c r="K112" s="126">
        <f t="shared" si="1649"/>
        <v>0</v>
      </c>
      <c r="L112" s="126">
        <f t="shared" si="1649"/>
        <v>0.11344368187323375</v>
      </c>
      <c r="M112" s="126">
        <f t="shared" si="1649"/>
        <v>0.55099508449031542</v>
      </c>
      <c r="N112" s="126">
        <f t="shared" si="1649"/>
        <v>0.14555765595463138</v>
      </c>
      <c r="O112" s="126">
        <f t="shared" si="1649"/>
        <v>0.33613855348213195</v>
      </c>
      <c r="P112" s="126">
        <f t="shared" si="1649"/>
        <v>0.78307448494453247</v>
      </c>
      <c r="Q112" s="126" t="e">
        <f t="shared" si="1649"/>
        <v>#DIV/0!</v>
      </c>
      <c r="R112" s="126">
        <f t="shared" si="1649"/>
        <v>0.20061550298134256</v>
      </c>
      <c r="S112" s="126" t="e">
        <f t="shared" si="1649"/>
        <v>#DIV/0!</v>
      </c>
      <c r="T112" s="126" t="e">
        <f t="shared" si="1649"/>
        <v>#DIV/0!</v>
      </c>
      <c r="U112" s="126" t="e">
        <f t="shared" si="1649"/>
        <v>#DIV/0!</v>
      </c>
      <c r="V112" s="177" t="e">
        <f t="shared" si="1649"/>
        <v>#DIV/0!</v>
      </c>
      <c r="W112" s="126" t="e">
        <f t="shared" si="1649"/>
        <v>#DIV/0!</v>
      </c>
      <c r="X112" s="126" t="e">
        <f t="shared" si="1649"/>
        <v>#DIV/0!</v>
      </c>
      <c r="Y112" s="126">
        <f t="shared" si="1649"/>
        <v>1.3022030651340997</v>
      </c>
      <c r="Z112" s="126">
        <f t="shared" si="1649"/>
        <v>0.54263565891472865</v>
      </c>
      <c r="AA112" s="126">
        <f t="shared" si="1649"/>
        <v>2.8142857142857145</v>
      </c>
      <c r="AB112" s="126">
        <f t="shared" ref="AB112" si="1650">AB107/AB104</f>
        <v>0</v>
      </c>
      <c r="AC112" s="215" t="e">
        <f t="shared" si="1649"/>
        <v>#DIV/0!</v>
      </c>
      <c r="AD112" s="225">
        <f t="shared" si="1649"/>
        <v>0.64375632830691099</v>
      </c>
      <c r="AE112" s="126">
        <f t="shared" si="1649"/>
        <v>0.42263279445727481</v>
      </c>
      <c r="AF112" s="126">
        <f t="shared" si="1649"/>
        <v>1.8894230769230769</v>
      </c>
      <c r="AG112" s="126">
        <f t="shared" si="1649"/>
        <v>2.0104166666666665</v>
      </c>
      <c r="AH112" s="126" t="e">
        <f t="shared" si="1649"/>
        <v>#DIV/0!</v>
      </c>
      <c r="AI112" s="126" t="e">
        <f t="shared" si="1649"/>
        <v>#DIV/0!</v>
      </c>
      <c r="AJ112" s="126" t="e">
        <f t="shared" si="1649"/>
        <v>#DIV/0!</v>
      </c>
      <c r="AK112" s="126">
        <f t="shared" si="1649"/>
        <v>0.92390224518180009</v>
      </c>
      <c r="AL112" s="126">
        <f t="shared" si="1649"/>
        <v>0.95922417681551642</v>
      </c>
      <c r="AM112" s="126">
        <f t="shared" si="1649"/>
        <v>0.1065989847715736</v>
      </c>
      <c r="AN112" s="126">
        <f t="shared" si="1649"/>
        <v>0.37024221453287198</v>
      </c>
      <c r="AO112" s="177">
        <f t="shared" si="1649"/>
        <v>0.73744517960808176</v>
      </c>
      <c r="AP112" s="126">
        <f t="shared" si="1649"/>
        <v>0.6247742255937867</v>
      </c>
      <c r="AQ112" s="215" t="e">
        <f t="shared" si="1649"/>
        <v>#DIV/0!</v>
      </c>
      <c r="AR112" s="126" t="e">
        <f t="shared" si="1649"/>
        <v>#DIV/0!</v>
      </c>
      <c r="AS112" s="126" t="e">
        <f t="shared" si="1649"/>
        <v>#DIV/0!</v>
      </c>
      <c r="AT112" s="126" t="e">
        <f t="shared" si="1649"/>
        <v>#DIV/0!</v>
      </c>
      <c r="AU112" s="126" t="e">
        <f t="shared" si="1649"/>
        <v>#DIV/0!</v>
      </c>
      <c r="AV112" s="126" t="e">
        <f t="shared" si="1649"/>
        <v>#DIV/0!</v>
      </c>
      <c r="AW112" s="126">
        <f t="shared" si="1649"/>
        <v>0.43065397853816562</v>
      </c>
      <c r="AX112" s="126">
        <f t="shared" si="1649"/>
        <v>0.72023809523809523</v>
      </c>
      <c r="AY112" s="126">
        <f t="shared" si="1649"/>
        <v>0</v>
      </c>
      <c r="AZ112" s="126" t="e">
        <f t="shared" si="1649"/>
        <v>#DIV/0!</v>
      </c>
      <c r="BA112" s="126" t="e">
        <f t="shared" si="1649"/>
        <v>#DIV/0!</v>
      </c>
      <c r="BB112" s="215" t="e">
        <f t="shared" si="1649"/>
        <v>#DIV/0!</v>
      </c>
      <c r="BC112" s="126">
        <f t="shared" si="1649"/>
        <v>0.27424696420123007</v>
      </c>
      <c r="BD112" s="126">
        <f t="shared" si="1649"/>
        <v>0.27424696420123007</v>
      </c>
      <c r="BE112" s="126">
        <f t="shared" si="1649"/>
        <v>0</v>
      </c>
      <c r="BF112" s="126">
        <f t="shared" si="1649"/>
        <v>3.1466666666666665</v>
      </c>
      <c r="BG112" s="126">
        <f t="shared" si="1649"/>
        <v>0.94271296104001767</v>
      </c>
      <c r="BH112" s="177">
        <f t="shared" si="1649"/>
        <v>0.87325384878383128</v>
      </c>
      <c r="BI112" s="225">
        <f t="shared" si="1649"/>
        <v>0.71917927307728657</v>
      </c>
      <c r="BJ112" s="126">
        <f t="shared" si="1649"/>
        <v>0</v>
      </c>
      <c r="BK112" s="126">
        <f t="shared" si="1649"/>
        <v>0.74868516681902675</v>
      </c>
      <c r="BM112" s="126" t="e">
        <f t="shared" ref="BM112" si="1651">BM107/BM104</f>
        <v>#DIV/0!</v>
      </c>
    </row>
    <row r="113" spans="1:69" s="180" customFormat="1" ht="15.75" x14ac:dyDescent="0.25">
      <c r="A113" s="128"/>
      <c r="B113" s="5" t="s">
        <v>297</v>
      </c>
      <c r="C113" s="11">
        <f>C107-C104</f>
        <v>-456618</v>
      </c>
      <c r="D113" s="11">
        <f t="shared" ref="D113:BM113" si="1652">D107-D104</f>
        <v>-169639</v>
      </c>
      <c r="E113" s="11">
        <f t="shared" si="1652"/>
        <v>-16079</v>
      </c>
      <c r="F113" s="11">
        <f t="shared" si="1652"/>
        <v>-64831</v>
      </c>
      <c r="G113" s="11">
        <f t="shared" si="1652"/>
        <v>-43127</v>
      </c>
      <c r="H113" s="11">
        <f t="shared" si="1652"/>
        <v>0</v>
      </c>
      <c r="I113" s="11">
        <f t="shared" si="1652"/>
        <v>0</v>
      </c>
      <c r="J113" s="11">
        <f t="shared" si="1652"/>
        <v>33</v>
      </c>
      <c r="K113" s="11">
        <f t="shared" si="1652"/>
        <v>-120</v>
      </c>
      <c r="L113" s="11">
        <f t="shared" si="1652"/>
        <v>-2196</v>
      </c>
      <c r="M113" s="11">
        <f t="shared" si="1652"/>
        <v>-84311</v>
      </c>
      <c r="N113" s="11">
        <f t="shared" si="1652"/>
        <v>-904</v>
      </c>
      <c r="O113" s="11">
        <f t="shared" si="1652"/>
        <v>-16329</v>
      </c>
      <c r="P113" s="11">
        <f t="shared" si="1652"/>
        <v>-34220</v>
      </c>
      <c r="Q113" s="11">
        <f t="shared" si="1652"/>
        <v>0</v>
      </c>
      <c r="R113" s="11">
        <f t="shared" si="1652"/>
        <v>-8312</v>
      </c>
      <c r="S113" s="11">
        <f t="shared" si="1652"/>
        <v>0</v>
      </c>
      <c r="T113" s="11">
        <f t="shared" si="1652"/>
        <v>0</v>
      </c>
      <c r="U113" s="11">
        <f t="shared" si="1652"/>
        <v>0</v>
      </c>
      <c r="V113" s="9">
        <f t="shared" si="1652"/>
        <v>0</v>
      </c>
      <c r="W113" s="11">
        <f t="shared" si="1652"/>
        <v>0</v>
      </c>
      <c r="X113" s="11">
        <f t="shared" si="1652"/>
        <v>0</v>
      </c>
      <c r="Y113" s="11">
        <f t="shared" si="1652"/>
        <v>631</v>
      </c>
      <c r="Z113" s="11">
        <f t="shared" si="1652"/>
        <v>-354</v>
      </c>
      <c r="AA113" s="11">
        <f t="shared" si="1652"/>
        <v>762</v>
      </c>
      <c r="AB113" s="11">
        <f t="shared" ref="AB113" si="1653">AB107-AB104</f>
        <v>-2622</v>
      </c>
      <c r="AC113" s="10">
        <f t="shared" si="1652"/>
        <v>0</v>
      </c>
      <c r="AD113" s="223">
        <f t="shared" si="1652"/>
        <v>-898236</v>
      </c>
      <c r="AE113" s="11">
        <f t="shared" si="1652"/>
        <v>-3750</v>
      </c>
      <c r="AF113" s="11">
        <f t="shared" si="1652"/>
        <v>185</v>
      </c>
      <c r="AG113" s="11">
        <f t="shared" si="1652"/>
        <v>97</v>
      </c>
      <c r="AH113" s="11">
        <f t="shared" si="1652"/>
        <v>0</v>
      </c>
      <c r="AI113" s="11">
        <f t="shared" si="1652"/>
        <v>0</v>
      </c>
      <c r="AJ113" s="11">
        <f t="shared" si="1652"/>
        <v>62</v>
      </c>
      <c r="AK113" s="11">
        <f t="shared" si="1652"/>
        <v>-383</v>
      </c>
      <c r="AL113" s="11">
        <f t="shared" si="1652"/>
        <v>-452</v>
      </c>
      <c r="AM113" s="11">
        <f t="shared" si="1652"/>
        <v>-352</v>
      </c>
      <c r="AN113" s="11">
        <f t="shared" si="1652"/>
        <v>-182</v>
      </c>
      <c r="AO113" s="9">
        <f t="shared" si="1652"/>
        <v>-20714</v>
      </c>
      <c r="AP113" s="11">
        <f t="shared" si="1652"/>
        <v>-66478</v>
      </c>
      <c r="AQ113" s="10">
        <f t="shared" si="1652"/>
        <v>0</v>
      </c>
      <c r="AR113" s="11">
        <f t="shared" si="1652"/>
        <v>0</v>
      </c>
      <c r="AS113" s="11">
        <f t="shared" si="1652"/>
        <v>0</v>
      </c>
      <c r="AT113" s="11">
        <f t="shared" si="1652"/>
        <v>0</v>
      </c>
      <c r="AU113" s="11">
        <f t="shared" si="1652"/>
        <v>0</v>
      </c>
      <c r="AV113" s="11">
        <f t="shared" si="1652"/>
        <v>0</v>
      </c>
      <c r="AW113" s="11">
        <f t="shared" si="1652"/>
        <v>-2812</v>
      </c>
      <c r="AX113" s="11">
        <f t="shared" si="1652"/>
        <v>-423</v>
      </c>
      <c r="AY113" s="11">
        <f t="shared" si="1652"/>
        <v>-388</v>
      </c>
      <c r="AZ113" s="11">
        <f t="shared" si="1652"/>
        <v>0</v>
      </c>
      <c r="BA113" s="11">
        <f t="shared" si="1652"/>
        <v>0</v>
      </c>
      <c r="BB113" s="10">
        <f t="shared" si="1652"/>
        <v>0</v>
      </c>
      <c r="BC113" s="11">
        <f t="shared" si="1652"/>
        <v>-4602</v>
      </c>
      <c r="BD113" s="11">
        <f t="shared" si="1652"/>
        <v>-4602</v>
      </c>
      <c r="BE113" s="11">
        <f t="shared" si="1652"/>
        <v>-65</v>
      </c>
      <c r="BF113" s="11">
        <f t="shared" si="1652"/>
        <v>1932</v>
      </c>
      <c r="BG113" s="11">
        <f t="shared" si="1652"/>
        <v>-53514</v>
      </c>
      <c r="BH113" s="11">
        <f t="shared" si="1652"/>
        <v>-156441</v>
      </c>
      <c r="BI113" s="223">
        <f t="shared" si="1652"/>
        <v>-1054677</v>
      </c>
      <c r="BJ113" s="11">
        <f t="shared" si="1652"/>
        <v>-148013</v>
      </c>
      <c r="BK113" s="11">
        <f t="shared" si="1652"/>
        <v>-906664</v>
      </c>
      <c r="BL113" s="11">
        <f t="shared" si="1652"/>
        <v>2701008</v>
      </c>
      <c r="BM113" s="11">
        <f t="shared" si="1652"/>
        <v>1077845</v>
      </c>
    </row>
    <row r="114" spans="1:69" s="180" customFormat="1" ht="15.75" x14ac:dyDescent="0.25">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226"/>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226"/>
      <c r="BJ114" s="5"/>
      <c r="BK114" s="48"/>
    </row>
    <row r="115" spans="1:69" ht="15.75" x14ac:dyDescent="0.25">
      <c r="A115" s="15" t="s">
        <v>143</v>
      </c>
      <c r="B115" s="11" t="s">
        <v>300</v>
      </c>
      <c r="C115" s="120">
        <v>0</v>
      </c>
      <c r="D115" s="120">
        <v>0</v>
      </c>
      <c r="E115" s="120">
        <v>0</v>
      </c>
      <c r="F115" s="120">
        <v>0</v>
      </c>
      <c r="G115" s="120">
        <v>0</v>
      </c>
      <c r="H115" s="120">
        <v>2899829</v>
      </c>
      <c r="I115" s="120">
        <v>0</v>
      </c>
      <c r="J115" s="120">
        <v>0</v>
      </c>
      <c r="K115" s="120">
        <v>0</v>
      </c>
      <c r="L115" s="120">
        <v>0</v>
      </c>
      <c r="M115" s="120">
        <v>0</v>
      </c>
      <c r="N115" s="120">
        <v>0</v>
      </c>
      <c r="O115" s="120">
        <v>0</v>
      </c>
      <c r="P115" s="120">
        <v>0</v>
      </c>
      <c r="Q115" s="120">
        <v>0</v>
      </c>
      <c r="R115" s="120">
        <v>0</v>
      </c>
      <c r="S115" s="120">
        <v>0</v>
      </c>
      <c r="T115" s="120">
        <v>0</v>
      </c>
      <c r="U115" s="120"/>
      <c r="V115" s="189">
        <v>0</v>
      </c>
      <c r="W115" s="120">
        <v>0</v>
      </c>
      <c r="X115" s="120">
        <v>0</v>
      </c>
      <c r="Y115" s="120">
        <v>0</v>
      </c>
      <c r="Z115" s="120">
        <v>0</v>
      </c>
      <c r="AA115" s="120">
        <v>0</v>
      </c>
      <c r="AB115" s="120"/>
      <c r="AC115" s="151">
        <v>0</v>
      </c>
      <c r="AD115" s="229">
        <f t="shared" ref="AD115:AD116" si="1654">SUM(C115:AC115)</f>
        <v>2899829</v>
      </c>
      <c r="AE115" s="120">
        <v>0</v>
      </c>
      <c r="AF115" s="120">
        <v>0</v>
      </c>
      <c r="AG115" s="120">
        <v>0</v>
      </c>
      <c r="AH115" s="120">
        <v>0</v>
      </c>
      <c r="AI115" s="120">
        <v>0</v>
      </c>
      <c r="AJ115" s="120">
        <v>0</v>
      </c>
      <c r="AK115" s="120">
        <v>0</v>
      </c>
      <c r="AL115" s="120">
        <v>0</v>
      </c>
      <c r="AM115" s="120">
        <v>0</v>
      </c>
      <c r="AN115" s="120">
        <v>0</v>
      </c>
      <c r="AO115" s="189">
        <v>0</v>
      </c>
      <c r="AP115" s="120">
        <v>0</v>
      </c>
      <c r="AQ115" s="151">
        <v>0</v>
      </c>
      <c r="AR115" s="120">
        <v>0</v>
      </c>
      <c r="AS115" s="120"/>
      <c r="AT115" s="120"/>
      <c r="AU115" s="120">
        <v>0</v>
      </c>
      <c r="AV115" s="120"/>
      <c r="AW115" s="120">
        <v>0</v>
      </c>
      <c r="AX115" s="120">
        <v>0</v>
      </c>
      <c r="AY115" s="120">
        <v>0</v>
      </c>
      <c r="AZ115" s="120">
        <v>0</v>
      </c>
      <c r="BA115" s="120">
        <v>0</v>
      </c>
      <c r="BB115" s="151">
        <v>0</v>
      </c>
      <c r="BC115" s="120">
        <v>0</v>
      </c>
      <c r="BD115" s="120">
        <v>0</v>
      </c>
      <c r="BE115" s="120">
        <v>0</v>
      </c>
      <c r="BF115" s="120">
        <v>0</v>
      </c>
      <c r="BG115" s="120">
        <v>72291171</v>
      </c>
      <c r="BH115" s="9">
        <f>SUM(AE115:BG115)</f>
        <v>72291171</v>
      </c>
      <c r="BI115" s="222">
        <f>AD115+BH115</f>
        <v>75191000</v>
      </c>
      <c r="BJ115" s="96">
        <v>72243000</v>
      </c>
      <c r="BK115" s="49">
        <f t="shared" ref="BK115:BK116" si="1655">BI115-BJ115</f>
        <v>2948000</v>
      </c>
      <c r="BL115">
        <v>11</v>
      </c>
      <c r="BM115" s="30"/>
      <c r="BP115">
        <f>3496425-53457</f>
        <v>3442968</v>
      </c>
      <c r="BQ115" s="30">
        <f>+BP115-BK104</f>
        <v>-164714</v>
      </c>
    </row>
    <row r="116" spans="1:69" s="41" customFormat="1" ht="15.75" x14ac:dyDescent="0.25">
      <c r="A116" s="134" t="s">
        <v>143</v>
      </c>
      <c r="B116" s="216" t="s">
        <v>325</v>
      </c>
      <c r="C116" s="10">
        <v>0</v>
      </c>
      <c r="D116" s="10">
        <v>0</v>
      </c>
      <c r="E116" s="10">
        <v>0</v>
      </c>
      <c r="F116" s="10">
        <v>0</v>
      </c>
      <c r="G116" s="10">
        <v>0</v>
      </c>
      <c r="H116" s="10">
        <v>1739895</v>
      </c>
      <c r="I116" s="10">
        <v>0</v>
      </c>
      <c r="J116" s="10">
        <v>0</v>
      </c>
      <c r="K116" s="10">
        <v>0</v>
      </c>
      <c r="L116" s="10">
        <v>0</v>
      </c>
      <c r="M116" s="10">
        <v>0</v>
      </c>
      <c r="N116" s="10">
        <v>0</v>
      </c>
      <c r="O116" s="10">
        <v>0</v>
      </c>
      <c r="P116" s="10">
        <v>0</v>
      </c>
      <c r="Q116" s="10">
        <v>0</v>
      </c>
      <c r="R116" s="10">
        <v>0</v>
      </c>
      <c r="S116" s="10">
        <v>0</v>
      </c>
      <c r="T116" s="10">
        <v>0</v>
      </c>
      <c r="U116" s="10"/>
      <c r="V116" s="10">
        <v>0</v>
      </c>
      <c r="W116" s="10">
        <v>0</v>
      </c>
      <c r="X116" s="10">
        <v>0</v>
      </c>
      <c r="Y116" s="10">
        <v>0</v>
      </c>
      <c r="Z116" s="10">
        <v>0</v>
      </c>
      <c r="AA116" s="10">
        <v>0</v>
      </c>
      <c r="AB116" s="10">
        <v>0</v>
      </c>
      <c r="AC116" s="10">
        <v>0</v>
      </c>
      <c r="AD116" s="229">
        <f t="shared" si="1654"/>
        <v>1739895</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28102</v>
      </c>
      <c r="BH116" s="10">
        <f>SUM(AE116:BG116)</f>
        <v>28102</v>
      </c>
      <c r="BI116" s="222">
        <f>AD116+BH116</f>
        <v>1767997</v>
      </c>
      <c r="BJ116" s="10">
        <v>0</v>
      </c>
      <c r="BK116" s="10">
        <f t="shared" si="1655"/>
        <v>1767997</v>
      </c>
      <c r="BM116" s="217"/>
    </row>
    <row r="117" spans="1:69" ht="15.75" x14ac:dyDescent="0.25">
      <c r="A117" s="128"/>
      <c r="B117" s="12" t="s">
        <v>326</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1632850</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229">
        <f t="shared" ref="AD117:AD118" si="1656">SUM(C117:AC117)</f>
        <v>1632850</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41186266</v>
      </c>
      <c r="BH117" s="9">
        <f>SUM(AE117:BG117)</f>
        <v>41186266</v>
      </c>
      <c r="BI117" s="222">
        <f>AD117+BH117</f>
        <v>42819116</v>
      </c>
      <c r="BJ117" s="9">
        <f>IF('Upto Month COPPY'!$L$60="",0,'Upto Month COPPY'!$L$60)</f>
        <v>41181152</v>
      </c>
      <c r="BK117" s="49">
        <f t="shared" ref="BK117:BK118" si="1657">BI117-BJ117</f>
        <v>1637964</v>
      </c>
      <c r="BL117">
        <f>'Upto Month COPPY'!$L$61</f>
        <v>1637963</v>
      </c>
      <c r="BM117" s="30">
        <f t="shared" ref="BM117:BM121" si="1658">BK117-AD117</f>
        <v>5114</v>
      </c>
    </row>
    <row r="118" spans="1:69" ht="15.75" x14ac:dyDescent="0.25">
      <c r="A118" s="128"/>
      <c r="B118" s="182" t="s">
        <v>327</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1838346</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229">
        <f t="shared" si="1656"/>
        <v>1838346</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41874955</v>
      </c>
      <c r="BH118" s="9">
        <f>SUM(AE118:BG118)</f>
        <v>41874955</v>
      </c>
      <c r="BI118" s="222">
        <f>AD118+BH118</f>
        <v>43713301</v>
      </c>
      <c r="BJ118" s="9">
        <f>IF('Upto Month Current'!$L$60="",0,'Upto Month Current'!$L$60)</f>
        <v>41859397</v>
      </c>
      <c r="BK118" s="49">
        <f t="shared" si="1657"/>
        <v>1853904</v>
      </c>
      <c r="BL118">
        <f>'Upto Month Current'!$L$61</f>
        <v>1853904</v>
      </c>
      <c r="BM118" s="30">
        <f t="shared" si="1658"/>
        <v>15558</v>
      </c>
    </row>
    <row r="119" spans="1:69" ht="15.75" x14ac:dyDescent="0.25">
      <c r="A119" s="128"/>
      <c r="B119" s="5" t="s">
        <v>132</v>
      </c>
      <c r="C119" s="11">
        <f>C118-C116</f>
        <v>0</v>
      </c>
      <c r="D119" s="11">
        <f t="shared" ref="D119" si="1659">D118-D116</f>
        <v>0</v>
      </c>
      <c r="E119" s="11">
        <f t="shared" ref="E119" si="1660">E118-E116</f>
        <v>0</v>
      </c>
      <c r="F119" s="11">
        <f t="shared" ref="F119" si="1661">F118-F116</f>
        <v>0</v>
      </c>
      <c r="G119" s="11">
        <f t="shared" ref="G119" si="1662">G118-G116</f>
        <v>0</v>
      </c>
      <c r="H119" s="11">
        <f t="shared" ref="H119" si="1663">H118-H116</f>
        <v>98451</v>
      </c>
      <c r="I119" s="11">
        <f t="shared" ref="I119" si="1664">I118-I116</f>
        <v>0</v>
      </c>
      <c r="J119" s="11">
        <f t="shared" ref="J119" si="1665">J118-J116</f>
        <v>0</v>
      </c>
      <c r="K119" s="11">
        <f t="shared" ref="K119" si="1666">K118-K116</f>
        <v>0</v>
      </c>
      <c r="L119" s="11">
        <f t="shared" ref="L119" si="1667">L118-L116</f>
        <v>0</v>
      </c>
      <c r="M119" s="11">
        <f t="shared" ref="M119" si="1668">M118-M116</f>
        <v>0</v>
      </c>
      <c r="N119" s="11">
        <f t="shared" ref="N119" si="1669">N118-N116</f>
        <v>0</v>
      </c>
      <c r="O119" s="11">
        <f t="shared" ref="O119" si="1670">O118-O116</f>
        <v>0</v>
      </c>
      <c r="P119" s="11">
        <f t="shared" ref="P119" si="1671">P118-P116</f>
        <v>0</v>
      </c>
      <c r="Q119" s="11">
        <f t="shared" ref="Q119" si="1672">Q118-Q116</f>
        <v>0</v>
      </c>
      <c r="R119" s="11">
        <f t="shared" ref="R119" si="1673">R118-R116</f>
        <v>0</v>
      </c>
      <c r="S119" s="11">
        <f t="shared" ref="S119" si="1674">S118-S116</f>
        <v>0</v>
      </c>
      <c r="T119" s="11">
        <f t="shared" ref="T119:U119" si="1675">T118-T116</f>
        <v>0</v>
      </c>
      <c r="U119" s="11">
        <f t="shared" si="1675"/>
        <v>0</v>
      </c>
      <c r="V119" s="9">
        <f t="shared" ref="V119" si="1676">V118-V116</f>
        <v>0</v>
      </c>
      <c r="W119" s="11">
        <f t="shared" ref="W119" si="1677">W118-W116</f>
        <v>0</v>
      </c>
      <c r="X119" s="11">
        <f t="shared" ref="X119" si="1678">X118-X116</f>
        <v>0</v>
      </c>
      <c r="Y119" s="11">
        <f t="shared" ref="Y119" si="1679">Y118-Y116</f>
        <v>0</v>
      </c>
      <c r="Z119" s="11">
        <f t="shared" ref="Z119" si="1680">Z118-Z116</f>
        <v>0</v>
      </c>
      <c r="AA119" s="11">
        <f t="shared" ref="AA119:AD119" si="1681">AA118-AA116</f>
        <v>0</v>
      </c>
      <c r="AB119" s="11">
        <f t="shared" ref="AB119" si="1682">AB118-AB116</f>
        <v>0</v>
      </c>
      <c r="AC119" s="10">
        <f t="shared" si="1681"/>
        <v>0</v>
      </c>
      <c r="AD119" s="223">
        <f t="shared" si="1681"/>
        <v>98451</v>
      </c>
      <c r="AE119" s="11">
        <f t="shared" ref="AE119" si="1683">AE118-AE116</f>
        <v>0</v>
      </c>
      <c r="AF119" s="11">
        <f t="shared" ref="AF119" si="1684">AF118-AF116</f>
        <v>0</v>
      </c>
      <c r="AG119" s="11">
        <f t="shared" ref="AG119" si="1685">AG118-AG116</f>
        <v>0</v>
      </c>
      <c r="AH119" s="11">
        <f t="shared" ref="AH119" si="1686">AH118-AH116</f>
        <v>0</v>
      </c>
      <c r="AI119" s="11">
        <f t="shared" ref="AI119" si="1687">AI118-AI116</f>
        <v>0</v>
      </c>
      <c r="AJ119" s="11">
        <f t="shared" ref="AJ119" si="1688">AJ118-AJ116</f>
        <v>0</v>
      </c>
      <c r="AK119" s="11">
        <f t="shared" ref="AK119" si="1689">AK118-AK116</f>
        <v>0</v>
      </c>
      <c r="AL119" s="11">
        <f t="shared" ref="AL119" si="1690">AL118-AL116</f>
        <v>0</v>
      </c>
      <c r="AM119" s="11">
        <f t="shared" ref="AM119" si="1691">AM118-AM116</f>
        <v>0</v>
      </c>
      <c r="AN119" s="11">
        <f t="shared" ref="AN119" si="1692">AN118-AN116</f>
        <v>0</v>
      </c>
      <c r="AO119" s="9">
        <f t="shared" ref="AO119" si="1693">AO118-AO116</f>
        <v>0</v>
      </c>
      <c r="AP119" s="11">
        <f t="shared" ref="AP119" si="1694">AP118-AP116</f>
        <v>0</v>
      </c>
      <c r="AQ119" s="10">
        <f t="shared" ref="AQ119" si="1695">AQ118-AQ116</f>
        <v>0</v>
      </c>
      <c r="AR119" s="11">
        <f t="shared" ref="AR119" si="1696">AR118-AR116</f>
        <v>0</v>
      </c>
      <c r="AS119" s="11">
        <f t="shared" ref="AS119" si="1697">AS118-AS116</f>
        <v>0</v>
      </c>
      <c r="AT119" s="11">
        <f t="shared" ref="AT119" si="1698">AT118-AT116</f>
        <v>0</v>
      </c>
      <c r="AU119" s="11">
        <f t="shared" ref="AU119" si="1699">AU118-AU116</f>
        <v>0</v>
      </c>
      <c r="AV119" s="11">
        <f t="shared" ref="AV119" si="1700">AV118-AV116</f>
        <v>0</v>
      </c>
      <c r="AW119" s="11">
        <f t="shared" ref="AW119" si="1701">AW118-AW116</f>
        <v>0</v>
      </c>
      <c r="AX119" s="11">
        <f t="shared" ref="AX119" si="1702">AX118-AX116</f>
        <v>0</v>
      </c>
      <c r="AY119" s="11">
        <f t="shared" ref="AY119" si="1703">AY118-AY116</f>
        <v>0</v>
      </c>
      <c r="AZ119" s="11">
        <f t="shared" ref="AZ119" si="1704">AZ118-AZ116</f>
        <v>0</v>
      </c>
      <c r="BA119" s="11">
        <f t="shared" ref="BA119" si="1705">BA118-BA116</f>
        <v>0</v>
      </c>
      <c r="BB119" s="10">
        <f t="shared" ref="BB119" si="1706">BB118-BB116</f>
        <v>0</v>
      </c>
      <c r="BC119" s="11">
        <f t="shared" ref="BC119" si="1707">BC118-BC116</f>
        <v>0</v>
      </c>
      <c r="BD119" s="11">
        <f t="shared" ref="BD119" si="1708">BD118-BD116</f>
        <v>0</v>
      </c>
      <c r="BE119" s="11">
        <f t="shared" ref="BE119" si="1709">BE118-BE116</f>
        <v>0</v>
      </c>
      <c r="BF119" s="11">
        <f t="shared" ref="BF119" si="1710">BF118-BF116</f>
        <v>0</v>
      </c>
      <c r="BG119" s="11">
        <f t="shared" ref="BG119:BH119" si="1711">BG118-BG116</f>
        <v>41846853</v>
      </c>
      <c r="BH119" s="9">
        <f t="shared" si="1711"/>
        <v>41846853</v>
      </c>
      <c r="BI119" s="223">
        <f t="shared" ref="BI119" si="1712">BI118-BI116</f>
        <v>41945304</v>
      </c>
      <c r="BJ119" s="11">
        <f t="shared" ref="BJ119:BK119" si="1713">BJ118-BJ116</f>
        <v>41859397</v>
      </c>
      <c r="BK119" s="49">
        <f t="shared" si="1713"/>
        <v>85907</v>
      </c>
      <c r="BM119" s="30">
        <f t="shared" si="1658"/>
        <v>-12544</v>
      </c>
    </row>
    <row r="120" spans="1:69" ht="15.75" x14ac:dyDescent="0.25">
      <c r="A120" s="128"/>
      <c r="B120" s="5" t="s">
        <v>133</v>
      </c>
      <c r="C120" s="13" t="e">
        <f>C119/C116</f>
        <v>#DIV/0!</v>
      </c>
      <c r="D120" s="13" t="e">
        <f t="shared" ref="D120" si="1714">D119/D116</f>
        <v>#DIV/0!</v>
      </c>
      <c r="E120" s="13" t="e">
        <f t="shared" ref="E120" si="1715">E119/E116</f>
        <v>#DIV/0!</v>
      </c>
      <c r="F120" s="13" t="e">
        <f t="shared" ref="F120" si="1716">F119/F116</f>
        <v>#DIV/0!</v>
      </c>
      <c r="G120" s="13" t="e">
        <f t="shared" ref="G120" si="1717">G119/G116</f>
        <v>#DIV/0!</v>
      </c>
      <c r="H120" s="13">
        <f t="shared" ref="H120" si="1718">H119/H116</f>
        <v>5.6584449061581304E-2</v>
      </c>
      <c r="I120" s="13" t="e">
        <f t="shared" ref="I120" si="1719">I119/I116</f>
        <v>#DIV/0!</v>
      </c>
      <c r="J120" s="13" t="e">
        <f t="shared" ref="J120" si="1720">J119/J116</f>
        <v>#DIV/0!</v>
      </c>
      <c r="K120" s="13" t="e">
        <f t="shared" ref="K120" si="1721">K119/K116</f>
        <v>#DIV/0!</v>
      </c>
      <c r="L120" s="13" t="e">
        <f t="shared" ref="L120" si="1722">L119/L116</f>
        <v>#DIV/0!</v>
      </c>
      <c r="M120" s="13" t="e">
        <f t="shared" ref="M120" si="1723">M119/M116</f>
        <v>#DIV/0!</v>
      </c>
      <c r="N120" s="13" t="e">
        <f t="shared" ref="N120" si="1724">N119/N116</f>
        <v>#DIV/0!</v>
      </c>
      <c r="O120" s="13" t="e">
        <f t="shared" ref="O120" si="1725">O119/O116</f>
        <v>#DIV/0!</v>
      </c>
      <c r="P120" s="13" t="e">
        <f t="shared" ref="P120" si="1726">P119/P116</f>
        <v>#DIV/0!</v>
      </c>
      <c r="Q120" s="13" t="e">
        <f t="shared" ref="Q120" si="1727">Q119/Q116</f>
        <v>#DIV/0!</v>
      </c>
      <c r="R120" s="13" t="e">
        <f t="shared" ref="R120" si="1728">R119/R116</f>
        <v>#DIV/0!</v>
      </c>
      <c r="S120" s="13" t="e">
        <f t="shared" ref="S120" si="1729">S119/S116</f>
        <v>#DIV/0!</v>
      </c>
      <c r="T120" s="13" t="e">
        <f t="shared" ref="T120:U120" si="1730">T119/T116</f>
        <v>#DIV/0!</v>
      </c>
      <c r="U120" s="13" t="e">
        <f t="shared" si="1730"/>
        <v>#DIV/0!</v>
      </c>
      <c r="V120" s="162" t="e">
        <f t="shared" ref="V120" si="1731">V119/V116</f>
        <v>#DIV/0!</v>
      </c>
      <c r="W120" s="13" t="e">
        <f t="shared" ref="W120" si="1732">W119/W116</f>
        <v>#DIV/0!</v>
      </c>
      <c r="X120" s="13" t="e">
        <f t="shared" ref="X120" si="1733">X119/X116</f>
        <v>#DIV/0!</v>
      </c>
      <c r="Y120" s="13" t="e">
        <f t="shared" ref="Y120" si="1734">Y119/Y116</f>
        <v>#DIV/0!</v>
      </c>
      <c r="Z120" s="13" t="e">
        <f t="shared" ref="Z120" si="1735">Z119/Z116</f>
        <v>#DIV/0!</v>
      </c>
      <c r="AA120" s="13" t="e">
        <f t="shared" ref="AA120:AD120" si="1736">AA119/AA116</f>
        <v>#DIV/0!</v>
      </c>
      <c r="AB120" s="13" t="e">
        <f t="shared" ref="AB120" si="1737">AB119/AB116</f>
        <v>#DIV/0!</v>
      </c>
      <c r="AC120" s="14" t="e">
        <f t="shared" si="1736"/>
        <v>#DIV/0!</v>
      </c>
      <c r="AD120" s="224">
        <f t="shared" si="1736"/>
        <v>5.6584449061581304E-2</v>
      </c>
      <c r="AE120" s="13" t="e">
        <f t="shared" ref="AE120" si="1738">AE119/AE116</f>
        <v>#DIV/0!</v>
      </c>
      <c r="AF120" s="13" t="e">
        <f t="shared" ref="AF120" si="1739">AF119/AF116</f>
        <v>#DIV/0!</v>
      </c>
      <c r="AG120" s="13" t="e">
        <f t="shared" ref="AG120" si="1740">AG119/AG116</f>
        <v>#DIV/0!</v>
      </c>
      <c r="AH120" s="13" t="e">
        <f t="shared" ref="AH120" si="1741">AH119/AH116</f>
        <v>#DIV/0!</v>
      </c>
      <c r="AI120" s="13" t="e">
        <f t="shared" ref="AI120" si="1742">AI119/AI116</f>
        <v>#DIV/0!</v>
      </c>
      <c r="AJ120" s="13" t="e">
        <f t="shared" ref="AJ120" si="1743">AJ119/AJ116</f>
        <v>#DIV/0!</v>
      </c>
      <c r="AK120" s="13" t="e">
        <f t="shared" ref="AK120" si="1744">AK119/AK116</f>
        <v>#DIV/0!</v>
      </c>
      <c r="AL120" s="13" t="e">
        <f t="shared" ref="AL120" si="1745">AL119/AL116</f>
        <v>#DIV/0!</v>
      </c>
      <c r="AM120" s="13" t="e">
        <f t="shared" ref="AM120" si="1746">AM119/AM116</f>
        <v>#DIV/0!</v>
      </c>
      <c r="AN120" s="13" t="e">
        <f t="shared" ref="AN120" si="1747">AN119/AN116</f>
        <v>#DIV/0!</v>
      </c>
      <c r="AO120" s="162" t="e">
        <f t="shared" ref="AO120" si="1748">AO119/AO116</f>
        <v>#DIV/0!</v>
      </c>
      <c r="AP120" s="13" t="e">
        <f t="shared" ref="AP120" si="1749">AP119/AP116</f>
        <v>#DIV/0!</v>
      </c>
      <c r="AQ120" s="14" t="e">
        <f t="shared" ref="AQ120" si="1750">AQ119/AQ116</f>
        <v>#DIV/0!</v>
      </c>
      <c r="AR120" s="13" t="e">
        <f t="shared" ref="AR120" si="1751">AR119/AR116</f>
        <v>#DIV/0!</v>
      </c>
      <c r="AS120" s="13" t="e">
        <f t="shared" ref="AS120" si="1752">AS119/AS116</f>
        <v>#DIV/0!</v>
      </c>
      <c r="AT120" s="13" t="e">
        <f t="shared" ref="AT120" si="1753">AT119/AT116</f>
        <v>#DIV/0!</v>
      </c>
      <c r="AU120" s="13" t="e">
        <f t="shared" ref="AU120" si="1754">AU119/AU116</f>
        <v>#DIV/0!</v>
      </c>
      <c r="AV120" s="13" t="e">
        <f t="shared" ref="AV120" si="1755">AV119/AV116</f>
        <v>#DIV/0!</v>
      </c>
      <c r="AW120" s="13" t="e">
        <f t="shared" ref="AW120" si="1756">AW119/AW116</f>
        <v>#DIV/0!</v>
      </c>
      <c r="AX120" s="13" t="e">
        <f t="shared" ref="AX120" si="1757">AX119/AX116</f>
        <v>#DIV/0!</v>
      </c>
      <c r="AY120" s="13" t="e">
        <f t="shared" ref="AY120" si="1758">AY119/AY116</f>
        <v>#DIV/0!</v>
      </c>
      <c r="AZ120" s="13" t="e">
        <f t="shared" ref="AZ120" si="1759">AZ119/AZ116</f>
        <v>#DIV/0!</v>
      </c>
      <c r="BA120" s="13" t="e">
        <f t="shared" ref="BA120" si="1760">BA119/BA116</f>
        <v>#DIV/0!</v>
      </c>
      <c r="BB120" s="14" t="e">
        <f t="shared" ref="BB120" si="1761">BB119/BB116</f>
        <v>#DIV/0!</v>
      </c>
      <c r="BC120" s="13" t="e">
        <f t="shared" ref="BC120" si="1762">BC119/BC116</f>
        <v>#DIV/0!</v>
      </c>
      <c r="BD120" s="13" t="e">
        <f t="shared" ref="BD120" si="1763">BD119/BD116</f>
        <v>#DIV/0!</v>
      </c>
      <c r="BE120" s="13" t="e">
        <f t="shared" ref="BE120" si="1764">BE119/BE116</f>
        <v>#DIV/0!</v>
      </c>
      <c r="BF120" s="13" t="e">
        <f t="shared" ref="BF120" si="1765">BF119/BF116</f>
        <v>#DIV/0!</v>
      </c>
      <c r="BG120" s="13">
        <f t="shared" ref="BG120:BH120" si="1766">BG119/BG116</f>
        <v>1489.1058643512918</v>
      </c>
      <c r="BH120" s="162">
        <f t="shared" si="1766"/>
        <v>1489.1058643512918</v>
      </c>
      <c r="BI120" s="224">
        <f t="shared" ref="BI120" si="1767">BI119/BI116</f>
        <v>23.72475971395879</v>
      </c>
      <c r="BJ120" s="13" t="e">
        <f t="shared" ref="BJ120:BK120" si="1768">BJ119/BJ116</f>
        <v>#DIV/0!</v>
      </c>
      <c r="BK120" s="50">
        <f t="shared" si="1768"/>
        <v>4.859001457581659E-2</v>
      </c>
      <c r="BM120" s="162" t="e">
        <f t="shared" ref="BM120" si="1769">BM119/BM116</f>
        <v>#DIV/0!</v>
      </c>
    </row>
    <row r="121" spans="1:69" ht="15.75" x14ac:dyDescent="0.25">
      <c r="A121" s="128"/>
      <c r="B121" s="5" t="s">
        <v>134</v>
      </c>
      <c r="C121" s="11">
        <f>C118-C117</f>
        <v>0</v>
      </c>
      <c r="D121" s="11">
        <f t="shared" ref="D121:BK121" si="1770">D118-D117</f>
        <v>0</v>
      </c>
      <c r="E121" s="11">
        <f t="shared" si="1770"/>
        <v>0</v>
      </c>
      <c r="F121" s="11">
        <f t="shared" si="1770"/>
        <v>0</v>
      </c>
      <c r="G121" s="11">
        <f t="shared" si="1770"/>
        <v>0</v>
      </c>
      <c r="H121" s="11">
        <f t="shared" si="1770"/>
        <v>205496</v>
      </c>
      <c r="I121" s="11">
        <f t="shared" si="1770"/>
        <v>0</v>
      </c>
      <c r="J121" s="11">
        <f t="shared" si="1770"/>
        <v>0</v>
      </c>
      <c r="K121" s="11">
        <f t="shared" si="1770"/>
        <v>0</v>
      </c>
      <c r="L121" s="11">
        <f t="shared" si="1770"/>
        <v>0</v>
      </c>
      <c r="M121" s="11">
        <f t="shared" si="1770"/>
        <v>0</v>
      </c>
      <c r="N121" s="11">
        <f t="shared" si="1770"/>
        <v>0</v>
      </c>
      <c r="O121" s="11">
        <f t="shared" si="1770"/>
        <v>0</v>
      </c>
      <c r="P121" s="11">
        <f t="shared" si="1770"/>
        <v>0</v>
      </c>
      <c r="Q121" s="11">
        <f t="shared" si="1770"/>
        <v>0</v>
      </c>
      <c r="R121" s="11">
        <f t="shared" si="1770"/>
        <v>0</v>
      </c>
      <c r="S121" s="11">
        <f t="shared" si="1770"/>
        <v>0</v>
      </c>
      <c r="T121" s="11">
        <f t="shared" si="1770"/>
        <v>0</v>
      </c>
      <c r="U121" s="11">
        <f t="shared" ref="U121" si="1771">U118-U117</f>
        <v>0</v>
      </c>
      <c r="V121" s="9">
        <f t="shared" si="1770"/>
        <v>0</v>
      </c>
      <c r="W121" s="11">
        <f t="shared" si="1770"/>
        <v>0</v>
      </c>
      <c r="X121" s="11">
        <f t="shared" si="1770"/>
        <v>0</v>
      </c>
      <c r="Y121" s="11">
        <f t="shared" si="1770"/>
        <v>0</v>
      </c>
      <c r="Z121" s="11">
        <f t="shared" si="1770"/>
        <v>0</v>
      </c>
      <c r="AA121" s="11">
        <f t="shared" si="1770"/>
        <v>0</v>
      </c>
      <c r="AB121" s="11">
        <f t="shared" ref="AB121" si="1772">AB118-AB117</f>
        <v>0</v>
      </c>
      <c r="AC121" s="10">
        <f t="shared" ref="AC121:AD121" si="1773">AC118-AC117</f>
        <v>0</v>
      </c>
      <c r="AD121" s="223">
        <f t="shared" si="1773"/>
        <v>205496</v>
      </c>
      <c r="AE121" s="11">
        <f t="shared" si="1770"/>
        <v>0</v>
      </c>
      <c r="AF121" s="11">
        <f t="shared" si="1770"/>
        <v>0</v>
      </c>
      <c r="AG121" s="11">
        <f t="shared" si="1770"/>
        <v>0</v>
      </c>
      <c r="AH121" s="11">
        <f t="shared" si="1770"/>
        <v>0</v>
      </c>
      <c r="AI121" s="11">
        <f t="shared" si="1770"/>
        <v>0</v>
      </c>
      <c r="AJ121" s="11">
        <f t="shared" si="1770"/>
        <v>0</v>
      </c>
      <c r="AK121" s="11">
        <f t="shared" si="1770"/>
        <v>0</v>
      </c>
      <c r="AL121" s="11">
        <f t="shared" si="1770"/>
        <v>0</v>
      </c>
      <c r="AM121" s="11">
        <f t="shared" si="1770"/>
        <v>0</v>
      </c>
      <c r="AN121" s="11">
        <f t="shared" si="1770"/>
        <v>0</v>
      </c>
      <c r="AO121" s="9">
        <f t="shared" si="1770"/>
        <v>0</v>
      </c>
      <c r="AP121" s="11">
        <f t="shared" si="1770"/>
        <v>0</v>
      </c>
      <c r="AQ121" s="10">
        <f t="shared" si="1770"/>
        <v>0</v>
      </c>
      <c r="AR121" s="11">
        <f t="shared" si="1770"/>
        <v>0</v>
      </c>
      <c r="AS121" s="11">
        <f t="shared" si="1770"/>
        <v>0</v>
      </c>
      <c r="AT121" s="11">
        <f t="shared" si="1770"/>
        <v>0</v>
      </c>
      <c r="AU121" s="11">
        <f t="shared" si="1770"/>
        <v>0</v>
      </c>
      <c r="AV121" s="11">
        <f t="shared" si="1770"/>
        <v>0</v>
      </c>
      <c r="AW121" s="11">
        <f t="shared" si="1770"/>
        <v>0</v>
      </c>
      <c r="AX121" s="11">
        <f t="shared" si="1770"/>
        <v>0</v>
      </c>
      <c r="AY121" s="11">
        <f t="shared" si="1770"/>
        <v>0</v>
      </c>
      <c r="AZ121" s="11">
        <f t="shared" si="1770"/>
        <v>0</v>
      </c>
      <c r="BA121" s="11">
        <f t="shared" si="1770"/>
        <v>0</v>
      </c>
      <c r="BB121" s="10">
        <f t="shared" si="1770"/>
        <v>0</v>
      </c>
      <c r="BC121" s="11">
        <f t="shared" si="1770"/>
        <v>0</v>
      </c>
      <c r="BD121" s="11">
        <f t="shared" si="1770"/>
        <v>0</v>
      </c>
      <c r="BE121" s="11">
        <f t="shared" si="1770"/>
        <v>0</v>
      </c>
      <c r="BF121" s="11">
        <f t="shared" si="1770"/>
        <v>0</v>
      </c>
      <c r="BG121" s="11">
        <f t="shared" si="1770"/>
        <v>688689</v>
      </c>
      <c r="BH121" s="9">
        <f t="shared" si="1770"/>
        <v>688689</v>
      </c>
      <c r="BI121" s="223">
        <f t="shared" si="1770"/>
        <v>894185</v>
      </c>
      <c r="BJ121" s="11">
        <f t="shared" si="1770"/>
        <v>678245</v>
      </c>
      <c r="BK121" s="49">
        <f t="shared" si="1770"/>
        <v>215940</v>
      </c>
      <c r="BM121" s="30">
        <f t="shared" si="1658"/>
        <v>10444</v>
      </c>
    </row>
    <row r="122" spans="1:69" ht="15.75" x14ac:dyDescent="0.25">
      <c r="A122" s="128"/>
      <c r="B122" s="5" t="s">
        <v>135</v>
      </c>
      <c r="C122" s="13" t="e">
        <f>C121/C117</f>
        <v>#DIV/0!</v>
      </c>
      <c r="D122" s="13" t="e">
        <f t="shared" ref="D122" si="1774">D121/D117</f>
        <v>#DIV/0!</v>
      </c>
      <c r="E122" s="13" t="e">
        <f t="shared" ref="E122" si="1775">E121/E117</f>
        <v>#DIV/0!</v>
      </c>
      <c r="F122" s="13" t="e">
        <f t="shared" ref="F122" si="1776">F121/F117</f>
        <v>#DIV/0!</v>
      </c>
      <c r="G122" s="13" t="e">
        <f t="shared" ref="G122" si="1777">G121/G117</f>
        <v>#DIV/0!</v>
      </c>
      <c r="H122" s="13">
        <f t="shared" ref="H122" si="1778">H121/H117</f>
        <v>0.12585111920874545</v>
      </c>
      <c r="I122" s="13" t="e">
        <f t="shared" ref="I122" si="1779">I121/I117</f>
        <v>#DIV/0!</v>
      </c>
      <c r="J122" s="13" t="e">
        <f t="shared" ref="J122" si="1780">J121/J117</f>
        <v>#DIV/0!</v>
      </c>
      <c r="K122" s="13" t="e">
        <f t="shared" ref="K122" si="1781">K121/K117</f>
        <v>#DIV/0!</v>
      </c>
      <c r="L122" s="13" t="e">
        <f t="shared" ref="L122" si="1782">L121/L117</f>
        <v>#DIV/0!</v>
      </c>
      <c r="M122" s="13" t="e">
        <f t="shared" ref="M122" si="1783">M121/M117</f>
        <v>#DIV/0!</v>
      </c>
      <c r="N122" s="13" t="e">
        <f t="shared" ref="N122" si="1784">N121/N117</f>
        <v>#DIV/0!</v>
      </c>
      <c r="O122" s="13" t="e">
        <f t="shared" ref="O122" si="1785">O121/O117</f>
        <v>#DIV/0!</v>
      </c>
      <c r="P122" s="13" t="e">
        <f t="shared" ref="P122" si="1786">P121/P117</f>
        <v>#DIV/0!</v>
      </c>
      <c r="Q122" s="13" t="e">
        <f t="shared" ref="Q122" si="1787">Q121/Q117</f>
        <v>#DIV/0!</v>
      </c>
      <c r="R122" s="13" t="e">
        <f t="shared" ref="R122" si="1788">R121/R117</f>
        <v>#DIV/0!</v>
      </c>
      <c r="S122" s="13" t="e">
        <f t="shared" ref="S122" si="1789">S121/S117</f>
        <v>#DIV/0!</v>
      </c>
      <c r="T122" s="13" t="e">
        <f t="shared" ref="T122:U122" si="1790">T121/T117</f>
        <v>#DIV/0!</v>
      </c>
      <c r="U122" s="13" t="e">
        <f t="shared" si="1790"/>
        <v>#DIV/0!</v>
      </c>
      <c r="V122" s="162" t="e">
        <f t="shared" ref="V122" si="1791">V121/V117</f>
        <v>#DIV/0!</v>
      </c>
      <c r="W122" s="13" t="e">
        <f t="shared" ref="W122" si="1792">W121/W117</f>
        <v>#DIV/0!</v>
      </c>
      <c r="X122" s="13" t="e">
        <f t="shared" ref="X122" si="1793">X121/X117</f>
        <v>#DIV/0!</v>
      </c>
      <c r="Y122" s="13" t="e">
        <f t="shared" ref="Y122" si="1794">Y121/Y117</f>
        <v>#DIV/0!</v>
      </c>
      <c r="Z122" s="13" t="e">
        <f t="shared" ref="Z122" si="1795">Z121/Z117</f>
        <v>#DIV/0!</v>
      </c>
      <c r="AA122" s="13" t="e">
        <f t="shared" ref="AA122:AD122" si="1796">AA121/AA117</f>
        <v>#DIV/0!</v>
      </c>
      <c r="AB122" s="13" t="e">
        <f t="shared" ref="AB122" si="1797">AB121/AB117</f>
        <v>#DIV/0!</v>
      </c>
      <c r="AC122" s="14" t="e">
        <f t="shared" si="1796"/>
        <v>#DIV/0!</v>
      </c>
      <c r="AD122" s="224">
        <f t="shared" si="1796"/>
        <v>0.12585111920874545</v>
      </c>
      <c r="AE122" s="13" t="e">
        <f t="shared" ref="AE122" si="1798">AE121/AE117</f>
        <v>#DIV/0!</v>
      </c>
      <c r="AF122" s="13" t="e">
        <f t="shared" ref="AF122" si="1799">AF121/AF117</f>
        <v>#DIV/0!</v>
      </c>
      <c r="AG122" s="13" t="e">
        <f t="shared" ref="AG122" si="1800">AG121/AG117</f>
        <v>#DIV/0!</v>
      </c>
      <c r="AH122" s="13" t="e">
        <f t="shared" ref="AH122" si="1801">AH121/AH117</f>
        <v>#DIV/0!</v>
      </c>
      <c r="AI122" s="13" t="e">
        <f t="shared" ref="AI122" si="1802">AI121/AI117</f>
        <v>#DIV/0!</v>
      </c>
      <c r="AJ122" s="13" t="e">
        <f t="shared" ref="AJ122" si="1803">AJ121/AJ117</f>
        <v>#DIV/0!</v>
      </c>
      <c r="AK122" s="13" t="e">
        <f t="shared" ref="AK122" si="1804">AK121/AK117</f>
        <v>#DIV/0!</v>
      </c>
      <c r="AL122" s="13" t="e">
        <f t="shared" ref="AL122" si="1805">AL121/AL117</f>
        <v>#DIV/0!</v>
      </c>
      <c r="AM122" s="13" t="e">
        <f t="shared" ref="AM122" si="1806">AM121/AM117</f>
        <v>#DIV/0!</v>
      </c>
      <c r="AN122" s="13" t="e">
        <f t="shared" ref="AN122" si="1807">AN121/AN117</f>
        <v>#DIV/0!</v>
      </c>
      <c r="AO122" s="162" t="e">
        <f t="shared" ref="AO122" si="1808">AO121/AO117</f>
        <v>#DIV/0!</v>
      </c>
      <c r="AP122" s="13" t="e">
        <f t="shared" ref="AP122" si="1809">AP121/AP117</f>
        <v>#DIV/0!</v>
      </c>
      <c r="AQ122" s="14" t="e">
        <f t="shared" ref="AQ122" si="1810">AQ121/AQ117</f>
        <v>#DIV/0!</v>
      </c>
      <c r="AR122" s="13" t="e">
        <f t="shared" ref="AR122" si="1811">AR121/AR117</f>
        <v>#DIV/0!</v>
      </c>
      <c r="AS122" s="13" t="e">
        <f t="shared" ref="AS122" si="1812">AS121/AS117</f>
        <v>#DIV/0!</v>
      </c>
      <c r="AT122" s="13" t="e">
        <f t="shared" ref="AT122" si="1813">AT121/AT117</f>
        <v>#DIV/0!</v>
      </c>
      <c r="AU122" s="13" t="e">
        <f t="shared" ref="AU122" si="1814">AU121/AU117</f>
        <v>#DIV/0!</v>
      </c>
      <c r="AV122" s="13" t="e">
        <f t="shared" ref="AV122" si="1815">AV121/AV117</f>
        <v>#DIV/0!</v>
      </c>
      <c r="AW122" s="13" t="e">
        <f t="shared" ref="AW122" si="1816">AW121/AW117</f>
        <v>#DIV/0!</v>
      </c>
      <c r="AX122" s="13" t="e">
        <f t="shared" ref="AX122" si="1817">AX121/AX117</f>
        <v>#DIV/0!</v>
      </c>
      <c r="AY122" s="13" t="e">
        <f t="shared" ref="AY122" si="1818">AY121/AY117</f>
        <v>#DIV/0!</v>
      </c>
      <c r="AZ122" s="13" t="e">
        <f t="shared" ref="AZ122" si="1819">AZ121/AZ117</f>
        <v>#DIV/0!</v>
      </c>
      <c r="BA122" s="13" t="e">
        <f t="shared" ref="BA122" si="1820">BA121/BA117</f>
        <v>#DIV/0!</v>
      </c>
      <c r="BB122" s="14" t="e">
        <f t="shared" ref="BB122" si="1821">BB121/BB117</f>
        <v>#DIV/0!</v>
      </c>
      <c r="BC122" s="13" t="e">
        <f t="shared" ref="BC122" si="1822">BC121/BC117</f>
        <v>#DIV/0!</v>
      </c>
      <c r="BD122" s="13" t="e">
        <f t="shared" ref="BD122" si="1823">BD121/BD117</f>
        <v>#DIV/0!</v>
      </c>
      <c r="BE122" s="13" t="e">
        <f t="shared" ref="BE122" si="1824">BE121/BE117</f>
        <v>#DIV/0!</v>
      </c>
      <c r="BF122" s="13" t="e">
        <f t="shared" ref="BF122" si="1825">BF121/BF117</f>
        <v>#DIV/0!</v>
      </c>
      <c r="BG122" s="13">
        <f t="shared" ref="BG122:BH122" si="1826">BG121/BG117</f>
        <v>1.6721326473247176E-2</v>
      </c>
      <c r="BH122" s="162">
        <f t="shared" si="1826"/>
        <v>1.6721326473247176E-2</v>
      </c>
      <c r="BI122" s="224">
        <f t="shared" ref="BI122" si="1827">BI121/BI117</f>
        <v>2.0882845876593996E-2</v>
      </c>
      <c r="BJ122" s="13">
        <f t="shared" ref="BJ122:BK122" si="1828">BJ121/BJ117</f>
        <v>1.6469791811554956E-2</v>
      </c>
      <c r="BK122" s="50">
        <f t="shared" si="1828"/>
        <v>0.13183439929082691</v>
      </c>
      <c r="BM122" s="14">
        <f t="shared" ref="BM122" si="1829">BM121/BM117</f>
        <v>2.0422369964802503</v>
      </c>
    </row>
    <row r="123" spans="1:69" ht="15.75" x14ac:dyDescent="0.25">
      <c r="A123" s="128"/>
      <c r="B123" s="5" t="s">
        <v>296</v>
      </c>
      <c r="C123" s="126" t="e">
        <f>C118/C115</f>
        <v>#DIV/0!</v>
      </c>
      <c r="D123" s="126" t="e">
        <f t="shared" ref="D123:BK123" si="1830">D118/D115</f>
        <v>#DIV/0!</v>
      </c>
      <c r="E123" s="126" t="e">
        <f t="shared" si="1830"/>
        <v>#DIV/0!</v>
      </c>
      <c r="F123" s="126" t="e">
        <f t="shared" si="1830"/>
        <v>#DIV/0!</v>
      </c>
      <c r="G123" s="126" t="e">
        <f t="shared" si="1830"/>
        <v>#DIV/0!</v>
      </c>
      <c r="H123" s="126">
        <f t="shared" si="1830"/>
        <v>0.63394979497066895</v>
      </c>
      <c r="I123" s="126" t="e">
        <f t="shared" si="1830"/>
        <v>#DIV/0!</v>
      </c>
      <c r="J123" s="126" t="e">
        <f t="shared" si="1830"/>
        <v>#DIV/0!</v>
      </c>
      <c r="K123" s="126" t="e">
        <f t="shared" si="1830"/>
        <v>#DIV/0!</v>
      </c>
      <c r="L123" s="126" t="e">
        <f t="shared" si="1830"/>
        <v>#DIV/0!</v>
      </c>
      <c r="M123" s="126" t="e">
        <f t="shared" si="1830"/>
        <v>#DIV/0!</v>
      </c>
      <c r="N123" s="126" t="e">
        <f t="shared" si="1830"/>
        <v>#DIV/0!</v>
      </c>
      <c r="O123" s="126" t="e">
        <f t="shared" si="1830"/>
        <v>#DIV/0!</v>
      </c>
      <c r="P123" s="126" t="e">
        <f t="shared" si="1830"/>
        <v>#DIV/0!</v>
      </c>
      <c r="Q123" s="126" t="e">
        <f t="shared" si="1830"/>
        <v>#DIV/0!</v>
      </c>
      <c r="R123" s="126" t="e">
        <f t="shared" si="1830"/>
        <v>#DIV/0!</v>
      </c>
      <c r="S123" s="126" t="e">
        <f t="shared" si="1830"/>
        <v>#DIV/0!</v>
      </c>
      <c r="T123" s="126" t="e">
        <f t="shared" si="1830"/>
        <v>#DIV/0!</v>
      </c>
      <c r="U123" s="126" t="e">
        <f t="shared" si="1830"/>
        <v>#DIV/0!</v>
      </c>
      <c r="V123" s="177" t="e">
        <f t="shared" si="1830"/>
        <v>#DIV/0!</v>
      </c>
      <c r="W123" s="126" t="e">
        <f t="shared" si="1830"/>
        <v>#DIV/0!</v>
      </c>
      <c r="X123" s="126" t="e">
        <f t="shared" si="1830"/>
        <v>#DIV/0!</v>
      </c>
      <c r="Y123" s="126" t="e">
        <f t="shared" si="1830"/>
        <v>#DIV/0!</v>
      </c>
      <c r="Z123" s="126" t="e">
        <f t="shared" si="1830"/>
        <v>#DIV/0!</v>
      </c>
      <c r="AA123" s="126" t="e">
        <f t="shared" si="1830"/>
        <v>#DIV/0!</v>
      </c>
      <c r="AB123" s="126" t="e">
        <f t="shared" ref="AB123" si="1831">AB118/AB115</f>
        <v>#DIV/0!</v>
      </c>
      <c r="AC123" s="215" t="e">
        <f t="shared" si="1830"/>
        <v>#DIV/0!</v>
      </c>
      <c r="AD123" s="225">
        <f t="shared" si="1830"/>
        <v>0.63394979497066895</v>
      </c>
      <c r="AE123" s="126" t="e">
        <f t="shared" si="1830"/>
        <v>#DIV/0!</v>
      </c>
      <c r="AF123" s="126" t="e">
        <f t="shared" si="1830"/>
        <v>#DIV/0!</v>
      </c>
      <c r="AG123" s="126" t="e">
        <f t="shared" si="1830"/>
        <v>#DIV/0!</v>
      </c>
      <c r="AH123" s="126" t="e">
        <f t="shared" si="1830"/>
        <v>#DIV/0!</v>
      </c>
      <c r="AI123" s="126" t="e">
        <f t="shared" si="1830"/>
        <v>#DIV/0!</v>
      </c>
      <c r="AJ123" s="126" t="e">
        <f t="shared" si="1830"/>
        <v>#DIV/0!</v>
      </c>
      <c r="AK123" s="126" t="e">
        <f t="shared" si="1830"/>
        <v>#DIV/0!</v>
      </c>
      <c r="AL123" s="126" t="e">
        <f t="shared" si="1830"/>
        <v>#DIV/0!</v>
      </c>
      <c r="AM123" s="126" t="e">
        <f t="shared" si="1830"/>
        <v>#DIV/0!</v>
      </c>
      <c r="AN123" s="126" t="e">
        <f t="shared" si="1830"/>
        <v>#DIV/0!</v>
      </c>
      <c r="AO123" s="177" t="e">
        <f t="shared" si="1830"/>
        <v>#DIV/0!</v>
      </c>
      <c r="AP123" s="126" t="e">
        <f t="shared" si="1830"/>
        <v>#DIV/0!</v>
      </c>
      <c r="AQ123" s="215" t="e">
        <f t="shared" si="1830"/>
        <v>#DIV/0!</v>
      </c>
      <c r="AR123" s="126" t="e">
        <f t="shared" si="1830"/>
        <v>#DIV/0!</v>
      </c>
      <c r="AS123" s="126" t="e">
        <f t="shared" si="1830"/>
        <v>#DIV/0!</v>
      </c>
      <c r="AT123" s="126" t="e">
        <f t="shared" si="1830"/>
        <v>#DIV/0!</v>
      </c>
      <c r="AU123" s="126" t="e">
        <f t="shared" si="1830"/>
        <v>#DIV/0!</v>
      </c>
      <c r="AV123" s="126" t="e">
        <f t="shared" si="1830"/>
        <v>#DIV/0!</v>
      </c>
      <c r="AW123" s="126" t="e">
        <f t="shared" si="1830"/>
        <v>#DIV/0!</v>
      </c>
      <c r="AX123" s="126" t="e">
        <f t="shared" si="1830"/>
        <v>#DIV/0!</v>
      </c>
      <c r="AY123" s="126" t="e">
        <f t="shared" si="1830"/>
        <v>#DIV/0!</v>
      </c>
      <c r="AZ123" s="126" t="e">
        <f t="shared" si="1830"/>
        <v>#DIV/0!</v>
      </c>
      <c r="BA123" s="126" t="e">
        <f t="shared" si="1830"/>
        <v>#DIV/0!</v>
      </c>
      <c r="BB123" s="215" t="e">
        <f t="shared" si="1830"/>
        <v>#DIV/0!</v>
      </c>
      <c r="BC123" s="126" t="e">
        <f t="shared" si="1830"/>
        <v>#DIV/0!</v>
      </c>
      <c r="BD123" s="126" t="e">
        <f t="shared" si="1830"/>
        <v>#DIV/0!</v>
      </c>
      <c r="BE123" s="126" t="e">
        <f t="shared" si="1830"/>
        <v>#DIV/0!</v>
      </c>
      <c r="BF123" s="126" t="e">
        <f t="shared" si="1830"/>
        <v>#DIV/0!</v>
      </c>
      <c r="BG123" s="126">
        <f t="shared" si="1830"/>
        <v>0.57925406962905612</v>
      </c>
      <c r="BH123" s="177">
        <f t="shared" si="1830"/>
        <v>0.57925406962905612</v>
      </c>
      <c r="BI123" s="225">
        <f t="shared" si="1830"/>
        <v>0.58136347435198366</v>
      </c>
      <c r="BJ123" s="126">
        <f t="shared" si="1830"/>
        <v>0.57942495466688815</v>
      </c>
      <c r="BK123" s="126">
        <f t="shared" si="1830"/>
        <v>0.62886838534599732</v>
      </c>
      <c r="BM123" s="126" t="e">
        <f t="shared" ref="BM123" si="1832">BM118/BM115</f>
        <v>#DIV/0!</v>
      </c>
    </row>
    <row r="124" spans="1:69" s="180" customFormat="1" ht="15.75" x14ac:dyDescent="0.25">
      <c r="A124" s="128"/>
      <c r="B124" s="5" t="s">
        <v>297</v>
      </c>
      <c r="C124" s="11">
        <f>C118-C115</f>
        <v>0</v>
      </c>
      <c r="D124" s="11">
        <f t="shared" ref="D124:BM124" si="1833">D118-D115</f>
        <v>0</v>
      </c>
      <c r="E124" s="11">
        <f t="shared" si="1833"/>
        <v>0</v>
      </c>
      <c r="F124" s="11">
        <f t="shared" si="1833"/>
        <v>0</v>
      </c>
      <c r="G124" s="11">
        <f t="shared" si="1833"/>
        <v>0</v>
      </c>
      <c r="H124" s="11">
        <f t="shared" si="1833"/>
        <v>-1061483</v>
      </c>
      <c r="I124" s="11">
        <f t="shared" si="1833"/>
        <v>0</v>
      </c>
      <c r="J124" s="11">
        <f t="shared" si="1833"/>
        <v>0</v>
      </c>
      <c r="K124" s="11">
        <f t="shared" si="1833"/>
        <v>0</v>
      </c>
      <c r="L124" s="11">
        <f t="shared" si="1833"/>
        <v>0</v>
      </c>
      <c r="M124" s="11">
        <f t="shared" si="1833"/>
        <v>0</v>
      </c>
      <c r="N124" s="11">
        <f t="shared" si="1833"/>
        <v>0</v>
      </c>
      <c r="O124" s="11">
        <f t="shared" si="1833"/>
        <v>0</v>
      </c>
      <c r="P124" s="11">
        <f t="shared" si="1833"/>
        <v>0</v>
      </c>
      <c r="Q124" s="11">
        <f t="shared" si="1833"/>
        <v>0</v>
      </c>
      <c r="R124" s="11">
        <f t="shared" si="1833"/>
        <v>0</v>
      </c>
      <c r="S124" s="11">
        <f t="shared" si="1833"/>
        <v>0</v>
      </c>
      <c r="T124" s="11">
        <f t="shared" si="1833"/>
        <v>0</v>
      </c>
      <c r="U124" s="11">
        <f t="shared" si="1833"/>
        <v>0</v>
      </c>
      <c r="V124" s="9">
        <f t="shared" si="1833"/>
        <v>0</v>
      </c>
      <c r="W124" s="11">
        <f t="shared" si="1833"/>
        <v>0</v>
      </c>
      <c r="X124" s="11">
        <f t="shared" si="1833"/>
        <v>0</v>
      </c>
      <c r="Y124" s="11">
        <f t="shared" si="1833"/>
        <v>0</v>
      </c>
      <c r="Z124" s="11">
        <f t="shared" si="1833"/>
        <v>0</v>
      </c>
      <c r="AA124" s="11">
        <f t="shared" si="1833"/>
        <v>0</v>
      </c>
      <c r="AB124" s="11">
        <f t="shared" ref="AB124" si="1834">AB118-AB115</f>
        <v>0</v>
      </c>
      <c r="AC124" s="10">
        <f t="shared" si="1833"/>
        <v>0</v>
      </c>
      <c r="AD124" s="223">
        <f t="shared" si="1833"/>
        <v>-1061483</v>
      </c>
      <c r="AE124" s="11">
        <f t="shared" si="1833"/>
        <v>0</v>
      </c>
      <c r="AF124" s="11">
        <f t="shared" si="1833"/>
        <v>0</v>
      </c>
      <c r="AG124" s="11">
        <f t="shared" si="1833"/>
        <v>0</v>
      </c>
      <c r="AH124" s="11">
        <f t="shared" si="1833"/>
        <v>0</v>
      </c>
      <c r="AI124" s="11">
        <f t="shared" si="1833"/>
        <v>0</v>
      </c>
      <c r="AJ124" s="11">
        <f t="shared" si="1833"/>
        <v>0</v>
      </c>
      <c r="AK124" s="11">
        <f t="shared" si="1833"/>
        <v>0</v>
      </c>
      <c r="AL124" s="11">
        <f t="shared" si="1833"/>
        <v>0</v>
      </c>
      <c r="AM124" s="11">
        <f t="shared" si="1833"/>
        <v>0</v>
      </c>
      <c r="AN124" s="11">
        <f t="shared" si="1833"/>
        <v>0</v>
      </c>
      <c r="AO124" s="9">
        <f t="shared" si="1833"/>
        <v>0</v>
      </c>
      <c r="AP124" s="11">
        <f t="shared" si="1833"/>
        <v>0</v>
      </c>
      <c r="AQ124" s="10">
        <f t="shared" si="1833"/>
        <v>0</v>
      </c>
      <c r="AR124" s="11">
        <f t="shared" si="1833"/>
        <v>0</v>
      </c>
      <c r="AS124" s="11">
        <f t="shared" si="1833"/>
        <v>0</v>
      </c>
      <c r="AT124" s="11">
        <f t="shared" si="1833"/>
        <v>0</v>
      </c>
      <c r="AU124" s="11">
        <f t="shared" si="1833"/>
        <v>0</v>
      </c>
      <c r="AV124" s="11">
        <f t="shared" si="1833"/>
        <v>0</v>
      </c>
      <c r="AW124" s="11">
        <f t="shared" si="1833"/>
        <v>0</v>
      </c>
      <c r="AX124" s="11">
        <f t="shared" si="1833"/>
        <v>0</v>
      </c>
      <c r="AY124" s="11">
        <f t="shared" si="1833"/>
        <v>0</v>
      </c>
      <c r="AZ124" s="11">
        <f t="shared" si="1833"/>
        <v>0</v>
      </c>
      <c r="BA124" s="11">
        <f t="shared" si="1833"/>
        <v>0</v>
      </c>
      <c r="BB124" s="10">
        <f t="shared" si="1833"/>
        <v>0</v>
      </c>
      <c r="BC124" s="11">
        <f t="shared" si="1833"/>
        <v>0</v>
      </c>
      <c r="BD124" s="11">
        <f t="shared" si="1833"/>
        <v>0</v>
      </c>
      <c r="BE124" s="11">
        <f t="shared" si="1833"/>
        <v>0</v>
      </c>
      <c r="BF124" s="11">
        <f t="shared" si="1833"/>
        <v>0</v>
      </c>
      <c r="BG124" s="11">
        <f t="shared" si="1833"/>
        <v>-30416216</v>
      </c>
      <c r="BH124" s="11">
        <f t="shared" si="1833"/>
        <v>-30416216</v>
      </c>
      <c r="BI124" s="223">
        <f t="shared" si="1833"/>
        <v>-31477699</v>
      </c>
      <c r="BJ124" s="11">
        <f t="shared" si="1833"/>
        <v>-30383603</v>
      </c>
      <c r="BK124" s="11">
        <f t="shared" si="1833"/>
        <v>-1094096</v>
      </c>
      <c r="BL124" s="11">
        <f t="shared" si="1833"/>
        <v>1853893</v>
      </c>
      <c r="BM124" s="11">
        <f t="shared" si="1833"/>
        <v>15558</v>
      </c>
    </row>
    <row r="125" spans="1:69" ht="15.75" x14ac:dyDescent="0.25">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226"/>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226"/>
      <c r="BJ125" s="5"/>
      <c r="BK125" s="48"/>
    </row>
    <row r="126" spans="1:69" ht="15.75" x14ac:dyDescent="0.25">
      <c r="A126" s="128" t="s">
        <v>130</v>
      </c>
      <c r="B126" s="11" t="s">
        <v>300</v>
      </c>
      <c r="C126" s="5">
        <f>C5+C16+C27+C38+C49+C60+C71+C82+C93+C104+C115</f>
        <v>25094501</v>
      </c>
      <c r="D126" s="5">
        <f>D5+D16+D27+D38+D49+D60+D71+D82+D93+D104+D115</f>
        <v>7559818</v>
      </c>
      <c r="E126" s="5">
        <f>E5+E16+E27+E38+E49+E60+E71+E82+E93+E104+E115</f>
        <v>991281</v>
      </c>
      <c r="F126" s="5">
        <f>F5+F16+F27+F38+F49+F60+F71+F82+F93+F104+F115</f>
        <v>2860481</v>
      </c>
      <c r="G126" s="5">
        <f>G5+G16+G27+G38+G49+G60+G71+G82+G93+G104+G115</f>
        <v>1482068</v>
      </c>
      <c r="H126" s="5">
        <f>H5+H16+H27+H38+H49+H60+H71+H82+H93+H104+H115</f>
        <v>2899829</v>
      </c>
      <c r="I126" s="5">
        <f>I5+I16+I27+I38+I49+I60+I71+I82+I93+I104+I115</f>
        <v>0</v>
      </c>
      <c r="J126" s="5">
        <f>J5+J16+J27+J38+J49+J60+J71+J82+J93+J104+J115</f>
        <v>1982650</v>
      </c>
      <c r="K126" s="5">
        <f>K5+K16+K27+K38+K49+K60+K71+K82+K93+K104+K115</f>
        <v>117456</v>
      </c>
      <c r="L126" s="5">
        <f>L5+L16+L27+L38+L49+L60+L71+L82+L93+L104+L115</f>
        <v>529809</v>
      </c>
      <c r="M126" s="5">
        <f>M5+M16+M27+M38+M49+M60+M71+M82+M93+M104+M115</f>
        <v>1499479</v>
      </c>
      <c r="N126" s="5">
        <f>N5+N16+N27+N38+N49+N60+N71+N82+N93+N104+N115</f>
        <v>26092</v>
      </c>
      <c r="O126" s="5">
        <f>O5+O16+O27+O38+O49+O60+O71+O82+O93+O104+O115</f>
        <v>93065</v>
      </c>
      <c r="P126" s="5">
        <f>P5+P16+P27+P38+P49+P60+P71+P82+P93+P104+P115</f>
        <v>922915</v>
      </c>
      <c r="Q126" s="5">
        <f>Q5+Q16+Q27+Q38+Q49+Q60+Q71+Q82+Q93+Q104+Q115</f>
        <v>0</v>
      </c>
      <c r="R126" s="5">
        <f>R5+R16+R27+R38+R49+R60+R71+R82+R93+R104+R115</f>
        <v>80835</v>
      </c>
      <c r="S126" s="5">
        <f>S5+S16+S27+S38+S49+S60+S71+S82+S93+S104+S115</f>
        <v>890316</v>
      </c>
      <c r="T126" s="5">
        <f>T5+T16+T27+T38+T49+T60+T71+T82+T93+T104+T115</f>
        <v>831482</v>
      </c>
      <c r="U126" s="5">
        <f>U5+U16+U27+U38+U49+U60+U71+U82+U93+U104+U115</f>
        <v>0</v>
      </c>
      <c r="V126" s="16">
        <f>V5+V16+V27+V38+V49+V60+V71+V82+V93+V104+V115</f>
        <v>344986</v>
      </c>
      <c r="W126" s="5">
        <f>W5+W16+W27+W38+W49+W60+W71+W82+W93+W104+W115</f>
        <v>1004</v>
      </c>
      <c r="X126" s="5">
        <f>X5+X16+X27+X38+X49+X60+X71+X82+X93+X104+X115</f>
        <v>406</v>
      </c>
      <c r="Y126" s="5">
        <f>Y5+Y16+Y27+Y38+Y49+Y60+Y71+Y82+Y93+Y104+Y115</f>
        <v>26497</v>
      </c>
      <c r="Z126" s="5">
        <f>Z5+Z16+Z27+Z38+Z49+Z60+Z71+Z82+Z93+Z104+Z115</f>
        <v>3049</v>
      </c>
      <c r="AA126" s="5">
        <f>AA5+AA16+AA27+AA38+AA49+AA60+AA71+AA82+AA93+AA104+AA115</f>
        <v>7424</v>
      </c>
      <c r="AB126" s="5">
        <f>AB5+AB16+AB27+AB38+AB49+AB60+AB71+AB82+AB93+AB104+AB115</f>
        <v>45460</v>
      </c>
      <c r="AC126" s="6">
        <f>AC5+AC16+AC27+AC38+AC49+AC60+AC71+AC82+AC93+AC104+AC115</f>
        <v>1331801</v>
      </c>
      <c r="AD126" s="229">
        <f t="shared" ref="AD126:AD129" si="1835">SUM(C126:AC126)</f>
        <v>49622704</v>
      </c>
      <c r="AE126" s="5">
        <f>AE5+AE16+AE27+AE38+AE49+AE60+AE71+AE82+AE93+AE104+AE115</f>
        <v>56229</v>
      </c>
      <c r="AF126" s="5">
        <f>AF5+AF16+AF27+AF38+AF49+AF60+AF71+AF82+AF93+AF104+AF115</f>
        <v>39351</v>
      </c>
      <c r="AG126" s="5">
        <f>AG5+AG16+AG27+AG38+AG49+AG60+AG71+AG82+AG93+AG104+AG115</f>
        <v>71546</v>
      </c>
      <c r="AH126" s="5">
        <f>AH5+AH16+AH27+AH38+AH49+AH60+AH71+AH82+AH93+AH104+AH115</f>
        <v>0</v>
      </c>
      <c r="AI126" s="5">
        <f>AI5+AI16+AI27+AI38+AI49+AI60+AI71+AI82+AI93+AI104+AI115</f>
        <v>0</v>
      </c>
      <c r="AJ126" s="5">
        <f>AJ5+AJ16+AJ27+AJ38+AJ49+AJ60+AJ71+AJ82+AJ93+AJ104+AJ115</f>
        <v>22250</v>
      </c>
      <c r="AK126" s="5">
        <f>AK5+AK16+AK27+AK38+AK49+AK60+AK71+AK82+AK93+AK104+AK115</f>
        <v>1360731</v>
      </c>
      <c r="AL126" s="5">
        <f>AL5+AL16+AL27+AL38+AL49+AL60+AL71+AL82+AL93+AL104+AL115</f>
        <v>1095813</v>
      </c>
      <c r="AM126" s="5">
        <f>AM5+AM16+AM27+AM38+AM49+AM60+AM71+AM82+AM93+AM104+AM115</f>
        <v>7695054</v>
      </c>
      <c r="AN126" s="5">
        <f>AN5+AN16+AN27+AN38+AN49+AN60+AN71+AN82+AN93+AN104+AN115</f>
        <v>131472</v>
      </c>
      <c r="AO126" s="16">
        <f>AO5+AO16+AO27+AO38+AO49+AO60+AO71+AO82+AO93+AO104+AO115</f>
        <v>3045430</v>
      </c>
      <c r="AP126" s="5">
        <f>AP5+AP16+AP27+AP38+AP49+AP60+AP71+AP82+AP93+AP104+AP115</f>
        <v>15785368</v>
      </c>
      <c r="AQ126" s="6">
        <f>AQ5+AQ16+AQ27+AQ38+AQ49+AQ60+AQ71+AQ82+AQ93+AQ104+AQ115</f>
        <v>145980</v>
      </c>
      <c r="AR126" s="5">
        <f>AR5+AR16+AR27+AR38+AR49+AR60+AR71+AR82+AR93+AR104+AR115</f>
        <v>789456</v>
      </c>
      <c r="AS126" s="5">
        <f>AS5+AS16+AS27+AS38+AS49+AS60+AS71+AS82+AS93+AS104+AS115</f>
        <v>0</v>
      </c>
      <c r="AT126" s="5">
        <f>AT5+AT16+AT27+AT38+AT49+AT60+AT71+AT82+AT93+AT104+AT115</f>
        <v>0</v>
      </c>
      <c r="AU126" s="5">
        <f>AU5+AU16+AU27+AU38+AU49+AU60+AU71+AU82+AU93+AU104+AU115</f>
        <v>348261</v>
      </c>
      <c r="AV126" s="5">
        <f>AV5+AV16+AV27+AV38+AV49+AV60+AV71+AV82+AV93+AV104+AV115</f>
        <v>0</v>
      </c>
      <c r="AW126" s="5">
        <f>AW5+AW16+AW27+AW38+AW49+AW60+AW71+AW82+AW93+AW104+AW115</f>
        <v>26546</v>
      </c>
      <c r="AX126" s="5">
        <f>AX5+AX16+AX27+AX38+AX49+AX60+AX71+AX82+AX93+AX104+AX115</f>
        <v>18138</v>
      </c>
      <c r="AY126" s="5">
        <f>AY5+AY16+AY27+AY38+AY49+AY60+AY71+AY82+AY93+AY104+AY115</f>
        <v>7897</v>
      </c>
      <c r="AZ126" s="5">
        <f>AZ5+AZ16+AZ27+AZ38+AZ49+AZ60+AZ71+AZ82+AZ93+AZ104+AZ115</f>
        <v>317324</v>
      </c>
      <c r="BA126" s="5">
        <f>BA5+BA16+BA27+BA38+BA49+BA60+BA71+BA82+BA93+BA104+BA115</f>
        <v>541110</v>
      </c>
      <c r="BB126" s="6">
        <f>BB5+BB16+BB27+BB38+BB49+BB60+BB71+BB82+BB93+BB104+BB115</f>
        <v>761999</v>
      </c>
      <c r="BC126" s="5">
        <f>BC5+BC16+BC27+BC38+BC49+BC60+BC71+BC82+BC93+BC104+BC115</f>
        <v>148811</v>
      </c>
      <c r="BD126" s="5">
        <f>BD5+BD16+BD27+BD38+BD49+BD60+BD71+BD82+BD93+BD104+BD115</f>
        <v>148813</v>
      </c>
      <c r="BE126" s="5">
        <f>BE5+BE16+BE27+BE38+BE49+BE60+BE71+BE82+BE93+BE104+BE115</f>
        <v>259</v>
      </c>
      <c r="BF126" s="5">
        <f>BF5+BF16+BF27+BF38+BF49+BF60+BF71+BF82+BF93+BF104+BF115</f>
        <v>129563</v>
      </c>
      <c r="BG126" s="11">
        <f>BG5+BG16+BG27+BG38+BG49+BG60+BG71+BG82+BG93+BG104+BG115</f>
        <v>73562050</v>
      </c>
      <c r="BH126" s="16">
        <f>BH5+BH16+BH27+BH38+BH49+BH60+BH71+BH82+BH93+BH104+BH115</f>
        <v>106249451</v>
      </c>
      <c r="BI126" s="227">
        <f>AD126+BH126</f>
        <v>155872155</v>
      </c>
      <c r="BJ126" s="5">
        <f>BJ5+BJ16+BJ27+BJ38+BJ49+BJ60+BJ71+BJ82+BJ93+BJ104+BJ115</f>
        <v>73162155</v>
      </c>
      <c r="BK126" s="49">
        <f>BK5+BK16+BK27+BK38+BK49+BK60+BK71+BK82+BK93+BK104+BK115</f>
        <v>82710000</v>
      </c>
      <c r="BM126" s="30">
        <f>BK126-AD126</f>
        <v>33087296</v>
      </c>
    </row>
    <row r="127" spans="1:69" ht="15.75" x14ac:dyDescent="0.25">
      <c r="A127" s="128"/>
      <c r="B127" s="216" t="s">
        <v>325</v>
      </c>
      <c r="C127" s="11">
        <f>C6+C17+C28+C39+C50+C61+C72+C83+C94+C105+C116</f>
        <v>15056700</v>
      </c>
      <c r="D127" s="11">
        <f>D6+D17+D28+D39+D50+D61+D72+D83+D94+D105+D116</f>
        <v>4079885</v>
      </c>
      <c r="E127" s="11">
        <f>E6+E17+E28+E39+E50+E61+E72+E83+E94+E105+E116</f>
        <v>991280</v>
      </c>
      <c r="F127" s="11">
        <f>F6+F17+F28+F39+F50+F61+F72+F83+F94+F105+F116</f>
        <v>1716265</v>
      </c>
      <c r="G127" s="11">
        <f>G6+G17+G28+G39+G50+G61+G72+G83+G94+G105+G116</f>
        <v>889233</v>
      </c>
      <c r="H127" s="11">
        <f>H6+H17+H28+H39+H50+H61+H72+H83+H94+H105+H116</f>
        <v>1739895</v>
      </c>
      <c r="I127" s="11">
        <f>I6+I17+I28+I39+I50+I61+I72+I83+I94+I105+I116</f>
        <v>0</v>
      </c>
      <c r="J127" s="11">
        <f>J6+J17+J28+J39+J50+J61+J72+J83+J94+J105+J116</f>
        <v>1189591</v>
      </c>
      <c r="K127" s="11">
        <f>K6+K17+K28+K39+K50+K61+K72+K83+K94+K105+K116</f>
        <v>70472.08</v>
      </c>
      <c r="L127" s="11">
        <f>L6+L17+L28+L39+L50+L61+L72+L83+L94+L105+L116</f>
        <v>317893</v>
      </c>
      <c r="M127" s="11">
        <f>M6+M17+M28+M39+M50+M61+M72+M83+M94+M105+M116</f>
        <v>899685</v>
      </c>
      <c r="N127" s="11">
        <f>N6+N17+N28+N39+N50+N61+N72+N83+N94+N105+N116</f>
        <v>15663</v>
      </c>
      <c r="O127" s="11">
        <f>O6+O17+O28+O39+O50+O61+O72+O83+O94+O105+O116</f>
        <v>55835</v>
      </c>
      <c r="P127" s="11">
        <f>P6+P17+P28+P39+P50+P61+P72+P83+P94+P105+P116</f>
        <v>553752</v>
      </c>
      <c r="Q127" s="11">
        <f>Q6+Q17+Q28+Q39+Q50+Q61+Q72+Q83+Q94+Q105+Q116</f>
        <v>0</v>
      </c>
      <c r="R127" s="11">
        <f>R6+R17+R28+R39+R50+R61+R72+R83+R94+R105+R116</f>
        <v>48501</v>
      </c>
      <c r="S127" s="11">
        <f>S6+S17+S28+S39+S50+S61+S72+S83+S94+S105+S116</f>
        <v>712253</v>
      </c>
      <c r="T127" s="11">
        <f>T6+T17+T28+T39+T50+T61+T72+T83+T94+T105+T116</f>
        <v>498891</v>
      </c>
      <c r="U127" s="11">
        <f>U6+U17+U28+U39+U50+U61+U72+U83+U94+U105+U116</f>
        <v>0</v>
      </c>
      <c r="V127" s="9">
        <f>V6+V17+V28+V39+V50+V61+V72+V83+V94+V105+V116</f>
        <v>206983</v>
      </c>
      <c r="W127" s="11">
        <f>W6+W17+W28+W39+W50+W61+W72+W83+W94+W105+W116</f>
        <v>601</v>
      </c>
      <c r="X127" s="11">
        <f>X6+X17+X28+X39+X50+X61+X72+X83+X94+X105+X116</f>
        <v>242</v>
      </c>
      <c r="Y127" s="11">
        <f>Y6+Y17+Y28+Y39+Y50+Y61+Y72+Y83+Y94+Y105+Y116</f>
        <v>15905</v>
      </c>
      <c r="Z127" s="11">
        <f>Z6+Z17+Z28+Z39+Z50+Z61+Z72+Z83+Z94+Z105+Z116</f>
        <v>1836</v>
      </c>
      <c r="AA127" s="11">
        <f>AA6+AA17+AA28+AA39+AA50+AA61+AA72+AA83+AA94+AA105+AA116</f>
        <v>4479</v>
      </c>
      <c r="AB127" s="11">
        <f>AB6+AB17+AB28+AB39+AB50+AB61+AB72+AB83+AB94+AB105+AB116</f>
        <v>27440</v>
      </c>
      <c r="AC127" s="10">
        <f>AC6+AC17+AC28+AC39+AC50+AC61+AC72+AC83+AC94+AC105+AC116</f>
        <v>799080</v>
      </c>
      <c r="AD127" s="229">
        <f t="shared" si="1835"/>
        <v>29892360.079999998</v>
      </c>
      <c r="AE127" s="5">
        <f>AE6+AE17+AE28+AE39+AE50+AE61+AE72+AE83+AE94+AE105+AE116</f>
        <v>33740</v>
      </c>
      <c r="AF127" s="5">
        <f>AF6+AF17+AF28+AF39+AF50+AF61+AF72+AF83+AF94+AF105+AF116</f>
        <v>23607</v>
      </c>
      <c r="AG127" s="5">
        <f>AG6+AG17+AG28+AG39+AG50+AG61+AG72+AG83+AG94+AG105+AG116</f>
        <v>43304</v>
      </c>
      <c r="AH127" s="5">
        <f>AH6+AH17+AH28+AH39+AH50+AH61+AH72+AH83+AH94+AH105+AH116</f>
        <v>0</v>
      </c>
      <c r="AI127" s="5">
        <f>AI6+AI17+AI28+AI39+AI50+AI61+AI72+AI83+AI94+AI105+AI116</f>
        <v>0</v>
      </c>
      <c r="AJ127" s="5">
        <f>AJ6+AJ17+AJ28+AJ39+AJ50+AJ61+AJ72+AJ83+AJ94+AJ105+AJ116</f>
        <v>13346</v>
      </c>
      <c r="AK127" s="5">
        <f>AK6+AK17+AK28+AK39+AK50+AK61+AK72+AK83+AK94+AK105+AK116</f>
        <v>816445</v>
      </c>
      <c r="AL127" s="5">
        <f>AL6+AL17+AL28+AL39+AL50+AL61+AL72+AL83+AL94+AL105+AL116</f>
        <v>657491</v>
      </c>
      <c r="AM127" s="5" t="e">
        <f>AM6+AM17+AM28+AM39+AM50+AM61+AM72+AM83+AM94+AM105+AM116</f>
        <v>#VALUE!</v>
      </c>
      <c r="AN127" s="5">
        <f>AN6+AN17+AN28+AN39+AN50+AN61+AN72+AN83+AN94+AN105+AN116</f>
        <v>78881</v>
      </c>
      <c r="AO127" s="16">
        <f>AO6+AO17+AO28+AO39+AO50+AO61+AO72+AO83+AO94+AO105+AO116</f>
        <v>1827261</v>
      </c>
      <c r="AP127" s="5">
        <f>AP6+AP17+AP28+AP39+AP50+AP61+AP72+AP83+AP94+AP105+AP116</f>
        <v>12177219.359999999</v>
      </c>
      <c r="AQ127" s="6">
        <f>AQ6+AQ17+AQ28+AQ39+AQ50+AQ61+AQ72+AQ83+AQ94+AQ105+AQ116</f>
        <v>87591</v>
      </c>
      <c r="AR127" s="5">
        <f>AR6+AR17+AR28+AR39+AR50+AR61+AR72+AR83+AR94+AR105+AR116</f>
        <v>473672</v>
      </c>
      <c r="AS127" s="5">
        <f>AS6+AS17+AS28+AS39+AS50+AS61+AS72+AS83+AS94+AS105+AS116</f>
        <v>0</v>
      </c>
      <c r="AT127" s="5">
        <f>AT6+AT17+AT28+AT39+AT50+AT61+AT72+AT83+AT94+AT105+AT116</f>
        <v>0</v>
      </c>
      <c r="AU127" s="5">
        <f>AU6+AU17+AU28+AU39+AU50+AU61+AU72+AU83+AU94+AU105+AU116</f>
        <v>208957</v>
      </c>
      <c r="AV127" s="5">
        <f>AV6+AV17+AV28+AV39+AV50+AV61+AV72+AV83+AV94+AV105+AV116</f>
        <v>0</v>
      </c>
      <c r="AW127" s="5">
        <f>AW6+AW17+AW28+AW39+AW50+AW61+AW72+AW83+AW94+AW105+AW116</f>
        <v>15924</v>
      </c>
      <c r="AX127" s="5">
        <f>AX6+AX17+AX28+AX39+AX50+AX61+AX72+AX83+AX94+AX105+AX116</f>
        <v>10881</v>
      </c>
      <c r="AY127" s="5">
        <f>AY6+AY17+AY28+AY39+AY50+AY61+AY72+AY83+AY94+AY105+AY116</f>
        <v>4741</v>
      </c>
      <c r="AZ127" s="11">
        <f>AZ6+AZ17+AZ28+AZ39+AZ50+AZ61+AZ72+AZ83+AZ94+AZ105+AZ116</f>
        <v>190394</v>
      </c>
      <c r="BA127" s="5">
        <f>BA6+BA17+BA28+BA39+BA50+BA61+BA72+BA83+BA94+BA105+BA116</f>
        <v>324667</v>
      </c>
      <c r="BB127" s="6">
        <f>BB6+BB17+BB28+BB39+BB50+BB61+BB72+BB83+BB94+BB105+BB116</f>
        <v>457201</v>
      </c>
      <c r="BC127" s="5">
        <f>BC6+BC17+BC28+BC39+BC50+BC61+BC72+BC83+BC94+BC105+BC116</f>
        <v>89291</v>
      </c>
      <c r="BD127" s="5">
        <f>BD6+BD17+BD28+BD39+BD50+BD61+BD72+BD83+BD94+BD105+BD116</f>
        <v>89263</v>
      </c>
      <c r="BE127" s="5">
        <f>BE6+BE17+BE28+BE39+BE50+BE61+BE72+BE83+BE94+BE105+BE116</f>
        <v>152</v>
      </c>
      <c r="BF127" s="5">
        <f>BF6+BF17+BF28+BF39+BF50+BF61+BF72+BF83+BF94+BF105+BF116</f>
        <v>77747</v>
      </c>
      <c r="BG127" s="11">
        <f>BG6+BG17+BG28+BG39+BG50+BG61+BG72+BG83+BG94+BG105+BG116</f>
        <v>809542</v>
      </c>
      <c r="BH127" s="9">
        <f>BH6+BH17+BH28+BH39+BH50+BH61+BH72+BH83+BH94+BH105+BH116</f>
        <v>23128358.359999999</v>
      </c>
      <c r="BI127" s="227">
        <f>AD127+BH127</f>
        <v>53020718.439999998</v>
      </c>
      <c r="BJ127" s="11">
        <f>BJ6+BJ17+BJ28+BJ39+BJ50+BJ61+BJ72+BJ83+BJ94+BJ105+BJ116</f>
        <v>523906</v>
      </c>
      <c r="BK127" s="49">
        <f>BK6+BK17+BK28+BK39+BK50+BK61+BK72+BK83+BK94+BK105+BK116</f>
        <v>52496812.439999998</v>
      </c>
      <c r="BM127" s="30">
        <f t="shared" ref="BM127:BM132" si="1836">BK127-AD127</f>
        <v>22604452.359999999</v>
      </c>
    </row>
    <row r="128" spans="1:69" ht="15.75" x14ac:dyDescent="0.25">
      <c r="B128" s="12" t="s">
        <v>326</v>
      </c>
      <c r="C128" s="5">
        <f>C7+C18+C29+C40+C51+C62+C73+C84+C95+C106+C117</f>
        <v>14705770</v>
      </c>
      <c r="D128" s="5">
        <f>D7+D18+D29+D40+D51+D62+D73+D84+D95+D106+D117</f>
        <v>2572100</v>
      </c>
      <c r="E128" s="5">
        <f>E7+E18+E29+E40+E51+E62+E73+E84+E95+E106+E117</f>
        <v>926337</v>
      </c>
      <c r="F128" s="5">
        <f>F7+F18+F29+F40+F51+F62+F73+F84+F95+F106+F117</f>
        <v>1546687</v>
      </c>
      <c r="G128" s="5">
        <f>G7+G18+G29+G40+G51+G62+G73+G84+G95+G106+G117</f>
        <v>786542</v>
      </c>
      <c r="H128" s="5">
        <f>H7+H18+H29+H40+H51+H62+H73+H84+H95+H106+H117</f>
        <v>1632850</v>
      </c>
      <c r="I128" s="5">
        <f>I7+I18+I29+I40+I51+I62+I73+I84+I95+I106+I117</f>
        <v>0</v>
      </c>
      <c r="J128" s="5">
        <f>J7+J18+J29+J40+J51+J62+J73+J84+J95+J106+J117</f>
        <v>1023355</v>
      </c>
      <c r="K128" s="5">
        <f>K7+K18+K29+K40+K51+K62+K73+K84+K95+K106+K117</f>
        <v>42356</v>
      </c>
      <c r="L128" s="5">
        <f>L7+L18+L29+L40+L51+L62+L73+L84+L95+L106+L117</f>
        <v>326618</v>
      </c>
      <c r="M128" s="5">
        <f>M7+M18+M29+M40+M51+M62+M73+M84+M95+M106+M117</f>
        <v>809969</v>
      </c>
      <c r="N128" s="5">
        <f>N7+N18+N29+N40+N51+N62+N73+N84+N95+N106+N117</f>
        <v>11417</v>
      </c>
      <c r="O128" s="5">
        <f>O7+O18+O29+O40+O51+O62+O73+O84+O95+O106+O117</f>
        <v>48420</v>
      </c>
      <c r="P128" s="5">
        <f>P7+P18+P29+P40+P51+P62+P73+P84+P95+P106+P117</f>
        <v>619415</v>
      </c>
      <c r="Q128" s="5">
        <f>Q7+Q18+Q29+Q40+Q51+Q62+Q73+Q84+Q95+Q106+Q117</f>
        <v>0</v>
      </c>
      <c r="R128" s="5">
        <f>R7+R18+R29+R40+R51+R62+R73+R84+R95+R106+R117</f>
        <v>26869</v>
      </c>
      <c r="S128" s="5">
        <f>S7+S18+S29+S40+S51+S62+S73+S84+S95+S106+S117</f>
        <v>767279</v>
      </c>
      <c r="T128" s="5">
        <f>T7+T18+T29+T40+T51+T62+T73+T84+T95+T106+T117</f>
        <v>560950</v>
      </c>
      <c r="U128" s="5">
        <f>U7+U18+U29+U40+U51+U62+U73+U84+U95+U106+U117</f>
        <v>2200</v>
      </c>
      <c r="V128" s="16">
        <f>V7+V18+V29+V40+V51+V62+V73+V84+V95+V106+V117</f>
        <v>279360</v>
      </c>
      <c r="W128" s="5">
        <f>W7+W18+W29+W40+W51+W62+W73+W84+W95+W106+W117</f>
        <v>442</v>
      </c>
      <c r="X128" s="5">
        <f>X7+X18+X29+X40+X51+X62+X73+X84+X95+X106+X117</f>
        <v>0</v>
      </c>
      <c r="Y128" s="5">
        <f>Y7+Y18+Y29+Y40+Y51+Y62+Y73+Y84+Y95+Y106+Y117</f>
        <v>20570</v>
      </c>
      <c r="Z128" s="5">
        <f>Z7+Z18+Z29+Z40+Z51+Z62+Z73+Z84+Z95+Z106+Z117</f>
        <v>2479</v>
      </c>
      <c r="AA128" s="5">
        <f>AA7+AA18+AA29+AA40+AA51+AA62+AA73+AA84+AA95+AA106+AA117</f>
        <v>2821</v>
      </c>
      <c r="AB128" s="5">
        <f>AB7+AB18+AB29+AB40+AB51+AB62+AB73+AB84+AB95+AB106+AB117</f>
        <v>0</v>
      </c>
      <c r="AC128" s="6">
        <f>AC7+AC18+AC29+AC40+AC51+AC62+AC73+AC84+AC95+AC106+AC117</f>
        <v>827992</v>
      </c>
      <c r="AD128" s="229">
        <f t="shared" si="1835"/>
        <v>27542798</v>
      </c>
      <c r="AE128" s="5">
        <f>AE7+AE18+AE29+AE40+AE51+AE62+AE73+AE84+AE95+AE106+AE117</f>
        <v>29141</v>
      </c>
      <c r="AF128" s="5">
        <f>AF7+AF18+AF29+AF40+AF51+AF62+AF73+AF84+AF95+AF106+AF117</f>
        <v>33666</v>
      </c>
      <c r="AG128" s="5">
        <f>AG7+AG18+AG29+AG40+AG51+AG62+AG73+AG84+AG95+AG106+AG117</f>
        <v>132511</v>
      </c>
      <c r="AH128" s="5">
        <f>AH7+AH18+AH29+AH40+AH51+AH62+AH73+AH84+AH95+AH106+AH117</f>
        <v>18</v>
      </c>
      <c r="AI128" s="5">
        <f>AI7+AI18+AI29+AI40+AI51+AI62+AI73+AI84+AI95+AI106+AI117</f>
        <v>0</v>
      </c>
      <c r="AJ128" s="5">
        <f>AJ7+AJ18+AJ29+AJ40+AJ51+AJ62+AJ73+AJ84+AJ95+AJ106+AJ117</f>
        <v>15598</v>
      </c>
      <c r="AK128" s="5">
        <f>AK7+AK18+AK29+AK40+AK51+AK62+AK73+AK84+AK95+AK106+AK117</f>
        <v>1027652</v>
      </c>
      <c r="AL128" s="5">
        <f>AL7+AL18+AL29+AL40+AL51+AL62+AL73+AL84+AL95+AL106+AL117</f>
        <v>820023</v>
      </c>
      <c r="AM128" s="5">
        <f>AM7+AM18+AM29+AM40+AM51+AM62+AM73+AM84+AM95+AM106+AM117</f>
        <v>4118364</v>
      </c>
      <c r="AN128" s="5">
        <f>AN7+AN18+AN29+AN40+AN51+AN62+AN73+AN84+AN95+AN106+AN117</f>
        <v>122443</v>
      </c>
      <c r="AO128" s="16">
        <f>AO7+AO18+AO29+AO40+AO51+AO62+AO73+AO84+AO95+AO106+AO117</f>
        <v>2134755</v>
      </c>
      <c r="AP128" s="5">
        <f>AP7+AP18+AP29+AP40+AP51+AP62+AP73+AP84+AP95+AP106+AP117</f>
        <v>11824236</v>
      </c>
      <c r="AQ128" s="6">
        <f>AQ7+AQ18+AQ29+AQ40+AQ51+AQ62+AQ73+AQ84+AQ95+AQ106+AQ117</f>
        <v>106136</v>
      </c>
      <c r="AR128" s="5">
        <f>AR7+AR18+AR29+AR40+AR51+AR62+AR73+AR84+AR95+AR106+AR117</f>
        <v>624196</v>
      </c>
      <c r="AS128" s="5">
        <f>AS7+AS18+AS29+AS40+AS51+AS62+AS73+AS84+AS95+AS106+AS117</f>
        <v>0</v>
      </c>
      <c r="AT128" s="5">
        <f>AT7+AT18+AT29+AT40+AT51+AT62+AT73+AT84+AT95+AT106+AT117</f>
        <v>0</v>
      </c>
      <c r="AU128" s="5">
        <f>AU7+AU18+AU29+AU40+AU51+AU62+AU73+AU84+AU95+AU106+AU117</f>
        <v>235853</v>
      </c>
      <c r="AV128" s="5">
        <f>AV7+AV18+AV29+AV40+AV51+AV62+AV73+AV84+AV95+AV106+AV117</f>
        <v>0</v>
      </c>
      <c r="AW128" s="5">
        <f>AW7+AW18+AW29+AW40+AW51+AW62+AW73+AW84+AW95+AW106+AW117</f>
        <v>10174</v>
      </c>
      <c r="AX128" s="5">
        <f>AX7+AX18+AX29+AX40+AX51+AX62+AX73+AX84+AX95+AX106+AX117</f>
        <v>9537</v>
      </c>
      <c r="AY128" s="5">
        <f>AY7+AY18+AY29+AY40+AY51+AY62+AY73+AY84+AY95+AY106+AY117</f>
        <v>5976</v>
      </c>
      <c r="AZ128" s="5">
        <f>AZ7+AZ18+AZ29+AZ40+AZ51+AZ62+AZ73+AZ84+AZ95+AZ106+AZ117</f>
        <v>213801</v>
      </c>
      <c r="BA128" s="5">
        <f>BA7+BA18+BA29+BA40+BA51+BA62+BA73+BA84+BA95+BA106+BA117</f>
        <v>305550</v>
      </c>
      <c r="BB128" s="6">
        <f>BB7+BB18+BB29+BB40+BB51+BB62+BB73+BB84+BB95+BB106+BB117</f>
        <v>582284</v>
      </c>
      <c r="BC128" s="5">
        <f>BC7+BC18+BC29+BC40+BC51+BC62+BC73+BC84+BC95+BC106+BC117</f>
        <v>108004</v>
      </c>
      <c r="BD128" s="5">
        <f>BD7+BD18+BD29+BD40+BD51+BD62+BD73+BD84+BD95+BD106+BD117</f>
        <v>108069</v>
      </c>
      <c r="BE128" s="5">
        <f>BE7+BE18+BE29+BE40+BE51+BE62+BE73+BE84+BE95+BE106+BE117</f>
        <v>8</v>
      </c>
      <c r="BF128" s="5">
        <f>BF7+BF18+BF29+BF40+BF51+BF62+BF73+BF84+BF95+BF106+BF117</f>
        <v>98272</v>
      </c>
      <c r="BG128" s="11">
        <f>BG7+BG18+BG29+BG40+BG51+BG62+BG73+BG84+BG95+BG106+BG117</f>
        <v>42313092</v>
      </c>
      <c r="BH128" s="9">
        <f>BH7+BH18+BH29+BH40+BH51+BH62+BH73+BH84+BH95+BH106+BH117</f>
        <v>64979359</v>
      </c>
      <c r="BI128" s="222">
        <f>AD128+BH128</f>
        <v>92522157</v>
      </c>
      <c r="BJ128" s="5">
        <f>BJ7+BJ18+BJ29+BJ40+BJ51+BJ62+BJ73+BJ84+BJ95+BJ106+BJ117</f>
        <v>41225626</v>
      </c>
      <c r="BK128" s="49">
        <f>BK7+BK18+BK29+BK40+BK51+BK62+BK73+BK84+BK95+BK106+BK117</f>
        <v>51296531</v>
      </c>
      <c r="BL128" s="30">
        <f>'Upto Month COPPY'!N61-'Upto Month COPPY'!M61</f>
        <v>51296560</v>
      </c>
      <c r="BM128" s="30">
        <f t="shared" si="1836"/>
        <v>23753733</v>
      </c>
    </row>
    <row r="129" spans="1:65" ht="15.75" x14ac:dyDescent="0.25">
      <c r="A129" s="128"/>
      <c r="B129" s="182" t="s">
        <v>327</v>
      </c>
      <c r="C129" s="5">
        <f>C8+C19+C30+C41+C52+C63+C74+C85+C96+C107+C118</f>
        <v>15070448</v>
      </c>
      <c r="D129" s="5">
        <f>D8+D19+D30+D41+D52+D63+D74+D85+D96+D107+D118</f>
        <v>3910895</v>
      </c>
      <c r="E129" s="5">
        <f>E8+E19+E30+E41+E52+E63+E74+E85+E96+E107+E118</f>
        <v>938647</v>
      </c>
      <c r="F129" s="5">
        <f>F8+F19+F30+F41+F52+F63+F74+F85+F96+F107+F118</f>
        <v>1714012</v>
      </c>
      <c r="G129" s="5">
        <f>G8+G19+G30+G41+G52+G63+G74+G85+G96+G107+G118</f>
        <v>871607</v>
      </c>
      <c r="H129" s="5">
        <f>H8+H19+H30+H41+H52+H63+H74+H85+H96+H107+H118</f>
        <v>1838346</v>
      </c>
      <c r="I129" s="5">
        <f>I8+I19+I30+I41+I52+I63+I74+I85+I96+I107+I118</f>
        <v>0</v>
      </c>
      <c r="J129" s="5">
        <f>J8+J19+J30+J41+J52+J63+J74+J85+J96+J107+J118</f>
        <v>1316268</v>
      </c>
      <c r="K129" s="5">
        <f>K8+K19+K30+K41+K52+K63+K74+K85+K96+K107+K118</f>
        <v>9897</v>
      </c>
      <c r="L129" s="5">
        <f>L8+L19+L30+L41+L52+L63+L74+L85+L96+L107+L118</f>
        <v>230172</v>
      </c>
      <c r="M129" s="5">
        <f>M8+M19+M30+M41+M52+M63+M74+M85+M96+M107+M118</f>
        <v>880883</v>
      </c>
      <c r="N129" s="5">
        <f>N8+N19+N30+N41+N52+N63+N74+N85+N96+N107+N118</f>
        <v>14212</v>
      </c>
      <c r="O129" s="5">
        <f>O8+O19+O30+O41+O52+O63+O74+O85+O96+O107+O118</f>
        <v>40390</v>
      </c>
      <c r="P129" s="5">
        <f>P8+P19+P30+P41+P52+P63+P74+P85+P96+P107+P118</f>
        <v>666799</v>
      </c>
      <c r="Q129" s="5">
        <f>Q8+Q19+Q30+Q41+Q52+Q63+Q74+Q85+Q96+Q107+Q118</f>
        <v>0</v>
      </c>
      <c r="R129" s="5">
        <f>R8+R19+R30+R41+R52+R63+R74+R85+R96+R107+R118</f>
        <v>35205</v>
      </c>
      <c r="S129" s="5">
        <f>S8+S19+S30+S41+S52+S63+S74+S85+S96+S107+S118</f>
        <v>797946</v>
      </c>
      <c r="T129" s="5">
        <f>T8+T19+T30+T41+T52+T63+T74+T85+T96+T107+T118</f>
        <v>723284</v>
      </c>
      <c r="U129" s="5">
        <f>U8+U19+U30+U41+U52+U63+U74+U85+U96+U107+U118</f>
        <v>0</v>
      </c>
      <c r="V129" s="16">
        <f>V8+V19+V30+V41+V52+V63+V74+V85+V96+V107+V118</f>
        <v>287076</v>
      </c>
      <c r="W129" s="5">
        <f>W8+W19+W30+W41+W52+W63+W74+W85+W96+W107+W118</f>
        <v>0</v>
      </c>
      <c r="X129" s="5">
        <f>X8+X19+X30+X41+X52+X63+X74+X85+X96+X107+X118</f>
        <v>0</v>
      </c>
      <c r="Y129" s="5">
        <f>Y8+Y19+Y30+Y41+Y52+Y63+Y74+Y85+Y96+Y107+Y118</f>
        <v>104486</v>
      </c>
      <c r="Z129" s="5">
        <f>Z8+Z19+Z30+Z41+Z52+Z63+Z74+Z85+Z96+Z107+Z118</f>
        <v>11590</v>
      </c>
      <c r="AA129" s="5">
        <f>AA8+AA19+AA30+AA41+AA52+AA63+AA74+AA85+AA96+AA107+AA118</f>
        <v>16257</v>
      </c>
      <c r="AB129" s="5">
        <f>AB8+AB19+AB30+AB41+AB52+AB63+AB74+AB85+AB96+AB107+AB118</f>
        <v>2447</v>
      </c>
      <c r="AC129" s="6">
        <f>AC8+AC19+AC30+AC41+AC52+AC63+AC74+AC85+AC96+AC107+AC118</f>
        <v>826229</v>
      </c>
      <c r="AD129" s="229">
        <f t="shared" si="1835"/>
        <v>30307096</v>
      </c>
      <c r="AE129" s="5">
        <f>AE8+AE19+AE30+AE41+AE52+AE63+AE74+AE85+AE96+AE107+AE118</f>
        <v>27638</v>
      </c>
      <c r="AF129" s="5">
        <f>AF8+AF19+AF30+AF41+AF52+AF63+AF74+AF85+AF96+AF107+AF118</f>
        <v>17326</v>
      </c>
      <c r="AG129" s="5">
        <f>AG8+AG19+AG30+AG41+AG52+AG63+AG74+AG85+AG96+AG107+AG118</f>
        <v>87560</v>
      </c>
      <c r="AH129" s="5">
        <f>AH8+AH19+AH30+AH41+AH52+AH63+AH74+AH85+AH96+AH107+AH118</f>
        <v>41</v>
      </c>
      <c r="AI129" s="5">
        <f>AI8+AI19+AI30+AI41+AI52+AI63+AI74+AI85+AI96+AI107+AI118</f>
        <v>0</v>
      </c>
      <c r="AJ129" s="5">
        <f>AJ8+AJ19+AJ30+AJ41+AJ52+AJ63+AJ74+AJ85+AJ96+AJ107+AJ118</f>
        <v>13496</v>
      </c>
      <c r="AK129" s="5">
        <f>AK8+AK19+AK30+AK41+AK52+AK63+AK74+AK85+AK96+AK107+AK118</f>
        <v>944726</v>
      </c>
      <c r="AL129" s="5">
        <f>AL8+AL19+AL30+AL41+AL52+AL63+AL74+AL85+AL96+AL107+AL118</f>
        <v>528566</v>
      </c>
      <c r="AM129" s="5">
        <f>AM8+AM19+AM30+AM41+AM52+AM63+AM74+AM85+AM96+AM107+AM118</f>
        <v>6422469</v>
      </c>
      <c r="AN129" s="5">
        <f>AN8+AN19+AN30+AN41+AN52+AN63+AN74+AN85+AN96+AN107+AN118</f>
        <v>126434</v>
      </c>
      <c r="AO129" s="16">
        <f>AO8+AO19+AO30+AO41+AO52+AO63+AO74+AO85+AO96+AO107+AO118</f>
        <v>2095604</v>
      </c>
      <c r="AP129" s="5">
        <f>AP8+AP19+AP30+AP41+AP52+AP63+AP74+AP85+AP96+AP107+AP118</f>
        <v>12616913</v>
      </c>
      <c r="AQ129" s="6">
        <f>AQ8+AQ19+AQ30+AQ41+AQ52+AQ63+AQ74+AQ85+AQ96+AQ107+AQ118</f>
        <v>220450</v>
      </c>
      <c r="AR129" s="5">
        <f>AR8+AR19+AR30+AR41+AR52+AR63+AR74+AR85+AR96+AR107+AR118</f>
        <v>261281</v>
      </c>
      <c r="AS129" s="5">
        <f>AS8+AS19+AS30+AS41+AS52+AS63+AS74+AS85+AS96+AS107+AS118</f>
        <v>0</v>
      </c>
      <c r="AT129" s="5">
        <f>AT8+AT19+AT30+AT41+AT52+AT63+AT74+AT85+AT96+AT107+AT118</f>
        <v>0</v>
      </c>
      <c r="AU129" s="5">
        <f>AU8+AU19+AU30+AU41+AU52+AU63+AU74+AU85+AU96+AU107+AU118</f>
        <v>109108</v>
      </c>
      <c r="AV129" s="5">
        <f>AV8+AV19+AV30+AV41+AV52+AV63+AV74+AV85+AV96+AV107+AV118</f>
        <v>0</v>
      </c>
      <c r="AW129" s="5">
        <f>AW8+AW19+AW30+AW41+AW52+AW63+AW74+AW85+AW96+AW107+AW118</f>
        <v>8606</v>
      </c>
      <c r="AX129" s="5">
        <f>AX8+AX19+AX30+AX41+AX52+AX63+AX74+AX85+AX96+AX107+AX118</f>
        <v>10881</v>
      </c>
      <c r="AY129" s="5">
        <f>AY8+AY19+AY30+AY41+AY52+AY63+AY74+AY85+AY96+AY107+AY118</f>
        <v>4697</v>
      </c>
      <c r="AZ129" s="5">
        <f>AZ8+AZ19+AZ30+AZ41+AZ52+AZ63+AZ74+AZ85+AZ96+AZ107+AZ118</f>
        <v>643143</v>
      </c>
      <c r="BA129" s="5">
        <f>BA8+BA19+BA30+BA41+BA52+BA63+BA74+BA85+BA96+BA107+BA118</f>
        <v>1181724</v>
      </c>
      <c r="BB129" s="6">
        <f>BB8+BB19+BB30+BB41+BB52+BB63+BB74+BB85+BB96+BB107+BB118</f>
        <v>796769</v>
      </c>
      <c r="BC129" s="5">
        <f>BC8+BC19+BC30+BC41+BC52+BC63+BC74+BC85+BC96+BC107+BC118</f>
        <v>105370</v>
      </c>
      <c r="BD129" s="5">
        <f>BD8+BD19+BD30+BD41+BD52+BD63+BD74+BD85+BD96+BD107+BD118</f>
        <v>104424</v>
      </c>
      <c r="BE129" s="5">
        <f>BE8+BE19+BE30+BE41+BE52+BE63+BE74+BE85+BE96+BE107+BE118</f>
        <v>3</v>
      </c>
      <c r="BF129" s="5">
        <f>BF8+BF19+BF30+BF41+BF52+BF63+BF74+BF85+BF96+BF107+BF118</f>
        <v>99626</v>
      </c>
      <c r="BG129" s="5">
        <f>BG8+BG19+BG30+BG41+BG52+BG63+BG74+BG85+BG96+BG107+BG118</f>
        <v>43052679</v>
      </c>
      <c r="BH129" s="16">
        <f>BH8+BH19+BH30+BH41+BH52+BH63+BH74+BH85+BH96+BH107+BH118</f>
        <v>69479534</v>
      </c>
      <c r="BI129" s="222">
        <f>AD129+BH129</f>
        <v>99786630</v>
      </c>
      <c r="BJ129" s="5">
        <f>BJ8+BJ19+BJ30+BJ41+BJ52+BJ63+BJ74+BJ85+BJ96+BJ107+BJ118</f>
        <v>42228201</v>
      </c>
      <c r="BK129" s="49">
        <f>BK8+BK19+BK30+BK41+BK52+BK63+BK74+BK85+BK96+BK107+BK118</f>
        <v>57558429</v>
      </c>
      <c r="BL129" s="30">
        <f>'Upto Month Current'!N61-'Upto Month Current'!M61</f>
        <v>57558431</v>
      </c>
      <c r="BM129" s="30">
        <f t="shared" si="1836"/>
        <v>27251333</v>
      </c>
    </row>
    <row r="130" spans="1:65" ht="15.75" x14ac:dyDescent="0.25">
      <c r="A130" s="128"/>
      <c r="B130" s="5" t="s">
        <v>132</v>
      </c>
      <c r="C130" s="11">
        <f>C129-C127</f>
        <v>13748</v>
      </c>
      <c r="D130" s="11">
        <f t="shared" ref="D130" si="1837">D129-D127</f>
        <v>-168990</v>
      </c>
      <c r="E130" s="11">
        <f t="shared" ref="E130" si="1838">E129-E127</f>
        <v>-52633</v>
      </c>
      <c r="F130" s="11">
        <f t="shared" ref="F130" si="1839">F129-F127</f>
        <v>-2253</v>
      </c>
      <c r="G130" s="11">
        <f t="shared" ref="G130" si="1840">G129-G127</f>
        <v>-17626</v>
      </c>
      <c r="H130" s="11">
        <f t="shared" ref="H130" si="1841">H129-H127</f>
        <v>98451</v>
      </c>
      <c r="I130" s="11">
        <f t="shared" ref="I130" si="1842">I129-I127</f>
        <v>0</v>
      </c>
      <c r="J130" s="11">
        <f t="shared" ref="J130" si="1843">J129-J127</f>
        <v>126677</v>
      </c>
      <c r="K130" s="11">
        <f t="shared" ref="K130" si="1844">K129-K127</f>
        <v>-60575.08</v>
      </c>
      <c r="L130" s="11">
        <f t="shared" ref="L130" si="1845">L129-L127</f>
        <v>-87721</v>
      </c>
      <c r="M130" s="11">
        <f t="shared" ref="M130" si="1846">M129-M127</f>
        <v>-18802</v>
      </c>
      <c r="N130" s="11">
        <f t="shared" ref="N130" si="1847">N129-N127</f>
        <v>-1451</v>
      </c>
      <c r="O130" s="11">
        <f t="shared" ref="O130" si="1848">O129-O127</f>
        <v>-15445</v>
      </c>
      <c r="P130" s="11">
        <f t="shared" ref="P130" si="1849">P129-P127</f>
        <v>113047</v>
      </c>
      <c r="Q130" s="11">
        <f t="shared" ref="Q130" si="1850">Q129-Q127</f>
        <v>0</v>
      </c>
      <c r="R130" s="11">
        <f t="shared" ref="R130" si="1851">R129-R127</f>
        <v>-13296</v>
      </c>
      <c r="S130" s="11">
        <f t="shared" ref="S130" si="1852">S129-S127</f>
        <v>85693</v>
      </c>
      <c r="T130" s="11">
        <f t="shared" ref="T130:U130" si="1853">T129-T127</f>
        <v>224393</v>
      </c>
      <c r="U130" s="11">
        <f t="shared" si="1853"/>
        <v>0</v>
      </c>
      <c r="V130" s="9">
        <f t="shared" ref="V130" si="1854">V129-V127</f>
        <v>80093</v>
      </c>
      <c r="W130" s="11">
        <f t="shared" ref="W130" si="1855">W129-W127</f>
        <v>-601</v>
      </c>
      <c r="X130" s="11">
        <f t="shared" ref="X130" si="1856">X129-X127</f>
        <v>-242</v>
      </c>
      <c r="Y130" s="11">
        <f t="shared" ref="Y130" si="1857">Y129-Y127</f>
        <v>88581</v>
      </c>
      <c r="Z130" s="11">
        <f t="shared" ref="Z130" si="1858">Z129-Z127</f>
        <v>9754</v>
      </c>
      <c r="AA130" s="11">
        <f t="shared" ref="AA130:AD130" si="1859">AA129-AA127</f>
        <v>11778</v>
      </c>
      <c r="AB130" s="11">
        <f t="shared" ref="AB130" si="1860">AB129-AB127</f>
        <v>-24993</v>
      </c>
      <c r="AC130" s="10">
        <f t="shared" si="1859"/>
        <v>27149</v>
      </c>
      <c r="AD130" s="223">
        <f t="shared" si="1859"/>
        <v>414735.92000000179</v>
      </c>
      <c r="AE130" s="11">
        <f t="shared" ref="AE130" si="1861">AE129-AE127</f>
        <v>-6102</v>
      </c>
      <c r="AF130" s="11">
        <f t="shared" ref="AF130" si="1862">AF129-AF127</f>
        <v>-6281</v>
      </c>
      <c r="AG130" s="11">
        <f t="shared" ref="AG130" si="1863">AG129-AG127</f>
        <v>44256</v>
      </c>
      <c r="AH130" s="11">
        <f t="shared" ref="AH130" si="1864">AH129-AH127</f>
        <v>41</v>
      </c>
      <c r="AI130" s="11">
        <f t="shared" ref="AI130" si="1865">AI129-AI127</f>
        <v>0</v>
      </c>
      <c r="AJ130" s="11">
        <f t="shared" ref="AJ130" si="1866">AJ129-AJ127</f>
        <v>150</v>
      </c>
      <c r="AK130" s="11">
        <f t="shared" ref="AK130" si="1867">AK129-AK127</f>
        <v>128281</v>
      </c>
      <c r="AL130" s="11">
        <f t="shared" ref="AL130" si="1868">AL129-AL127</f>
        <v>-128925</v>
      </c>
      <c r="AM130" s="11" t="e">
        <f t="shared" ref="AM130" si="1869">AM129-AM127</f>
        <v>#VALUE!</v>
      </c>
      <c r="AN130" s="11">
        <f t="shared" ref="AN130" si="1870">AN129-AN127</f>
        <v>47553</v>
      </c>
      <c r="AO130" s="9">
        <f t="shared" ref="AO130" si="1871">AO129-AO127</f>
        <v>268343</v>
      </c>
      <c r="AP130" s="11">
        <f t="shared" ref="AP130" si="1872">AP129-AP127</f>
        <v>439693.6400000006</v>
      </c>
      <c r="AQ130" s="10">
        <f t="shared" ref="AQ130" si="1873">AQ129-AQ127</f>
        <v>132859</v>
      </c>
      <c r="AR130" s="11">
        <f t="shared" ref="AR130" si="1874">AR129-AR127</f>
        <v>-212391</v>
      </c>
      <c r="AS130" s="11">
        <f t="shared" ref="AS130" si="1875">AS129-AS127</f>
        <v>0</v>
      </c>
      <c r="AT130" s="11">
        <f t="shared" ref="AT130" si="1876">AT129-AT127</f>
        <v>0</v>
      </c>
      <c r="AU130" s="11">
        <f t="shared" ref="AU130" si="1877">AU129-AU127</f>
        <v>-99849</v>
      </c>
      <c r="AV130" s="11">
        <f t="shared" ref="AV130" si="1878">AV129-AV127</f>
        <v>0</v>
      </c>
      <c r="AW130" s="11">
        <f t="shared" ref="AW130" si="1879">AW129-AW127</f>
        <v>-7318</v>
      </c>
      <c r="AX130" s="11">
        <f t="shared" ref="AX130" si="1880">AX129-AX127</f>
        <v>0</v>
      </c>
      <c r="AY130" s="11">
        <f t="shared" ref="AY130" si="1881">AY129-AY127</f>
        <v>-44</v>
      </c>
      <c r="AZ130" s="11">
        <f t="shared" ref="AZ130" si="1882">AZ129-AZ127</f>
        <v>452749</v>
      </c>
      <c r="BA130" s="11">
        <f t="shared" ref="BA130" si="1883">BA129-BA127</f>
        <v>857057</v>
      </c>
      <c r="BB130" s="10">
        <f t="shared" ref="BB130" si="1884">BB129-BB127</f>
        <v>339568</v>
      </c>
      <c r="BC130" s="11">
        <f t="shared" ref="BC130" si="1885">BC129-BC127</f>
        <v>16079</v>
      </c>
      <c r="BD130" s="11">
        <f t="shared" ref="BD130" si="1886">BD129-BD127</f>
        <v>15161</v>
      </c>
      <c r="BE130" s="11">
        <f t="shared" ref="BE130" si="1887">BE129-BE127</f>
        <v>-149</v>
      </c>
      <c r="BF130" s="11">
        <f t="shared" ref="BF130" si="1888">BF129-BF127</f>
        <v>21879</v>
      </c>
      <c r="BG130" s="11">
        <f t="shared" ref="BG130" si="1889">BG129-BG127</f>
        <v>42243137</v>
      </c>
      <c r="BH130" s="9">
        <f t="shared" ref="BH130:BI130" si="1890">BH129-BH127</f>
        <v>46351175.640000001</v>
      </c>
      <c r="BI130" s="223">
        <f t="shared" si="1890"/>
        <v>46765911.560000002</v>
      </c>
      <c r="BJ130" s="11">
        <f t="shared" ref="BJ130" si="1891">BJ129-BJ127</f>
        <v>41704295</v>
      </c>
      <c r="BK130" s="49">
        <f t="shared" ref="BK130" si="1892">BK129-BK127</f>
        <v>5061616.5600000024</v>
      </c>
      <c r="BM130" s="30">
        <f t="shared" si="1836"/>
        <v>4646880.6400000006</v>
      </c>
    </row>
    <row r="131" spans="1:65" ht="15.75" x14ac:dyDescent="0.25">
      <c r="A131" s="128"/>
      <c r="B131" s="5" t="s">
        <v>133</v>
      </c>
      <c r="C131" s="13">
        <f>C130/C127</f>
        <v>9.1308188381252202E-4</v>
      </c>
      <c r="D131" s="13">
        <f t="shared" ref="D131" si="1893">D130/D127</f>
        <v>-4.1420285130585786E-2</v>
      </c>
      <c r="E131" s="13">
        <f t="shared" ref="E131" si="1894">E130/E127</f>
        <v>-5.3095997094665483E-2</v>
      </c>
      <c r="F131" s="13">
        <f t="shared" ref="F131" si="1895">F130/F127</f>
        <v>-1.3127343388113142E-3</v>
      </c>
      <c r="G131" s="13">
        <f t="shared" ref="G131" si="1896">G130/G127</f>
        <v>-1.98215765721695E-2</v>
      </c>
      <c r="H131" s="13">
        <f t="shared" ref="H131" si="1897">H130/H127</f>
        <v>5.6584449061581304E-2</v>
      </c>
      <c r="I131" s="13" t="e">
        <f t="shared" ref="I131" si="1898">I130/I127</f>
        <v>#DIV/0!</v>
      </c>
      <c r="J131" s="13">
        <f t="shared" ref="J131" si="1899">J130/J127</f>
        <v>0.10648786011326582</v>
      </c>
      <c r="K131" s="13">
        <f t="shared" ref="K131" si="1900">K130/K127</f>
        <v>-0.85956140360835098</v>
      </c>
      <c r="L131" s="13">
        <f t="shared" ref="L131" si="1901">L130/L127</f>
        <v>-0.27594505069315778</v>
      </c>
      <c r="M131" s="13">
        <f t="shared" ref="M131" si="1902">M130/M127</f>
        <v>-2.0898425560057131E-2</v>
      </c>
      <c r="N131" s="13">
        <f t="shared" ref="N131" si="1903">N130/N127</f>
        <v>-9.2638702675094164E-2</v>
      </c>
      <c r="O131" s="13">
        <f t="shared" ref="O131" si="1904">O130/O127</f>
        <v>-0.27661860839974928</v>
      </c>
      <c r="P131" s="13">
        <f t="shared" ref="P131" si="1905">P130/P127</f>
        <v>0.20414734393735823</v>
      </c>
      <c r="Q131" s="13" t="e">
        <f t="shared" ref="Q131" si="1906">Q130/Q127</f>
        <v>#DIV/0!</v>
      </c>
      <c r="R131" s="13">
        <f t="shared" ref="R131" si="1907">R130/R127</f>
        <v>-0.27413867755304017</v>
      </c>
      <c r="S131" s="13">
        <f t="shared" ref="S131" si="1908">S130/S127</f>
        <v>0.1203125855559752</v>
      </c>
      <c r="T131" s="13">
        <f t="shared" ref="T131:U131" si="1909">T130/T127</f>
        <v>0.44978362006931372</v>
      </c>
      <c r="U131" s="13" t="e">
        <f t="shared" si="1909"/>
        <v>#DIV/0!</v>
      </c>
      <c r="V131" s="162">
        <f t="shared" ref="V131" si="1910">V130/V127</f>
        <v>0.38695448418469147</v>
      </c>
      <c r="W131" s="13">
        <f t="shared" ref="W131" si="1911">W130/W127</f>
        <v>-1</v>
      </c>
      <c r="X131" s="13">
        <f t="shared" ref="X131" si="1912">X130/X127</f>
        <v>-1</v>
      </c>
      <c r="Y131" s="13">
        <f t="shared" ref="Y131" si="1913">Y130/Y127</f>
        <v>5.5693806978937443</v>
      </c>
      <c r="Z131" s="13">
        <f t="shared" ref="Z131" si="1914">Z130/Z127</f>
        <v>5.3126361655773424</v>
      </c>
      <c r="AA131" s="13">
        <f t="shared" ref="AA131:AD131" si="1915">AA130/AA127</f>
        <v>2.6296048225050233</v>
      </c>
      <c r="AB131" s="13">
        <f t="shared" ref="AB131" si="1916">AB130/AB127</f>
        <v>-0.91082361516034982</v>
      </c>
      <c r="AC131" s="14">
        <f t="shared" si="1915"/>
        <v>3.3975321619862844E-2</v>
      </c>
      <c r="AD131" s="224">
        <f t="shared" si="1915"/>
        <v>1.38743116599043E-2</v>
      </c>
      <c r="AE131" s="13">
        <f t="shared" ref="AE131" si="1917">AE130/AE127</f>
        <v>-0.18085358624777712</v>
      </c>
      <c r="AF131" s="13">
        <f t="shared" ref="AF131" si="1918">AF130/AF127</f>
        <v>-0.26606515016732324</v>
      </c>
      <c r="AG131" s="13">
        <f t="shared" ref="AG131" si="1919">AG130/AG127</f>
        <v>1.0219841123221873</v>
      </c>
      <c r="AH131" s="13" t="e">
        <f t="shared" ref="AH131" si="1920">AH130/AH127</f>
        <v>#DIV/0!</v>
      </c>
      <c r="AI131" s="13" t="e">
        <f t="shared" ref="AI131" si="1921">AI130/AI127</f>
        <v>#DIV/0!</v>
      </c>
      <c r="AJ131" s="13">
        <f t="shared" ref="AJ131" si="1922">AJ130/AJ127</f>
        <v>1.1239322643488685E-2</v>
      </c>
      <c r="AK131" s="13">
        <f t="shared" ref="AK131" si="1923">AK130/AK127</f>
        <v>0.15712142275352289</v>
      </c>
      <c r="AL131" s="13">
        <f t="shared" ref="AL131" si="1924">AL130/AL127</f>
        <v>-0.19608633426160965</v>
      </c>
      <c r="AM131" s="13" t="e">
        <f t="shared" ref="AM131" si="1925">AM130/AM127</f>
        <v>#VALUE!</v>
      </c>
      <c r="AN131" s="13">
        <f t="shared" ref="AN131" si="1926">AN130/AN127</f>
        <v>0.60284479152140569</v>
      </c>
      <c r="AO131" s="162">
        <f t="shared" ref="AO131" si="1927">AO130/AO127</f>
        <v>0.1468553206137492</v>
      </c>
      <c r="AP131" s="13">
        <f t="shared" ref="AP131" si="1928">AP130/AP127</f>
        <v>3.6107885306256041E-2</v>
      </c>
      <c r="AQ131" s="14">
        <f t="shared" ref="AQ131" si="1929">AQ130/AQ127</f>
        <v>1.5168110878971583</v>
      </c>
      <c r="AR131" s="13">
        <f t="shared" ref="AR131" si="1930">AR130/AR127</f>
        <v>-0.44839255856373189</v>
      </c>
      <c r="AS131" s="13" t="e">
        <f t="shared" ref="AS131" si="1931">AS130/AS127</f>
        <v>#DIV/0!</v>
      </c>
      <c r="AT131" s="13" t="e">
        <f t="shared" ref="AT131" si="1932">AT130/AT127</f>
        <v>#DIV/0!</v>
      </c>
      <c r="AU131" s="13">
        <f t="shared" ref="AU131" si="1933">AU130/AU127</f>
        <v>-0.47784472403413142</v>
      </c>
      <c r="AV131" s="13" t="e">
        <f t="shared" ref="AV131" si="1934">AV130/AV127</f>
        <v>#DIV/0!</v>
      </c>
      <c r="AW131" s="13">
        <f t="shared" ref="AW131" si="1935">AW130/AW127</f>
        <v>-0.45955790002511931</v>
      </c>
      <c r="AX131" s="13">
        <f t="shared" ref="AX131" si="1936">AX130/AX127</f>
        <v>0</v>
      </c>
      <c r="AY131" s="13">
        <f t="shared" ref="AY131" si="1937">AY130/AY127</f>
        <v>-9.2807424593967514E-3</v>
      </c>
      <c r="AZ131" s="13">
        <f t="shared" ref="AZ131" si="1938">AZ130/AZ127</f>
        <v>2.3779583390232886</v>
      </c>
      <c r="BA131" s="13">
        <f t="shared" ref="BA131" si="1939">BA130/BA127</f>
        <v>2.6398032445551904</v>
      </c>
      <c r="BB131" s="14">
        <f t="shared" ref="BB131" si="1940">BB130/BB127</f>
        <v>0.7427105365036385</v>
      </c>
      <c r="BC131" s="13">
        <f t="shared" ref="BC131" si="1941">BC130/BC127</f>
        <v>0.18007413961093502</v>
      </c>
      <c r="BD131" s="13">
        <f t="shared" ref="BD131" si="1942">BD130/BD127</f>
        <v>0.16984640892643088</v>
      </c>
      <c r="BE131" s="13">
        <f t="shared" ref="BE131" si="1943">BE130/BE127</f>
        <v>-0.98026315789473684</v>
      </c>
      <c r="BF131" s="13">
        <f t="shared" ref="BF131" si="1944">BF130/BF127</f>
        <v>0.2814127876316771</v>
      </c>
      <c r="BG131" s="13">
        <f t="shared" ref="BG131" si="1945">BG130/BG127</f>
        <v>52.1815260974724</v>
      </c>
      <c r="BH131" s="162">
        <f t="shared" ref="BH131:BI131" si="1946">BH130/BH127</f>
        <v>2.004084116932543</v>
      </c>
      <c r="BI131" s="224">
        <f t="shared" si="1946"/>
        <v>0.88203089162063808</v>
      </c>
      <c r="BJ131" s="13">
        <f t="shared" ref="BJ131" si="1947">BJ130/BJ127</f>
        <v>79.602629097586203</v>
      </c>
      <c r="BK131" s="50">
        <f t="shared" ref="BK131" si="1948">BK130/BK127</f>
        <v>9.6417598035786617E-2</v>
      </c>
      <c r="BM131" s="162">
        <f t="shared" ref="BM131" si="1949">BM130/BM127</f>
        <v>0.20557368813866725</v>
      </c>
    </row>
    <row r="132" spans="1:65" ht="15.75" x14ac:dyDescent="0.25">
      <c r="A132" s="128"/>
      <c r="B132" s="5" t="s">
        <v>134</v>
      </c>
      <c r="C132" s="11">
        <f>C129-C128</f>
        <v>364678</v>
      </c>
      <c r="D132" s="11">
        <f t="shared" ref="D132:BK132" si="1950">D129-D128</f>
        <v>1338795</v>
      </c>
      <c r="E132" s="11">
        <f t="shared" si="1950"/>
        <v>12310</v>
      </c>
      <c r="F132" s="11">
        <f t="shared" si="1950"/>
        <v>167325</v>
      </c>
      <c r="G132" s="11">
        <f t="shared" si="1950"/>
        <v>85065</v>
      </c>
      <c r="H132" s="11">
        <f t="shared" si="1950"/>
        <v>205496</v>
      </c>
      <c r="I132" s="11">
        <f t="shared" si="1950"/>
        <v>0</v>
      </c>
      <c r="J132" s="11">
        <f t="shared" si="1950"/>
        <v>292913</v>
      </c>
      <c r="K132" s="11">
        <f t="shared" si="1950"/>
        <v>-32459</v>
      </c>
      <c r="L132" s="11">
        <f t="shared" si="1950"/>
        <v>-96446</v>
      </c>
      <c r="M132" s="11">
        <f t="shared" si="1950"/>
        <v>70914</v>
      </c>
      <c r="N132" s="11">
        <f t="shared" si="1950"/>
        <v>2795</v>
      </c>
      <c r="O132" s="11">
        <f t="shared" si="1950"/>
        <v>-8030</v>
      </c>
      <c r="P132" s="11">
        <f t="shared" si="1950"/>
        <v>47384</v>
      </c>
      <c r="Q132" s="11">
        <f t="shared" si="1950"/>
        <v>0</v>
      </c>
      <c r="R132" s="11">
        <f t="shared" si="1950"/>
        <v>8336</v>
      </c>
      <c r="S132" s="11">
        <f t="shared" si="1950"/>
        <v>30667</v>
      </c>
      <c r="T132" s="11">
        <f t="shared" si="1950"/>
        <v>162334</v>
      </c>
      <c r="U132" s="11">
        <f t="shared" ref="U132" si="1951">U129-U128</f>
        <v>-2200</v>
      </c>
      <c r="V132" s="9">
        <f t="shared" si="1950"/>
        <v>7716</v>
      </c>
      <c r="W132" s="11">
        <f t="shared" si="1950"/>
        <v>-442</v>
      </c>
      <c r="X132" s="11">
        <f t="shared" si="1950"/>
        <v>0</v>
      </c>
      <c r="Y132" s="11">
        <f t="shared" si="1950"/>
        <v>83916</v>
      </c>
      <c r="Z132" s="11">
        <f t="shared" si="1950"/>
        <v>9111</v>
      </c>
      <c r="AA132" s="11">
        <f t="shared" si="1950"/>
        <v>13436</v>
      </c>
      <c r="AB132" s="11">
        <f t="shared" ref="AB132" si="1952">AB129-AB128</f>
        <v>2447</v>
      </c>
      <c r="AC132" s="10">
        <f t="shared" ref="AC132:AD132" si="1953">AC129-AC128</f>
        <v>-1763</v>
      </c>
      <c r="AD132" s="223">
        <f t="shared" si="1953"/>
        <v>2764298</v>
      </c>
      <c r="AE132" s="11">
        <f t="shared" si="1950"/>
        <v>-1503</v>
      </c>
      <c r="AF132" s="11">
        <f t="shared" si="1950"/>
        <v>-16340</v>
      </c>
      <c r="AG132" s="11">
        <f t="shared" si="1950"/>
        <v>-44951</v>
      </c>
      <c r="AH132" s="11">
        <f t="shared" si="1950"/>
        <v>23</v>
      </c>
      <c r="AI132" s="11">
        <f t="shared" si="1950"/>
        <v>0</v>
      </c>
      <c r="AJ132" s="11">
        <f t="shared" si="1950"/>
        <v>-2102</v>
      </c>
      <c r="AK132" s="11">
        <f t="shared" si="1950"/>
        <v>-82926</v>
      </c>
      <c r="AL132" s="11">
        <f t="shared" si="1950"/>
        <v>-291457</v>
      </c>
      <c r="AM132" s="11">
        <f t="shared" si="1950"/>
        <v>2304105</v>
      </c>
      <c r="AN132" s="11">
        <f t="shared" si="1950"/>
        <v>3991</v>
      </c>
      <c r="AO132" s="9">
        <f t="shared" si="1950"/>
        <v>-39151</v>
      </c>
      <c r="AP132" s="11">
        <f t="shared" si="1950"/>
        <v>792677</v>
      </c>
      <c r="AQ132" s="10">
        <f t="shared" si="1950"/>
        <v>114314</v>
      </c>
      <c r="AR132" s="11">
        <f t="shared" si="1950"/>
        <v>-362915</v>
      </c>
      <c r="AS132" s="11">
        <f t="shared" si="1950"/>
        <v>0</v>
      </c>
      <c r="AT132" s="11">
        <f t="shared" si="1950"/>
        <v>0</v>
      </c>
      <c r="AU132" s="11">
        <f t="shared" si="1950"/>
        <v>-126745</v>
      </c>
      <c r="AV132" s="11">
        <f t="shared" si="1950"/>
        <v>0</v>
      </c>
      <c r="AW132" s="11">
        <f t="shared" si="1950"/>
        <v>-1568</v>
      </c>
      <c r="AX132" s="11">
        <f t="shared" si="1950"/>
        <v>1344</v>
      </c>
      <c r="AY132" s="11">
        <f t="shared" si="1950"/>
        <v>-1279</v>
      </c>
      <c r="AZ132" s="11">
        <f t="shared" si="1950"/>
        <v>429342</v>
      </c>
      <c r="BA132" s="11">
        <f t="shared" si="1950"/>
        <v>876174</v>
      </c>
      <c r="BB132" s="10">
        <f t="shared" si="1950"/>
        <v>214485</v>
      </c>
      <c r="BC132" s="11">
        <f t="shared" si="1950"/>
        <v>-2634</v>
      </c>
      <c r="BD132" s="11">
        <f t="shared" si="1950"/>
        <v>-3645</v>
      </c>
      <c r="BE132" s="11">
        <f t="shared" si="1950"/>
        <v>-5</v>
      </c>
      <c r="BF132" s="11">
        <f t="shared" si="1950"/>
        <v>1354</v>
      </c>
      <c r="BG132" s="11">
        <f t="shared" si="1950"/>
        <v>739587</v>
      </c>
      <c r="BH132" s="9">
        <f t="shared" si="1950"/>
        <v>4500175</v>
      </c>
      <c r="BI132" s="223">
        <f t="shared" si="1950"/>
        <v>7264473</v>
      </c>
      <c r="BJ132" s="11">
        <f t="shared" si="1950"/>
        <v>1002575</v>
      </c>
      <c r="BK132" s="49">
        <f t="shared" si="1950"/>
        <v>6261898</v>
      </c>
      <c r="BM132" s="30">
        <f t="shared" si="1836"/>
        <v>3497600</v>
      </c>
    </row>
    <row r="133" spans="1:65" ht="15.75" x14ac:dyDescent="0.25">
      <c r="A133" s="128"/>
      <c r="B133" s="5" t="s">
        <v>135</v>
      </c>
      <c r="C133" s="13">
        <f>C132/C128</f>
        <v>2.4798293458962027E-2</v>
      </c>
      <c r="D133" s="13">
        <f t="shared" ref="D133" si="1954">D132/D128</f>
        <v>0.52050658994595855</v>
      </c>
      <c r="E133" s="13">
        <f t="shared" ref="E133" si="1955">E132/E128</f>
        <v>1.3288900259840641E-2</v>
      </c>
      <c r="F133" s="13">
        <f t="shared" ref="F133" si="1956">F132/F128</f>
        <v>0.10818284501001173</v>
      </c>
      <c r="G133" s="13">
        <f t="shared" ref="G133" si="1957">G132/G128</f>
        <v>0.1081506136989506</v>
      </c>
      <c r="H133" s="13">
        <f t="shared" ref="H133" si="1958">H132/H128</f>
        <v>0.12585111920874545</v>
      </c>
      <c r="I133" s="13" t="e">
        <f t="shared" ref="I133" si="1959">I132/I128</f>
        <v>#DIV/0!</v>
      </c>
      <c r="J133" s="13">
        <f t="shared" ref="J133" si="1960">J132/J128</f>
        <v>0.28622814174944178</v>
      </c>
      <c r="K133" s="13">
        <f t="shared" ref="K133" si="1961">K132/K128</f>
        <v>-0.76633770894324293</v>
      </c>
      <c r="L133" s="13">
        <f t="shared" ref="L133" si="1962">L132/L128</f>
        <v>-0.29528684885707462</v>
      </c>
      <c r="M133" s="13">
        <f t="shared" ref="M133" si="1963">M132/M128</f>
        <v>8.7551498884525208E-2</v>
      </c>
      <c r="N133" s="13">
        <f t="shared" ref="N133" si="1964">N132/N128</f>
        <v>0.24481037050013138</v>
      </c>
      <c r="O133" s="13">
        <f t="shared" ref="O133" si="1965">O132/O128</f>
        <v>-0.16584056175134243</v>
      </c>
      <c r="P133" s="13">
        <f t="shared" ref="P133" si="1966">P132/P128</f>
        <v>7.6497986002922111E-2</v>
      </c>
      <c r="Q133" s="13" t="e">
        <f t="shared" ref="Q133" si="1967">Q132/Q128</f>
        <v>#DIV/0!</v>
      </c>
      <c r="R133" s="13">
        <f t="shared" ref="R133" si="1968">R132/R128</f>
        <v>0.31024600841118016</v>
      </c>
      <c r="S133" s="13">
        <f t="shared" ref="S133" si="1969">S132/S128</f>
        <v>3.9968512105765963E-2</v>
      </c>
      <c r="T133" s="13">
        <f t="shared" ref="T133:U133" si="1970">T132/T128</f>
        <v>0.2893912113379089</v>
      </c>
      <c r="U133" s="13">
        <f t="shared" si="1970"/>
        <v>-1</v>
      </c>
      <c r="V133" s="162">
        <f t="shared" ref="V133" si="1971">V132/V128</f>
        <v>2.7620274914089346E-2</v>
      </c>
      <c r="W133" s="13">
        <f t="shared" ref="W133" si="1972">W132/W128</f>
        <v>-1</v>
      </c>
      <c r="X133" s="13" t="e">
        <f t="shared" ref="X133" si="1973">X132/X128</f>
        <v>#DIV/0!</v>
      </c>
      <c r="Y133" s="13">
        <f t="shared" ref="Y133" si="1974">Y132/Y128</f>
        <v>4.0795333009236749</v>
      </c>
      <c r="Z133" s="13">
        <f t="shared" ref="Z133" si="1975">Z132/Z128</f>
        <v>3.6752722872125858</v>
      </c>
      <c r="AA133" s="13">
        <f t="shared" ref="AA133:AD133" si="1976">AA132/AA128</f>
        <v>4.7628500531726337</v>
      </c>
      <c r="AB133" s="13" t="e">
        <f t="shared" ref="AB133" si="1977">AB132/AB128</f>
        <v>#DIV/0!</v>
      </c>
      <c r="AC133" s="14">
        <f t="shared" si="1976"/>
        <v>-2.1292476255809233E-3</v>
      </c>
      <c r="AD133" s="224">
        <f t="shared" si="1976"/>
        <v>0.10036373210884385</v>
      </c>
      <c r="AE133" s="13">
        <f t="shared" ref="AE133" si="1978">AE132/AE128</f>
        <v>-5.1576816169657869E-2</v>
      </c>
      <c r="AF133" s="13">
        <f t="shared" ref="AF133" si="1979">AF132/AF128</f>
        <v>-0.48535614566625079</v>
      </c>
      <c r="AG133" s="13">
        <f t="shared" ref="AG133" si="1980">AG132/AG128</f>
        <v>-0.33922466814075813</v>
      </c>
      <c r="AH133" s="13">
        <f t="shared" ref="AH133" si="1981">AH132/AH128</f>
        <v>1.2777777777777777</v>
      </c>
      <c r="AI133" s="13" t="e">
        <f t="shared" ref="AI133" si="1982">AI132/AI128</f>
        <v>#DIV/0!</v>
      </c>
      <c r="AJ133" s="13">
        <f t="shared" ref="AJ133" si="1983">AJ132/AJ128</f>
        <v>-0.13476086677779203</v>
      </c>
      <c r="AK133" s="13">
        <f t="shared" ref="AK133" si="1984">AK132/AK128</f>
        <v>-8.069463203496903E-2</v>
      </c>
      <c r="AL133" s="13">
        <f t="shared" ref="AL133" si="1985">AL132/AL128</f>
        <v>-0.35542539660472938</v>
      </c>
      <c r="AM133" s="13">
        <f t="shared" ref="AM133" si="1986">AM132/AM128</f>
        <v>0.55947094525884555</v>
      </c>
      <c r="AN133" s="13">
        <f t="shared" ref="AN133" si="1987">AN132/AN128</f>
        <v>3.259475837736743E-2</v>
      </c>
      <c r="AO133" s="162">
        <f t="shared" ref="AO133" si="1988">AO132/AO128</f>
        <v>-1.8339809486334499E-2</v>
      </c>
      <c r="AP133" s="13">
        <f t="shared" ref="AP133" si="1989">AP132/AP128</f>
        <v>6.7038327042863485E-2</v>
      </c>
      <c r="AQ133" s="14">
        <f t="shared" ref="AQ133" si="1990">AQ132/AQ128</f>
        <v>1.0770520841184894</v>
      </c>
      <c r="AR133" s="13">
        <f t="shared" ref="AR133" si="1991">AR132/AR128</f>
        <v>-0.581411928304571</v>
      </c>
      <c r="AS133" s="13" t="e">
        <f t="shared" ref="AS133" si="1992">AS132/AS128</f>
        <v>#DIV/0!</v>
      </c>
      <c r="AT133" s="13" t="e">
        <f t="shared" ref="AT133" si="1993">AT132/AT128</f>
        <v>#DIV/0!</v>
      </c>
      <c r="AU133" s="13">
        <f t="shared" ref="AU133" si="1994">AU132/AU128</f>
        <v>-0.53738981484229587</v>
      </c>
      <c r="AV133" s="13" t="e">
        <f t="shared" ref="AV133" si="1995">AV132/AV128</f>
        <v>#DIV/0!</v>
      </c>
      <c r="AW133" s="13">
        <f t="shared" ref="AW133" si="1996">AW132/AW128</f>
        <v>-0.15411834086888146</v>
      </c>
      <c r="AX133" s="13">
        <f t="shared" ref="AX133" si="1997">AX132/AX128</f>
        <v>0.14092481912551116</v>
      </c>
      <c r="AY133" s="13">
        <f t="shared" ref="AY133" si="1998">AY132/AY128</f>
        <v>-0.21402275769745649</v>
      </c>
      <c r="AZ133" s="13">
        <f t="shared" ref="AZ133" si="1999">AZ132/AZ128</f>
        <v>2.0081384090813419</v>
      </c>
      <c r="BA133" s="13">
        <f t="shared" ref="BA133" si="2000">BA132/BA128</f>
        <v>2.8675306823760431</v>
      </c>
      <c r="BB133" s="14">
        <f t="shared" ref="BB133" si="2001">BB132/BB128</f>
        <v>0.36835118258444333</v>
      </c>
      <c r="BC133" s="13">
        <f t="shared" ref="BC133" si="2002">BC132/BC128</f>
        <v>-2.4387985630161847E-2</v>
      </c>
      <c r="BD133" s="13">
        <f t="shared" ref="BD133" si="2003">BD132/BD128</f>
        <v>-3.3728451267245926E-2</v>
      </c>
      <c r="BE133" s="13">
        <f t="shared" ref="BE133" si="2004">BE132/BE128</f>
        <v>-0.625</v>
      </c>
      <c r="BF133" s="13">
        <f t="shared" ref="BF133" si="2005">BF132/BF128</f>
        <v>1.3778085314229893E-2</v>
      </c>
      <c r="BG133" s="13">
        <f t="shared" ref="BG133" si="2006">BG132/BG128</f>
        <v>1.7478916454510107E-2</v>
      </c>
      <c r="BH133" s="162">
        <f t="shared" ref="BH133:BI133" si="2007">BH132/BH128</f>
        <v>6.9255453874206424E-2</v>
      </c>
      <c r="BI133" s="224">
        <f t="shared" si="2007"/>
        <v>7.85160358939751E-2</v>
      </c>
      <c r="BJ133" s="13">
        <f t="shared" ref="BJ133" si="2008">BJ132/BJ128</f>
        <v>2.4319218342494061E-2</v>
      </c>
      <c r="BK133" s="50">
        <f t="shared" ref="BK133" si="2009">BK132/BK128</f>
        <v>0.12207254326808181</v>
      </c>
      <c r="BM133" s="14">
        <f t="shared" ref="BM133" si="2010">BM132/BM128</f>
        <v>0.14724422472880369</v>
      </c>
    </row>
    <row r="134" spans="1:65" ht="15.75" x14ac:dyDescent="0.25">
      <c r="A134" s="128"/>
      <c r="B134" s="5" t="s">
        <v>296</v>
      </c>
      <c r="C134" s="126">
        <f>C129/C126</f>
        <v>0.60054782519883543</v>
      </c>
      <c r="D134" s="126">
        <f t="shared" ref="D134:BK134" si="2011">D129/D126</f>
        <v>0.51732660759822524</v>
      </c>
      <c r="E134" s="126">
        <f t="shared" si="2011"/>
        <v>0.94690304767265787</v>
      </c>
      <c r="F134" s="126">
        <f t="shared" si="2011"/>
        <v>0.59920411986655386</v>
      </c>
      <c r="G134" s="126">
        <f t="shared" si="2011"/>
        <v>0.58810189545958758</v>
      </c>
      <c r="H134" s="126">
        <f t="shared" si="2011"/>
        <v>0.63394979497066895</v>
      </c>
      <c r="I134" s="126" t="e">
        <f t="shared" si="2011"/>
        <v>#DIV/0!</v>
      </c>
      <c r="J134" s="126">
        <f t="shared" si="2011"/>
        <v>0.6638932741532797</v>
      </c>
      <c r="K134" s="126">
        <f t="shared" si="2011"/>
        <v>8.4261340416836944E-2</v>
      </c>
      <c r="L134" s="126">
        <f t="shared" si="2011"/>
        <v>0.43444335600187994</v>
      </c>
      <c r="M134" s="126">
        <f t="shared" si="2011"/>
        <v>0.58745937755713817</v>
      </c>
      <c r="N134" s="126">
        <f t="shared" si="2011"/>
        <v>0.54468802698145025</v>
      </c>
      <c r="O134" s="126">
        <f t="shared" si="2011"/>
        <v>0.43399774351259873</v>
      </c>
      <c r="P134" s="126">
        <f t="shared" si="2011"/>
        <v>0.72249232052789258</v>
      </c>
      <c r="Q134" s="126" t="e">
        <f t="shared" si="2011"/>
        <v>#DIV/0!</v>
      </c>
      <c r="R134" s="126">
        <f t="shared" si="2011"/>
        <v>0.4355167934681759</v>
      </c>
      <c r="S134" s="126">
        <f t="shared" si="2011"/>
        <v>0.89625032011106165</v>
      </c>
      <c r="T134" s="126">
        <f t="shared" si="2011"/>
        <v>0.86987331054671058</v>
      </c>
      <c r="U134" s="126" t="e">
        <f t="shared" si="2011"/>
        <v>#DIV/0!</v>
      </c>
      <c r="V134" s="177">
        <f t="shared" si="2011"/>
        <v>0.8321381157496246</v>
      </c>
      <c r="W134" s="126">
        <f t="shared" si="2011"/>
        <v>0</v>
      </c>
      <c r="X134" s="126">
        <f t="shared" si="2011"/>
        <v>0</v>
      </c>
      <c r="Y134" s="126">
        <f t="shared" si="2011"/>
        <v>3.9433143374721666</v>
      </c>
      <c r="Z134" s="126">
        <f t="shared" si="2011"/>
        <v>3.8012463102656611</v>
      </c>
      <c r="AA134" s="126">
        <f t="shared" si="2011"/>
        <v>2.1897898706896552</v>
      </c>
      <c r="AB134" s="126">
        <f t="shared" ref="AB134" si="2012">AB129/AB126</f>
        <v>5.3827540695116589E-2</v>
      </c>
      <c r="AC134" s="215">
        <f t="shared" si="2011"/>
        <v>0.62038472714767445</v>
      </c>
      <c r="AD134" s="225">
        <f t="shared" si="2011"/>
        <v>0.61075059513080943</v>
      </c>
      <c r="AE134" s="126">
        <f t="shared" si="2011"/>
        <v>0.49152572515961512</v>
      </c>
      <c r="AF134" s="126">
        <f t="shared" si="2011"/>
        <v>0.44029376635917766</v>
      </c>
      <c r="AG134" s="126">
        <f t="shared" si="2011"/>
        <v>1.2238280267240655</v>
      </c>
      <c r="AH134" s="126" t="e">
        <f t="shared" si="2011"/>
        <v>#DIV/0!</v>
      </c>
      <c r="AI134" s="126" t="e">
        <f t="shared" si="2011"/>
        <v>#DIV/0!</v>
      </c>
      <c r="AJ134" s="126">
        <f t="shared" si="2011"/>
        <v>0.60656179775280894</v>
      </c>
      <c r="AK134" s="126">
        <f t="shared" si="2011"/>
        <v>0.69427829600413304</v>
      </c>
      <c r="AL134" s="126">
        <f t="shared" si="2011"/>
        <v>0.48235054703676633</v>
      </c>
      <c r="AM134" s="126">
        <f t="shared" si="2011"/>
        <v>0.83462299289907516</v>
      </c>
      <c r="AN134" s="126">
        <f t="shared" si="2011"/>
        <v>0.96168005354752339</v>
      </c>
      <c r="AO134" s="177">
        <f t="shared" si="2011"/>
        <v>0.688114322115432</v>
      </c>
      <c r="AP134" s="126">
        <f t="shared" si="2011"/>
        <v>0.79927899051830786</v>
      </c>
      <c r="AQ134" s="215">
        <f t="shared" si="2011"/>
        <v>1.5101383751198794</v>
      </c>
      <c r="AR134" s="126">
        <f t="shared" si="2011"/>
        <v>0.33096334691230417</v>
      </c>
      <c r="AS134" s="126" t="e">
        <f t="shared" si="2011"/>
        <v>#DIV/0!</v>
      </c>
      <c r="AT134" s="126" t="e">
        <f t="shared" si="2011"/>
        <v>#DIV/0!</v>
      </c>
      <c r="AU134" s="126">
        <f t="shared" si="2011"/>
        <v>0.31329376530820274</v>
      </c>
      <c r="AV134" s="126" t="e">
        <f t="shared" si="2011"/>
        <v>#DIV/0!</v>
      </c>
      <c r="AW134" s="126">
        <f t="shared" si="2011"/>
        <v>0.32419196865817823</v>
      </c>
      <c r="AX134" s="126">
        <f t="shared" si="2011"/>
        <v>0.59990076083360899</v>
      </c>
      <c r="AY134" s="126">
        <f t="shared" si="2011"/>
        <v>0.59478282892237555</v>
      </c>
      <c r="AZ134" s="126">
        <f t="shared" si="2011"/>
        <v>2.0267707453580566</v>
      </c>
      <c r="BA134" s="126">
        <f t="shared" si="2011"/>
        <v>2.1838886732826968</v>
      </c>
      <c r="BB134" s="215">
        <f t="shared" si="2011"/>
        <v>1.0456299811417076</v>
      </c>
      <c r="BC134" s="126">
        <f t="shared" si="2011"/>
        <v>0.70807937585259151</v>
      </c>
      <c r="BD134" s="126">
        <f t="shared" si="2011"/>
        <v>0.70171288798693665</v>
      </c>
      <c r="BE134" s="126">
        <f t="shared" si="2011"/>
        <v>1.1583011583011582E-2</v>
      </c>
      <c r="BF134" s="126">
        <f t="shared" si="2011"/>
        <v>0.76893866304423331</v>
      </c>
      <c r="BG134" s="126">
        <f t="shared" si="2011"/>
        <v>0.58525665067789712</v>
      </c>
      <c r="BH134" s="177">
        <f t="shared" si="2011"/>
        <v>0.65392840476888681</v>
      </c>
      <c r="BI134" s="225">
        <f t="shared" si="2011"/>
        <v>0.64018252650705953</v>
      </c>
      <c r="BJ134" s="126">
        <f t="shared" si="2011"/>
        <v>0.5771864019040992</v>
      </c>
      <c r="BK134" s="126">
        <f t="shared" si="2011"/>
        <v>0.69590652883569093</v>
      </c>
      <c r="BM134" s="126">
        <f t="shared" ref="BM134" si="2013">BM129/BM126</f>
        <v>0.82361922231420781</v>
      </c>
    </row>
    <row r="135" spans="1:65" x14ac:dyDescent="0.25">
      <c r="BG135" s="30">
        <f>BG129-BG118</f>
        <v>1177724</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view="pageBreakPreview" zoomScaleSheetLayoutView="100" workbookViewId="0">
      <selection activeCell="J159" sqref="J159"/>
    </sheetView>
  </sheetViews>
  <sheetFormatPr defaultRowHeight="15" x14ac:dyDescent="0.25"/>
  <cols>
    <col min="2" max="2" width="27" customWidth="1"/>
    <col min="3" max="3" width="10" style="184" customWidth="1"/>
    <col min="4" max="4" width="12.42578125" customWidth="1"/>
    <col min="5" max="5" width="0.5703125" customWidth="1"/>
    <col min="6" max="6" width="9.85546875" customWidth="1"/>
    <col min="7" max="7" width="10.140625" customWidth="1"/>
    <col min="8" max="8" width="11.7109375" style="69" customWidth="1"/>
    <col min="9" max="9" width="10.5703125" customWidth="1"/>
    <col min="10" max="10" width="12" customWidth="1"/>
    <col min="11" max="11" width="9.42578125" customWidth="1"/>
    <col min="12" max="12" width="10.7109375" customWidth="1"/>
    <col min="13" max="13" width="9.140625" customWidth="1"/>
    <col min="14" max="14" width="11" customWidth="1"/>
    <col min="15" max="15" width="10.42578125" style="184" customWidth="1"/>
  </cols>
  <sheetData>
    <row r="1" spans="1:17" x14ac:dyDescent="0.25">
      <c r="B1" s="36" t="s">
        <v>328</v>
      </c>
      <c r="C1" s="36"/>
    </row>
    <row r="2" spans="1:17" x14ac:dyDescent="0.25">
      <c r="M2" s="36" t="s">
        <v>150</v>
      </c>
    </row>
    <row r="3" spans="1:17" s="36" customFormat="1" ht="15" customHeight="1" x14ac:dyDescent="0.25">
      <c r="B3" s="299" t="s">
        <v>151</v>
      </c>
      <c r="C3" s="303" t="s">
        <v>302</v>
      </c>
      <c r="D3" s="303" t="s">
        <v>319</v>
      </c>
      <c r="E3" s="303"/>
      <c r="F3" s="305" t="str">
        <f>'PU Wise OWE'!$B$5</f>
        <v xml:space="preserve">OBG(SL) 2021-22 </v>
      </c>
      <c r="G3" s="303" t="s">
        <v>301</v>
      </c>
      <c r="H3" s="305" t="str">
        <f>'PU Wise OWE'!$B$7</f>
        <v>Actuals upto Oct' 20</v>
      </c>
      <c r="I3" s="305" t="str">
        <f>'PU Wise OWE'!$B$6</f>
        <v>BP to end  Oct-21</v>
      </c>
      <c r="J3" s="305" t="str">
        <f>'PU Wise OWE'!$B$8</f>
        <v>Actuals upto Oct' 21</v>
      </c>
      <c r="K3" s="306" t="s">
        <v>207</v>
      </c>
      <c r="L3" s="306"/>
      <c r="M3" s="306" t="s">
        <v>147</v>
      </c>
      <c r="N3" s="306"/>
      <c r="O3" s="279" t="s">
        <v>314</v>
      </c>
    </row>
    <row r="4" spans="1:17" ht="15.6" customHeight="1" x14ac:dyDescent="0.25">
      <c r="A4" s="31"/>
      <c r="B4" s="300"/>
      <c r="C4" s="304"/>
      <c r="D4" s="304"/>
      <c r="E4" s="304"/>
      <c r="F4" s="304"/>
      <c r="G4" s="304"/>
      <c r="H4" s="304"/>
      <c r="I4" s="304"/>
      <c r="J4" s="304"/>
      <c r="K4" s="19" t="s">
        <v>145</v>
      </c>
      <c r="L4" s="18" t="s">
        <v>146</v>
      </c>
      <c r="M4" s="19" t="s">
        <v>145</v>
      </c>
      <c r="N4" s="18" t="s">
        <v>146</v>
      </c>
      <c r="O4" s="279"/>
    </row>
    <row r="5" spans="1:17" x14ac:dyDescent="0.25">
      <c r="A5" s="31"/>
      <c r="B5" s="61" t="s">
        <v>148</v>
      </c>
      <c r="C5" s="22">
        <v>4575.6000000000004</v>
      </c>
      <c r="D5" s="66">
        <f>C5/C7</f>
        <v>0.5852640249884562</v>
      </c>
      <c r="E5" s="66"/>
      <c r="F5" s="22">
        <f>ROUND('PU Wise OWE'!$AD$126/10000,2)</f>
        <v>4962.2700000000004</v>
      </c>
      <c r="G5" s="66">
        <f>F5/F7</f>
        <v>0.59996010155966639</v>
      </c>
      <c r="H5" s="70">
        <f>ROUND('PU Wise OWE'!$AD$128/10000,2)</f>
        <v>2754.28</v>
      </c>
      <c r="I5" s="22">
        <f>ROUND('PU Wise OWE'!$AD$127/10000,2)</f>
        <v>2989.24</v>
      </c>
      <c r="J5" s="23">
        <f>ROUND('PU Wise OWE'!$AD$129/10000,2)</f>
        <v>3030.71</v>
      </c>
      <c r="K5" s="22">
        <f>J5-I5</f>
        <v>41.470000000000255</v>
      </c>
      <c r="L5" s="24">
        <f>K5/I5</f>
        <v>1.387309148813754E-2</v>
      </c>
      <c r="M5" s="22">
        <f>J5-H5</f>
        <v>276.42999999999984</v>
      </c>
      <c r="N5" s="52">
        <f>M5/H5</f>
        <v>0.10036379743526432</v>
      </c>
      <c r="O5" s="52">
        <f>J5/F5</f>
        <v>0.61075072497062832</v>
      </c>
    </row>
    <row r="6" spans="1:17" x14ac:dyDescent="0.25">
      <c r="A6" s="31"/>
      <c r="B6" s="78" t="s">
        <v>144</v>
      </c>
      <c r="C6" s="21">
        <v>3242.41</v>
      </c>
      <c r="D6" s="66">
        <f>C6/C7</f>
        <v>0.4147359750115438</v>
      </c>
      <c r="E6" s="66"/>
      <c r="F6" s="21">
        <f t="shared" ref="F6:J6" si="0">F7-F5</f>
        <v>3308.7299999999996</v>
      </c>
      <c r="G6" s="66">
        <f>F6/F7</f>
        <v>0.40003989844033366</v>
      </c>
      <c r="H6" s="70">
        <f>H7-H5</f>
        <v>2375.3699999999994</v>
      </c>
      <c r="I6" s="21">
        <f t="shared" si="0"/>
        <v>2260.4400000000005</v>
      </c>
      <c r="J6" s="21">
        <f t="shared" si="0"/>
        <v>2725.13</v>
      </c>
      <c r="K6" s="22">
        <f t="shared" ref="K6:K7" si="1">J6-I6</f>
        <v>464.6899999999996</v>
      </c>
      <c r="L6" s="24">
        <f t="shared" ref="L6:L7" si="2">K6/I6</f>
        <v>0.20557502079241188</v>
      </c>
      <c r="M6" s="22">
        <f t="shared" ref="M6:M7" si="3">J6-H6</f>
        <v>349.76000000000067</v>
      </c>
      <c r="N6" s="52">
        <f t="shared" ref="N6:N7" si="4">M6/H6</f>
        <v>0.1472444292889111</v>
      </c>
      <c r="O6" s="52">
        <f t="shared" ref="O6:O7" si="5">J6/F6</f>
        <v>0.82361812538345547</v>
      </c>
    </row>
    <row r="7" spans="1:17" x14ac:dyDescent="0.25">
      <c r="A7" s="31"/>
      <c r="B7" s="27" t="s">
        <v>171</v>
      </c>
      <c r="C7" s="104">
        <f>SUM(C5:C6)</f>
        <v>7818.01</v>
      </c>
      <c r="D7" s="67">
        <f>SUM(D5:D6)</f>
        <v>1</v>
      </c>
      <c r="E7" s="67"/>
      <c r="F7" s="26">
        <f>ROUND('PU Wise OWE'!BK126/10000,2)</f>
        <v>8271</v>
      </c>
      <c r="G7" s="67">
        <f>SUM(G5:G6)</f>
        <v>1</v>
      </c>
      <c r="H7" s="71">
        <f>ROUND('PU Wise OWE'!BK128/10000,2)</f>
        <v>5129.6499999999996</v>
      </c>
      <c r="I7" s="26">
        <f>ROUND('PU Wise OWE'!BK127/10000,2)</f>
        <v>5249.68</v>
      </c>
      <c r="J7" s="25">
        <f>ROUND('PU Wise OWE'!BK129/10000,2)</f>
        <v>5755.84</v>
      </c>
      <c r="K7" s="26">
        <f t="shared" si="1"/>
        <v>506.15999999999985</v>
      </c>
      <c r="L7" s="54">
        <f t="shared" si="2"/>
        <v>9.6417305435759867E-2</v>
      </c>
      <c r="M7" s="26">
        <f t="shared" si="3"/>
        <v>626.19000000000051</v>
      </c>
      <c r="N7" s="55">
        <f t="shared" si="4"/>
        <v>0.1220726560291639</v>
      </c>
      <c r="O7" s="55">
        <f t="shared" si="5"/>
        <v>0.69590617821303347</v>
      </c>
    </row>
    <row r="8" spans="1:17" x14ac:dyDescent="0.25">
      <c r="A8" s="31"/>
      <c r="B8" s="32"/>
      <c r="C8" s="32"/>
      <c r="D8" s="33"/>
      <c r="E8" s="33"/>
      <c r="F8" s="34"/>
      <c r="G8" s="34"/>
      <c r="H8" s="72"/>
      <c r="I8" s="34"/>
      <c r="J8" s="31"/>
      <c r="K8" s="31"/>
      <c r="L8" s="35"/>
      <c r="M8" s="34"/>
      <c r="N8" s="31"/>
      <c r="Q8">
        <f>638.61/7972.35</f>
        <v>8.0103106361361448E-2</v>
      </c>
    </row>
    <row r="9" spans="1:17" ht="14.45" customHeight="1" x14ac:dyDescent="0.25">
      <c r="A9" s="31"/>
      <c r="D9" s="33"/>
      <c r="E9" s="33"/>
      <c r="F9" s="34"/>
      <c r="G9" s="34"/>
      <c r="H9" s="72"/>
      <c r="I9" s="34"/>
      <c r="J9" s="31"/>
      <c r="K9" s="31"/>
      <c r="L9" s="35"/>
      <c r="M9" s="34"/>
      <c r="N9" s="31"/>
    </row>
    <row r="10" spans="1:17" x14ac:dyDescent="0.25">
      <c r="A10" s="31"/>
      <c r="B10" s="62" t="s">
        <v>172</v>
      </c>
      <c r="C10" s="62"/>
      <c r="D10" s="63"/>
      <c r="E10" s="63"/>
      <c r="F10" s="63"/>
      <c r="G10" s="63"/>
      <c r="H10" s="73"/>
      <c r="I10" s="63"/>
      <c r="J10" s="63"/>
      <c r="M10" s="36" t="s">
        <v>150</v>
      </c>
    </row>
    <row r="11" spans="1:17" ht="15" customHeight="1" x14ac:dyDescent="0.25">
      <c r="A11" s="31"/>
      <c r="B11" s="301" t="s">
        <v>151</v>
      </c>
      <c r="C11" s="298" t="s">
        <v>302</v>
      </c>
      <c r="D11" s="298" t="s">
        <v>173</v>
      </c>
      <c r="E11" s="298"/>
      <c r="F11" s="287" t="str">
        <f>'PU Wise OWE'!$B$5</f>
        <v xml:space="preserve">OBG(SL) 2021-22 </v>
      </c>
      <c r="G11" s="298" t="s">
        <v>301</v>
      </c>
      <c r="H11" s="287" t="str">
        <f>'PU Wise OWE'!$B$7</f>
        <v>Actuals upto Oct' 20</v>
      </c>
      <c r="I11" s="287" t="str">
        <f>'PU Wise OWE'!$B$6</f>
        <v>BP to end  Oct-21</v>
      </c>
      <c r="J11" s="287" t="str">
        <f>'PU Wise OWE'!$B$8</f>
        <v>Actuals upto Oct' 21</v>
      </c>
      <c r="K11" s="295" t="s">
        <v>207</v>
      </c>
      <c r="L11" s="295"/>
      <c r="M11" s="295" t="s">
        <v>147</v>
      </c>
      <c r="N11" s="295"/>
      <c r="O11" s="280" t="s">
        <v>314</v>
      </c>
    </row>
    <row r="12" spans="1:17" ht="15" customHeight="1" x14ac:dyDescent="0.25">
      <c r="A12" s="31"/>
      <c r="B12" s="302"/>
      <c r="C12" s="288"/>
      <c r="D12" s="288"/>
      <c r="E12" s="288"/>
      <c r="F12" s="288"/>
      <c r="G12" s="288"/>
      <c r="H12" s="288"/>
      <c r="I12" s="288"/>
      <c r="J12" s="288"/>
      <c r="K12" s="64" t="s">
        <v>145</v>
      </c>
      <c r="L12" s="65" t="s">
        <v>146</v>
      </c>
      <c r="M12" s="64" t="s">
        <v>145</v>
      </c>
      <c r="N12" s="65" t="s">
        <v>146</v>
      </c>
      <c r="O12" s="280"/>
    </row>
    <row r="13" spans="1:17" x14ac:dyDescent="0.25">
      <c r="A13" s="31"/>
      <c r="B13" s="20" t="s">
        <v>152</v>
      </c>
      <c r="C13" s="105">
        <v>2522.8000000000002</v>
      </c>
      <c r="D13" s="66">
        <f>C13/$C$7</f>
        <v>0.32269081262367277</v>
      </c>
      <c r="E13" s="21"/>
      <c r="F13" s="22">
        <f>ROUND('PU Wise OWE'!$C$126/10000,2)</f>
        <v>2509.4499999999998</v>
      </c>
      <c r="G13" s="24">
        <f>F13/$F$7</f>
        <v>0.30340345786482892</v>
      </c>
      <c r="H13" s="70">
        <f>ROUND('PU Wise OWE'!$C$128/10000,2)</f>
        <v>1470.58</v>
      </c>
      <c r="I13" s="22">
        <f>ROUND('PU Wise OWE'!$C$127/10000,2)</f>
        <v>1505.67</v>
      </c>
      <c r="J13" s="23">
        <f>ROUND('PU Wise OWE'!$C$129/10000,2)</f>
        <v>1507.04</v>
      </c>
      <c r="K13" s="22">
        <f>J13-I13</f>
        <v>1.3699999999998909</v>
      </c>
      <c r="L13" s="24">
        <f>K13/I13</f>
        <v>9.0989393426175113E-4</v>
      </c>
      <c r="M13" s="22">
        <f>J13-H13</f>
        <v>36.460000000000036</v>
      </c>
      <c r="N13" s="52">
        <f>M13/H13</f>
        <v>2.4792938840457534E-2</v>
      </c>
      <c r="O13" s="52">
        <f t="shared" ref="O13:O28" si="6">J13/F13</f>
        <v>0.60054593636055709</v>
      </c>
    </row>
    <row r="14" spans="1:17" x14ac:dyDescent="0.25">
      <c r="A14" s="31"/>
      <c r="B14" s="20" t="s">
        <v>153</v>
      </c>
      <c r="C14" s="105">
        <v>441.91</v>
      </c>
      <c r="D14" s="66">
        <f t="shared" ref="D14:D27" si="7">C14/$C$7</f>
        <v>5.6524614320012385E-2</v>
      </c>
      <c r="E14" s="21"/>
      <c r="F14" s="22">
        <f>ROUND('PU Wise OWE'!$D$126/10000,2)</f>
        <v>755.98</v>
      </c>
      <c r="G14" s="24">
        <f t="shared" ref="G14:G27" si="8">F14/$F$7</f>
        <v>9.1401281586265259E-2</v>
      </c>
      <c r="H14" s="70">
        <f>ROUND('PU Wise OWE'!$D$128/10000,2)</f>
        <v>257.20999999999998</v>
      </c>
      <c r="I14" s="22">
        <f>ROUND('PU Wise OWE'!$D$127/10000,2)</f>
        <v>407.99</v>
      </c>
      <c r="J14" s="23">
        <f>ROUND('PU Wise OWE'!$D$129/10000,2)</f>
        <v>391.09</v>
      </c>
      <c r="K14" s="22">
        <f t="shared" ref="K14:K17" si="9">J14-I14</f>
        <v>-16.900000000000034</v>
      </c>
      <c r="L14" s="24">
        <f t="shared" ref="L14:L17" si="10">K14/I14</f>
        <v>-4.1422583886860057E-2</v>
      </c>
      <c r="M14" s="22">
        <f t="shared" ref="M14:M27" si="11">J14-H14</f>
        <v>133.88</v>
      </c>
      <c r="N14" s="52">
        <f t="shared" ref="N14:N27" si="12">M14/H14</f>
        <v>0.52050853388281948</v>
      </c>
      <c r="O14" s="52">
        <f t="shared" si="6"/>
        <v>0.51732850075398817</v>
      </c>
    </row>
    <row r="15" spans="1:17" x14ac:dyDescent="0.25">
      <c r="B15" s="23" t="s">
        <v>174</v>
      </c>
      <c r="C15" s="22">
        <v>98.2</v>
      </c>
      <c r="D15" s="66">
        <f t="shared" si="7"/>
        <v>1.2560741160474341E-2</v>
      </c>
      <c r="E15" s="21"/>
      <c r="F15" s="22">
        <f>ROUND('PU Wise OWE'!$E$126/10000,2)</f>
        <v>99.13</v>
      </c>
      <c r="G15" s="24">
        <f t="shared" si="8"/>
        <v>1.1985249667512996E-2</v>
      </c>
      <c r="H15" s="70">
        <f>ROUND('PU Wise OWE'!$E$128/10000,2)</f>
        <v>92.63</v>
      </c>
      <c r="I15" s="22">
        <f>ROUND('PU Wise OWE'!$E$127/10000,2)</f>
        <v>99.13</v>
      </c>
      <c r="J15" s="23">
        <f>ROUND('PU Wise OWE'!$E$129/10000,2)</f>
        <v>93.86</v>
      </c>
      <c r="K15" s="22">
        <f t="shared" si="9"/>
        <v>-5.269999999999996</v>
      </c>
      <c r="L15" s="24">
        <f t="shared" si="10"/>
        <v>-5.3162513870674832E-2</v>
      </c>
      <c r="M15" s="22">
        <f t="shared" si="11"/>
        <v>1.230000000000004</v>
      </c>
      <c r="N15" s="52">
        <f t="shared" si="12"/>
        <v>1.3278635431285804E-2</v>
      </c>
      <c r="O15" s="52">
        <f t="shared" si="6"/>
        <v>0.94683748612932517</v>
      </c>
    </row>
    <row r="16" spans="1:17" x14ac:dyDescent="0.25">
      <c r="B16" s="23" t="s">
        <v>175</v>
      </c>
      <c r="C16" s="22">
        <v>264.85000000000002</v>
      </c>
      <c r="D16" s="66">
        <f t="shared" si="7"/>
        <v>3.3876907294823108E-2</v>
      </c>
      <c r="E16" s="21"/>
      <c r="F16" s="22">
        <f>ROUND('PU Wise OWE'!$F$126/10000,2)</f>
        <v>286.05</v>
      </c>
      <c r="G16" s="24">
        <f t="shared" si="8"/>
        <v>3.4584693507435621E-2</v>
      </c>
      <c r="H16" s="70">
        <f>ROUND('PU Wise OWE'!$F$128/10000,2)</f>
        <v>154.66999999999999</v>
      </c>
      <c r="I16" s="22">
        <f>ROUND('PU Wise OWE'!$F$127/10000,2)</f>
        <v>171.63</v>
      </c>
      <c r="J16" s="23">
        <f>ROUND('PU Wise OWE'!$F$129/10000,2)</f>
        <v>171.4</v>
      </c>
      <c r="K16" s="22">
        <f t="shared" si="9"/>
        <v>-0.22999999999998977</v>
      </c>
      <c r="L16" s="24">
        <f t="shared" si="10"/>
        <v>-1.3400920584978721E-3</v>
      </c>
      <c r="M16" s="22">
        <f t="shared" si="11"/>
        <v>16.730000000000018</v>
      </c>
      <c r="N16" s="52">
        <f t="shared" si="12"/>
        <v>0.10816577228939044</v>
      </c>
      <c r="O16" s="52">
        <f t="shared" si="6"/>
        <v>0.59919594476490123</v>
      </c>
    </row>
    <row r="17" spans="1:15" x14ac:dyDescent="0.25">
      <c r="B17" s="23" t="s">
        <v>176</v>
      </c>
      <c r="C17" s="22">
        <v>134.78</v>
      </c>
      <c r="D17" s="66">
        <f t="shared" si="7"/>
        <v>1.7239681197644924E-2</v>
      </c>
      <c r="E17" s="21"/>
      <c r="F17" s="22">
        <f>ROUND('PU Wise OWE'!$G$126/10000,2)</f>
        <v>148.21</v>
      </c>
      <c r="G17" s="24">
        <f t="shared" si="8"/>
        <v>1.7919235884415428E-2</v>
      </c>
      <c r="H17" s="70">
        <f>ROUND('PU Wise OWE'!$G$128/10000,2)</f>
        <v>78.650000000000006</v>
      </c>
      <c r="I17" s="22">
        <f>ROUND('PU Wise OWE'!$G$127/10000,2)</f>
        <v>88.92</v>
      </c>
      <c r="J17" s="23">
        <f>ROUND('PU Wise OWE'!$G$129/10000,2)</f>
        <v>87.16</v>
      </c>
      <c r="K17" s="22">
        <f t="shared" si="9"/>
        <v>-1.7600000000000051</v>
      </c>
      <c r="L17" s="24">
        <f t="shared" si="10"/>
        <v>-1.979307242465143E-2</v>
      </c>
      <c r="M17" s="22">
        <f t="shared" si="11"/>
        <v>8.5099999999999909</v>
      </c>
      <c r="N17" s="52">
        <f t="shared" si="12"/>
        <v>0.10820089001907171</v>
      </c>
      <c r="O17" s="52">
        <f t="shared" si="6"/>
        <v>0.58808447473179937</v>
      </c>
    </row>
    <row r="18" spans="1:15" x14ac:dyDescent="0.25">
      <c r="A18" s="31"/>
      <c r="B18" s="20" t="s">
        <v>154</v>
      </c>
      <c r="C18" s="105">
        <v>247.05</v>
      </c>
      <c r="D18" s="66">
        <f t="shared" si="7"/>
        <v>3.1600113072252405E-2</v>
      </c>
      <c r="E18" s="21"/>
      <c r="F18" s="22">
        <f>ROUND('PU Wise OWE'!$H$126/10000,2)</f>
        <v>289.98</v>
      </c>
      <c r="G18" s="24">
        <f t="shared" si="8"/>
        <v>3.5059847660500548E-2</v>
      </c>
      <c r="H18" s="70">
        <f>ROUND('PU Wise OWE'!$H$128/10000,2)</f>
        <v>163.29</v>
      </c>
      <c r="I18" s="22">
        <f>ROUND('PU Wise OWE'!$H$127/10000,2)</f>
        <v>173.99</v>
      </c>
      <c r="J18" s="23">
        <f>ROUND('PU Wise OWE'!$H$129/10000,2)</f>
        <v>183.83</v>
      </c>
      <c r="K18" s="22">
        <f t="shared" ref="K18:K28" si="13">J18-I18</f>
        <v>9.8400000000000034</v>
      </c>
      <c r="L18" s="24">
        <f t="shared" ref="L18:L28" si="14">K18/I18</f>
        <v>5.6554974423817475E-2</v>
      </c>
      <c r="M18" s="22">
        <f t="shared" si="11"/>
        <v>20.54000000000002</v>
      </c>
      <c r="N18" s="52">
        <f t="shared" si="12"/>
        <v>0.12578847449323302</v>
      </c>
      <c r="O18" s="52">
        <f t="shared" si="6"/>
        <v>0.63394027174287881</v>
      </c>
    </row>
    <row r="19" spans="1:15" x14ac:dyDescent="0.25">
      <c r="A19" s="31"/>
      <c r="B19" s="56" t="s">
        <v>155</v>
      </c>
      <c r="C19" s="106">
        <v>188.24</v>
      </c>
      <c r="D19" s="66">
        <f t="shared" si="7"/>
        <v>2.4077738452624134E-2</v>
      </c>
      <c r="E19" s="21"/>
      <c r="F19" s="22">
        <f>ROUND('PU Wise OWE'!$J$126/10000,2)</f>
        <v>198.27</v>
      </c>
      <c r="G19" s="24">
        <f t="shared" si="8"/>
        <v>2.397170837867247E-2</v>
      </c>
      <c r="H19" s="70">
        <f>ROUND('PU Wise OWE'!$J$128/10000,2)</f>
        <v>102.34</v>
      </c>
      <c r="I19" s="22">
        <f>ROUND('PU Wise OWE'!$J$127/10000,2)</f>
        <v>118.96</v>
      </c>
      <c r="J19" s="23">
        <f>ROUND('PU Wise OWE'!$J$129/10000,2)</f>
        <v>131.63</v>
      </c>
      <c r="K19" s="22">
        <f t="shared" si="13"/>
        <v>12.670000000000002</v>
      </c>
      <c r="L19" s="24">
        <f t="shared" si="14"/>
        <v>0.10650638870208476</v>
      </c>
      <c r="M19" s="22">
        <f t="shared" si="11"/>
        <v>29.289999999999992</v>
      </c>
      <c r="N19" s="52">
        <f t="shared" si="12"/>
        <v>0.28620285323431688</v>
      </c>
      <c r="O19" s="52">
        <f t="shared" si="6"/>
        <v>0.66389267160942145</v>
      </c>
    </row>
    <row r="20" spans="1:15" x14ac:dyDescent="0.25">
      <c r="A20" s="31"/>
      <c r="B20" s="20" t="s">
        <v>156</v>
      </c>
      <c r="C20" s="105">
        <v>12.03</v>
      </c>
      <c r="D20" s="66">
        <f t="shared" si="7"/>
        <v>1.5387547470519991E-3</v>
      </c>
      <c r="E20" s="21"/>
      <c r="F20" s="22">
        <f>ROUND('PU Wise OWE'!$K$126/10000,2)</f>
        <v>11.75</v>
      </c>
      <c r="G20" s="24">
        <f t="shared" si="8"/>
        <v>1.4206262846088744E-3</v>
      </c>
      <c r="H20" s="70">
        <f>ROUND('PU Wise OWE'!$K$128/10000,2)</f>
        <v>4.24</v>
      </c>
      <c r="I20" s="22">
        <f>ROUND('PU Wise OWE'!$K$127/10000,2)</f>
        <v>7.05</v>
      </c>
      <c r="J20" s="23">
        <f>ROUND('PU Wise OWE'!$K$129/10000,2)</f>
        <v>0.99</v>
      </c>
      <c r="K20" s="22">
        <f t="shared" si="13"/>
        <v>-6.06</v>
      </c>
      <c r="L20" s="24">
        <f t="shared" si="14"/>
        <v>-0.8595744680851064</v>
      </c>
      <c r="M20" s="22">
        <f t="shared" si="11"/>
        <v>-3.25</v>
      </c>
      <c r="N20" s="52">
        <f t="shared" si="12"/>
        <v>-0.76650943396226412</v>
      </c>
      <c r="O20" s="52">
        <f t="shared" si="6"/>
        <v>8.4255319148936164E-2</v>
      </c>
    </row>
    <row r="21" spans="1:15" x14ac:dyDescent="0.25">
      <c r="A21" s="31"/>
      <c r="B21" s="20" t="s">
        <v>157</v>
      </c>
      <c r="C21" s="105">
        <v>48.93</v>
      </c>
      <c r="D21" s="66">
        <f t="shared" si="7"/>
        <v>6.2586259163137422E-3</v>
      </c>
      <c r="E21" s="21"/>
      <c r="F21" s="22">
        <f>ROUND('PU Wise OWE'!$L$126/10000,2)</f>
        <v>52.98</v>
      </c>
      <c r="G21" s="24">
        <f t="shared" si="8"/>
        <v>6.4055132390279284E-3</v>
      </c>
      <c r="H21" s="70">
        <f>ROUND('PU Wise OWE'!$L$128/10000,2)</f>
        <v>32.659999999999997</v>
      </c>
      <c r="I21" s="22">
        <f>ROUND('PU Wise OWE'!$L$127/10000,2)</f>
        <v>31.79</v>
      </c>
      <c r="J21" s="23">
        <f>ROUND('PU Wise OWE'!$L$129/10000,2)</f>
        <v>23.02</v>
      </c>
      <c r="K21" s="22">
        <f t="shared" si="13"/>
        <v>-8.77</v>
      </c>
      <c r="L21" s="24">
        <f t="shared" si="14"/>
        <v>-0.2758729160113243</v>
      </c>
      <c r="M21" s="22">
        <f t="shared" si="11"/>
        <v>-9.639999999999997</v>
      </c>
      <c r="N21" s="52">
        <f t="shared" si="12"/>
        <v>-0.29516227801592154</v>
      </c>
      <c r="O21" s="52">
        <f t="shared" si="6"/>
        <v>0.43450358625896568</v>
      </c>
    </row>
    <row r="22" spans="1:15" x14ac:dyDescent="0.25">
      <c r="A22" s="31"/>
      <c r="B22" s="20" t="s">
        <v>179</v>
      </c>
      <c r="C22" s="105">
        <v>120.4</v>
      </c>
      <c r="D22" s="66">
        <f t="shared" si="7"/>
        <v>1.540033844929848E-2</v>
      </c>
      <c r="E22" s="21"/>
      <c r="F22" s="22">
        <f>ROUND('PU Wise OWE'!$M$126/10000,2)</f>
        <v>149.94999999999999</v>
      </c>
      <c r="G22" s="24">
        <f t="shared" si="8"/>
        <v>1.8129609478902187E-2</v>
      </c>
      <c r="H22" s="70">
        <f>ROUND('PU Wise OWE'!$M$128/10000,2)</f>
        <v>81</v>
      </c>
      <c r="I22" s="22">
        <f>ROUND('PU Wise OWE'!$M$127/10000,2)</f>
        <v>89.97</v>
      </c>
      <c r="J22" s="23">
        <f>ROUND('PU Wise OWE'!$M$129/10000,2)</f>
        <v>88.09</v>
      </c>
      <c r="K22" s="22">
        <f t="shared" ref="K22" si="15">J22-I22</f>
        <v>-1.8799999999999955</v>
      </c>
      <c r="L22" s="24">
        <f t="shared" ref="L22" si="16">K22/I22</f>
        <v>-2.0895854173613376E-2</v>
      </c>
      <c r="M22" s="22">
        <f t="shared" si="11"/>
        <v>7.0900000000000034</v>
      </c>
      <c r="N22" s="52">
        <f t="shared" si="12"/>
        <v>8.7530864197530908E-2</v>
      </c>
      <c r="O22" s="52">
        <f t="shared" si="6"/>
        <v>0.58746248749583196</v>
      </c>
    </row>
    <row r="23" spans="1:15" x14ac:dyDescent="0.25">
      <c r="A23" s="31"/>
      <c r="B23" s="56" t="s">
        <v>158</v>
      </c>
      <c r="C23" s="106">
        <v>88.73</v>
      </c>
      <c r="D23" s="66">
        <f t="shared" si="7"/>
        <v>1.1349435470151612E-2</v>
      </c>
      <c r="E23" s="21"/>
      <c r="F23" s="22">
        <f>ROUND('PU Wise OWE'!$P$126/10000,2)</f>
        <v>92.29</v>
      </c>
      <c r="G23" s="24">
        <f t="shared" si="8"/>
        <v>1.1158263813323662E-2</v>
      </c>
      <c r="H23" s="70">
        <f>ROUND('PU Wise OWE'!$P$128/10000,2)</f>
        <v>61.94</v>
      </c>
      <c r="I23" s="22">
        <f>ROUND('PU Wise OWE'!$P$127/10000,2)</f>
        <v>55.38</v>
      </c>
      <c r="J23" s="23">
        <f>ROUND('PU Wise OWE'!$P$129/10000,2)</f>
        <v>66.680000000000007</v>
      </c>
      <c r="K23" s="22">
        <f t="shared" si="13"/>
        <v>11.300000000000004</v>
      </c>
      <c r="L23" s="24">
        <f t="shared" si="14"/>
        <v>0.20404478150957031</v>
      </c>
      <c r="M23" s="22">
        <f t="shared" si="11"/>
        <v>4.7400000000000091</v>
      </c>
      <c r="N23" s="52">
        <f t="shared" si="12"/>
        <v>7.6525670003229088E-2</v>
      </c>
      <c r="O23" s="52">
        <f t="shared" si="6"/>
        <v>0.72250514681980715</v>
      </c>
    </row>
    <row r="24" spans="1:15" x14ac:dyDescent="0.25">
      <c r="B24" s="56" t="s">
        <v>159</v>
      </c>
      <c r="C24" s="106">
        <v>81.78</v>
      </c>
      <c r="D24" s="66">
        <f t="shared" si="7"/>
        <v>1.0460462445046757E-2</v>
      </c>
      <c r="E24" s="21"/>
      <c r="F24" s="22">
        <f>ROUND('PU Wise OWE'!$S$126/10000,2)</f>
        <v>89.03</v>
      </c>
      <c r="G24" s="24">
        <f t="shared" si="8"/>
        <v>1.0764115584572603E-2</v>
      </c>
      <c r="H24" s="70">
        <f>ROUND('PU Wise OWE'!$S$128/10000,2)</f>
        <v>76.73</v>
      </c>
      <c r="I24" s="22">
        <f>ROUND('PU Wise OWE'!$S$127/10000,2)</f>
        <v>71.23</v>
      </c>
      <c r="J24" s="23">
        <f>ROUND('PU Wise OWE'!$S$129/10000,2)</f>
        <v>79.790000000000006</v>
      </c>
      <c r="K24" s="22">
        <f t="shared" si="13"/>
        <v>8.5600000000000023</v>
      </c>
      <c r="L24" s="24">
        <f t="shared" si="14"/>
        <v>0.12017408395339045</v>
      </c>
      <c r="M24" s="22">
        <f t="shared" si="11"/>
        <v>3.0600000000000023</v>
      </c>
      <c r="N24" s="52">
        <f t="shared" si="12"/>
        <v>3.9880099048612047E-2</v>
      </c>
      <c r="O24" s="52">
        <f t="shared" si="6"/>
        <v>0.8962147590699765</v>
      </c>
    </row>
    <row r="25" spans="1:15" x14ac:dyDescent="0.25">
      <c r="B25" s="56" t="s">
        <v>160</v>
      </c>
      <c r="C25" s="106">
        <v>90.5</v>
      </c>
      <c r="D25" s="66">
        <f t="shared" si="7"/>
        <v>1.1575835794530833E-2</v>
      </c>
      <c r="E25" s="21"/>
      <c r="F25" s="22">
        <f>ROUND('PU Wise OWE'!$T$126/10000,2)</f>
        <v>83.15</v>
      </c>
      <c r="G25" s="24">
        <f t="shared" si="8"/>
        <v>1.0053197920444928E-2</v>
      </c>
      <c r="H25" s="70">
        <f>ROUND('PU Wise OWE'!$T$128/10000,2)</f>
        <v>56.1</v>
      </c>
      <c r="I25" s="22">
        <f>ROUND('PU Wise OWE'!$T$127/10000,2)</f>
        <v>49.89</v>
      </c>
      <c r="J25" s="23">
        <f>ROUND('PU Wise OWE'!$T$129/10000,2)</f>
        <v>72.33</v>
      </c>
      <c r="K25" s="22">
        <f t="shared" si="13"/>
        <v>22.439999999999998</v>
      </c>
      <c r="L25" s="24">
        <f t="shared" si="14"/>
        <v>0.44978953698135893</v>
      </c>
      <c r="M25" s="22">
        <f t="shared" si="11"/>
        <v>16.229999999999997</v>
      </c>
      <c r="N25" s="52">
        <f t="shared" si="12"/>
        <v>0.28930481283422455</v>
      </c>
      <c r="O25" s="52">
        <f t="shared" si="6"/>
        <v>0.86987372218881531</v>
      </c>
    </row>
    <row r="26" spans="1:15" x14ac:dyDescent="0.25">
      <c r="B26" s="56" t="s">
        <v>178</v>
      </c>
      <c r="C26" s="106">
        <v>41.07</v>
      </c>
      <c r="D26" s="66">
        <f t="shared" si="7"/>
        <v>5.2532549843246554E-3</v>
      </c>
      <c r="E26" s="22"/>
      <c r="F26" s="22">
        <f>ROUND('PU Wise OWE'!$V$126/10000,2)</f>
        <v>34.5</v>
      </c>
      <c r="G26" s="24">
        <f t="shared" si="8"/>
        <v>4.1712005803409506E-3</v>
      </c>
      <c r="H26" s="70">
        <f>ROUND('PU Wise OWE'!$V$128/10000,2)</f>
        <v>27.94</v>
      </c>
      <c r="I26" s="22">
        <f>ROUND('PU Wise OWE'!$V$127/10000,2)</f>
        <v>20.7</v>
      </c>
      <c r="J26" s="23">
        <f>ROUND('PU Wise OWE'!$V$129/10000,2)</f>
        <v>28.71</v>
      </c>
      <c r="K26" s="22">
        <f t="shared" si="13"/>
        <v>8.0100000000000016</v>
      </c>
      <c r="L26" s="24">
        <f t="shared" si="14"/>
        <v>0.38695652173913053</v>
      </c>
      <c r="M26" s="22">
        <f t="shared" si="11"/>
        <v>0.76999999999999957</v>
      </c>
      <c r="N26" s="52">
        <f t="shared" si="12"/>
        <v>2.7559055118110218E-2</v>
      </c>
      <c r="O26" s="52">
        <f t="shared" si="6"/>
        <v>0.83217391304347832</v>
      </c>
    </row>
    <row r="27" spans="1:15" x14ac:dyDescent="0.25">
      <c r="B27" s="56" t="s">
        <v>177</v>
      </c>
      <c r="C27" s="106">
        <v>169.78</v>
      </c>
      <c r="D27" s="66">
        <f t="shared" si="7"/>
        <v>2.1716523770115414E-2</v>
      </c>
      <c r="E27" s="22"/>
      <c r="F27" s="22">
        <f>ROUND('PU Wise OWE'!$AC$126/10000,2)</f>
        <v>133.18</v>
      </c>
      <c r="G27" s="24">
        <f t="shared" si="8"/>
        <v>1.6102043283762545E-2</v>
      </c>
      <c r="H27" s="70">
        <f>ROUND('PU Wise OWE'!$AC$128/10000,2)</f>
        <v>82.8</v>
      </c>
      <c r="I27" s="22">
        <f>ROUND('PU Wise OWE'!$AC$127/10000,2)</f>
        <v>79.91</v>
      </c>
      <c r="J27" s="23">
        <f>ROUND('PU Wise OWE'!$AC$129/10000,2)</f>
        <v>82.62</v>
      </c>
      <c r="K27" s="22">
        <f t="shared" ref="K27" si="17">J27-I27</f>
        <v>2.710000000000008</v>
      </c>
      <c r="L27" s="24">
        <f t="shared" ref="L27" si="18">K27/I27</f>
        <v>3.3913152296333474E-2</v>
      </c>
      <c r="M27" s="22">
        <f t="shared" si="11"/>
        <v>-0.17999999999999261</v>
      </c>
      <c r="N27" s="52">
        <f t="shared" si="12"/>
        <v>-2.1739130434781716E-3</v>
      </c>
      <c r="O27" s="52">
        <f t="shared" si="6"/>
        <v>0.62036341793062022</v>
      </c>
    </row>
    <row r="28" spans="1:15" x14ac:dyDescent="0.25">
      <c r="B28" s="204" t="s">
        <v>149</v>
      </c>
      <c r="C28" s="205">
        <f>SUM(C13:C27)</f>
        <v>4551.0499999999993</v>
      </c>
      <c r="D28" s="207">
        <f>SUM(D13:D27)</f>
        <v>0.58212383969833748</v>
      </c>
      <c r="E28" s="205"/>
      <c r="F28" s="205">
        <f>F5</f>
        <v>4962.2700000000004</v>
      </c>
      <c r="G28" s="207">
        <f t="shared" ref="G28:J28" si="19">SUM(G13:G27)</f>
        <v>0.59653004473461491</v>
      </c>
      <c r="H28" s="206">
        <f>SUM(H13:H27)</f>
        <v>2742.78</v>
      </c>
      <c r="I28" s="205">
        <f t="shared" si="19"/>
        <v>2972.2099999999996</v>
      </c>
      <c r="J28" s="205">
        <f t="shared" si="19"/>
        <v>3008.2399999999993</v>
      </c>
      <c r="K28" s="205">
        <f t="shared" si="13"/>
        <v>36.029999999999745</v>
      </c>
      <c r="L28" s="207">
        <f t="shared" si="14"/>
        <v>1.2122292839334955E-2</v>
      </c>
      <c r="M28" s="205">
        <f>J28-H28</f>
        <v>265.45999999999913</v>
      </c>
      <c r="N28" s="208">
        <f>M28/H28</f>
        <v>9.6785013745177922E-2</v>
      </c>
      <c r="O28" s="208">
        <f t="shared" si="6"/>
        <v>0.60622255540307135</v>
      </c>
    </row>
    <row r="29" spans="1:15" x14ac:dyDescent="0.25">
      <c r="J29" s="68"/>
    </row>
    <row r="31" spans="1:15" x14ac:dyDescent="0.25">
      <c r="B31" s="75" t="s">
        <v>180</v>
      </c>
      <c r="C31" s="75"/>
      <c r="D31" s="77"/>
      <c r="H31" s="76"/>
      <c r="M31" s="36" t="s">
        <v>150</v>
      </c>
    </row>
    <row r="32" spans="1:15" ht="15" customHeight="1" x14ac:dyDescent="0.25">
      <c r="B32" s="296" t="s">
        <v>151</v>
      </c>
      <c r="C32" s="291" t="s">
        <v>302</v>
      </c>
      <c r="D32" s="291" t="s">
        <v>173</v>
      </c>
      <c r="E32" s="291"/>
      <c r="F32" s="289" t="str">
        <f>'PU Wise OWE'!$B$5</f>
        <v xml:space="preserve">OBG(SL) 2021-22 </v>
      </c>
      <c r="G32" s="291" t="s">
        <v>206</v>
      </c>
      <c r="H32" s="289" t="str">
        <f>'PU Wise OWE'!$B$7</f>
        <v>Actuals upto Oct' 20</v>
      </c>
      <c r="I32" s="289" t="str">
        <f>'PU Wise OWE'!$B$6</f>
        <v>BP to end  Oct-21</v>
      </c>
      <c r="J32" s="289" t="str">
        <f>'PU Wise OWE'!$B$8</f>
        <v>Actuals upto Oct' 21</v>
      </c>
      <c r="K32" s="267" t="s">
        <v>207</v>
      </c>
      <c r="L32" s="267"/>
      <c r="M32" s="267" t="s">
        <v>147</v>
      </c>
      <c r="N32" s="267"/>
      <c r="O32" s="268" t="s">
        <v>314</v>
      </c>
    </row>
    <row r="33" spans="2:15" ht="18" customHeight="1" x14ac:dyDescent="0.25">
      <c r="B33" s="297"/>
      <c r="C33" s="290"/>
      <c r="D33" s="290"/>
      <c r="E33" s="290"/>
      <c r="F33" s="290"/>
      <c r="G33" s="290"/>
      <c r="H33" s="290"/>
      <c r="I33" s="290"/>
      <c r="J33" s="290"/>
      <c r="K33" s="79" t="s">
        <v>145</v>
      </c>
      <c r="L33" s="80" t="s">
        <v>146</v>
      </c>
      <c r="M33" s="79" t="s">
        <v>145</v>
      </c>
      <c r="N33" s="80" t="s">
        <v>146</v>
      </c>
      <c r="O33" s="268"/>
    </row>
    <row r="34" spans="2:15" x14ac:dyDescent="0.25">
      <c r="B34" s="84" t="s">
        <v>181</v>
      </c>
      <c r="C34" s="107">
        <v>10.44</v>
      </c>
      <c r="D34" s="66">
        <f t="shared" ref="D34:D37" si="20">C34/$C$7</f>
        <v>1.335378184474054E-3</v>
      </c>
      <c r="E34" s="21"/>
      <c r="F34" s="22">
        <f>ROUND(('PU Wise OWE'!$AE$126+'PU Wise OWE'!$AF$126)/10000,2)</f>
        <v>9.56</v>
      </c>
      <c r="G34" s="24">
        <f t="shared" ref="G34:G37" si="21">F34/$F$7</f>
        <v>1.1558457260307097E-3</v>
      </c>
      <c r="H34" s="70">
        <f>ROUND(('PU Wise OWE'!$AE$128+'PU Wise OWE'!$AF$128)/10000,2)</f>
        <v>6.28</v>
      </c>
      <c r="I34" s="22">
        <f>ROUND(('PU Wise OWE'!$AE$127+'PU Wise OWE'!$AF$127)/10000,2)</f>
        <v>5.73</v>
      </c>
      <c r="J34" s="23">
        <f>ROUND(('PU Wise OWE'!$AE$129+'PU Wise OWE'!$AF$129)/10000,2)</f>
        <v>4.5</v>
      </c>
      <c r="K34" s="22">
        <f t="shared" ref="K34:K36" si="22">J34-I34</f>
        <v>-1.2300000000000004</v>
      </c>
      <c r="L34" s="24">
        <f t="shared" ref="L34:L36" si="23">K34/I34</f>
        <v>-0.21465968586387441</v>
      </c>
      <c r="M34" s="22">
        <f t="shared" ref="M34" si="24">J34-H34</f>
        <v>-1.7800000000000002</v>
      </c>
      <c r="N34" s="52">
        <f t="shared" ref="N34" si="25">M34/H34</f>
        <v>-0.28343949044585992</v>
      </c>
      <c r="O34" s="52">
        <f t="shared" ref="O34:O37" si="26">J34/F34</f>
        <v>0.47071129707112969</v>
      </c>
    </row>
    <row r="35" spans="2:15" ht="16.5" customHeight="1" x14ac:dyDescent="0.25">
      <c r="B35" s="84" t="s">
        <v>182</v>
      </c>
      <c r="C35" s="107">
        <v>21.76</v>
      </c>
      <c r="D35" s="66">
        <f t="shared" si="20"/>
        <v>2.783316982198795E-3</v>
      </c>
      <c r="E35" s="21"/>
      <c r="F35" s="22">
        <f>ROUND('PU Wise OWE'!$AG$126/10000,2)</f>
        <v>7.15</v>
      </c>
      <c r="G35" s="24">
        <f t="shared" si="21"/>
        <v>8.6446620723008101E-4</v>
      </c>
      <c r="H35" s="70">
        <f>ROUND('PU Wise OWE'!$AG$128/10000,2)</f>
        <v>13.25</v>
      </c>
      <c r="I35" s="22">
        <f>ROUND('PU Wise OWE'!$AG$127/10000,2)</f>
        <v>4.33</v>
      </c>
      <c r="J35" s="23">
        <f>ROUND('PU Wise OWE'!$AG$129/10000,2)</f>
        <v>8.76</v>
      </c>
      <c r="K35" s="22">
        <f t="shared" si="22"/>
        <v>4.43</v>
      </c>
      <c r="L35" s="24">
        <f t="shared" si="23"/>
        <v>1.0230946882217089</v>
      </c>
      <c r="M35" s="22">
        <f t="shared" ref="M35:M37" si="27">J35-H35</f>
        <v>-4.49</v>
      </c>
      <c r="N35" s="52">
        <f t="shared" ref="N35:N37" si="28">M35/H35</f>
        <v>-0.33886792452830189</v>
      </c>
      <c r="O35" s="52">
        <f t="shared" si="26"/>
        <v>1.2251748251748251</v>
      </c>
    </row>
    <row r="36" spans="2:15" ht="15.75" customHeight="1" x14ac:dyDescent="0.25">
      <c r="B36" s="84" t="s">
        <v>183</v>
      </c>
      <c r="C36" s="107">
        <v>2.42</v>
      </c>
      <c r="D36" s="66">
        <f t="shared" si="20"/>
        <v>3.0954168643938801E-4</v>
      </c>
      <c r="E36" s="21"/>
      <c r="F36" s="22">
        <f>ROUND('PU Wise OWE'!$AJ$126/10000,2)</f>
        <v>2.23</v>
      </c>
      <c r="G36" s="24">
        <f t="shared" si="21"/>
        <v>2.6961673316406725E-4</v>
      </c>
      <c r="H36" s="70">
        <f>ROUND('PU Wise OWE'!$AJ$128/10000,2)</f>
        <v>1.56</v>
      </c>
      <c r="I36" s="22">
        <f>ROUND('PU Wise OWE'!$AJ$127/10000,2)</f>
        <v>1.33</v>
      </c>
      <c r="J36" s="23">
        <f>ROUND('PU Wise OWE'!$AJ$129/10000,2)</f>
        <v>1.35</v>
      </c>
      <c r="K36" s="22">
        <f t="shared" si="22"/>
        <v>2.0000000000000018E-2</v>
      </c>
      <c r="L36" s="24">
        <f t="shared" si="23"/>
        <v>1.5037593984962419E-2</v>
      </c>
      <c r="M36" s="22">
        <f t="shared" si="27"/>
        <v>-0.20999999999999996</v>
      </c>
      <c r="N36" s="52">
        <f t="shared" si="28"/>
        <v>-0.13461538461538458</v>
      </c>
      <c r="O36" s="52">
        <f t="shared" si="26"/>
        <v>0.60538116591928259</v>
      </c>
    </row>
    <row r="37" spans="2:15" x14ac:dyDescent="0.25">
      <c r="B37" s="25" t="s">
        <v>149</v>
      </c>
      <c r="C37" s="26">
        <v>34.619999999999997</v>
      </c>
      <c r="D37" s="67">
        <f t="shared" si="20"/>
        <v>4.4282368531122366E-3</v>
      </c>
      <c r="E37" s="26"/>
      <c r="F37" s="74">
        <f t="shared" ref="F37:J37" si="29">SUM(F34:F36)</f>
        <v>18.940000000000001</v>
      </c>
      <c r="G37" s="54">
        <f t="shared" si="21"/>
        <v>2.2899286664248581E-3</v>
      </c>
      <c r="H37" s="74">
        <f>SUM(H34:H36)</f>
        <v>21.09</v>
      </c>
      <c r="I37" s="74">
        <f t="shared" si="29"/>
        <v>11.39</v>
      </c>
      <c r="J37" s="74">
        <f t="shared" si="29"/>
        <v>14.61</v>
      </c>
      <c r="K37" s="26">
        <f t="shared" ref="K37" si="30">J37-I37</f>
        <v>3.2199999999999989</v>
      </c>
      <c r="L37" s="54">
        <f t="shared" ref="L37" si="31">K37/I37</f>
        <v>0.28270412642668996</v>
      </c>
      <c r="M37" s="26">
        <f t="shared" si="27"/>
        <v>-6.48</v>
      </c>
      <c r="N37" s="55">
        <f t="shared" si="28"/>
        <v>-0.30725462304409673</v>
      </c>
      <c r="O37" s="55">
        <f t="shared" si="26"/>
        <v>0.7713833157338964</v>
      </c>
    </row>
    <row r="39" spans="2:15" x14ac:dyDescent="0.25">
      <c r="B39" s="82"/>
      <c r="C39" s="82"/>
      <c r="D39" s="82"/>
      <c r="H39" s="83"/>
      <c r="M39" s="36" t="s">
        <v>150</v>
      </c>
    </row>
    <row r="40" spans="2:15" ht="15" customHeight="1" x14ac:dyDescent="0.25">
      <c r="B40" s="268" t="s">
        <v>164</v>
      </c>
      <c r="C40" s="291" t="s">
        <v>302</v>
      </c>
      <c r="D40" s="291" t="s">
        <v>173</v>
      </c>
      <c r="E40" s="292"/>
      <c r="F40" s="289" t="str">
        <f>'PU Wise OWE'!$B$5</f>
        <v xml:space="preserve">OBG(SL) 2021-22 </v>
      </c>
      <c r="G40" s="291" t="s">
        <v>206</v>
      </c>
      <c r="H40" s="289" t="str">
        <f>'PU Wise OWE'!$B$7</f>
        <v>Actuals upto Oct' 20</v>
      </c>
      <c r="I40" s="289" t="str">
        <f>'PU Wise OWE'!$B$6</f>
        <v>BP to end  Oct-21</v>
      </c>
      <c r="J40" s="289" t="str">
        <f>'PU Wise OWE'!$B$8</f>
        <v>Actuals upto Oct' 21</v>
      </c>
      <c r="K40" s="267" t="s">
        <v>207</v>
      </c>
      <c r="L40" s="267"/>
      <c r="M40" s="267" t="s">
        <v>147</v>
      </c>
      <c r="N40" s="267"/>
      <c r="O40" s="268" t="s">
        <v>314</v>
      </c>
    </row>
    <row r="41" spans="2:15" ht="17.25" customHeight="1" x14ac:dyDescent="0.25">
      <c r="B41" s="268"/>
      <c r="C41" s="290"/>
      <c r="D41" s="290"/>
      <c r="E41" s="293"/>
      <c r="F41" s="290"/>
      <c r="G41" s="290"/>
      <c r="H41" s="290"/>
      <c r="I41" s="290"/>
      <c r="J41" s="290"/>
      <c r="K41" s="79" t="s">
        <v>145</v>
      </c>
      <c r="L41" s="80" t="s">
        <v>146</v>
      </c>
      <c r="M41" s="79" t="s">
        <v>145</v>
      </c>
      <c r="N41" s="80" t="s">
        <v>146</v>
      </c>
      <c r="O41" s="268"/>
    </row>
    <row r="42" spans="2:15" x14ac:dyDescent="0.25">
      <c r="B42" s="27" t="s">
        <v>165</v>
      </c>
      <c r="C42" s="104">
        <v>273.47000000000003</v>
      </c>
      <c r="D42" s="66">
        <f t="shared" ref="D42:D50" si="32">C42/$C$7</f>
        <v>3.4979489665528697E-2</v>
      </c>
      <c r="E42" s="293"/>
      <c r="F42" s="21">
        <f>SUM(F43:F48)</f>
        <v>213.87</v>
      </c>
      <c r="G42" s="24">
        <f t="shared" ref="G42:G50" si="33">F42/$F$7</f>
        <v>2.5857816467174465E-2</v>
      </c>
      <c r="H42" s="70">
        <f>SUM(H43:H48)</f>
        <v>145.82999999999998</v>
      </c>
      <c r="I42" s="21">
        <f>SUM(I43:I48)</f>
        <v>128.32999999999998</v>
      </c>
      <c r="J42" s="21">
        <f>SUM(J43:J48)</f>
        <v>320.42</v>
      </c>
      <c r="K42" s="22">
        <f>J42-I42</f>
        <v>192.09000000000003</v>
      </c>
      <c r="L42" s="24">
        <f>K42/I42</f>
        <v>1.496844073872049</v>
      </c>
      <c r="M42" s="22">
        <f t="shared" ref="M42" si="34">J42-H42</f>
        <v>174.59000000000003</v>
      </c>
      <c r="N42" s="52">
        <f t="shared" ref="N42" si="35">M42/H42</f>
        <v>1.19721593636426</v>
      </c>
      <c r="O42" s="52">
        <f t="shared" ref="O42:O49" si="36">J42/F42</f>
        <v>1.4981998410249218</v>
      </c>
    </row>
    <row r="43" spans="2:15" x14ac:dyDescent="0.25">
      <c r="B43" s="57" t="s">
        <v>161</v>
      </c>
      <c r="C43" s="21">
        <v>19.690000000000001</v>
      </c>
      <c r="D43" s="66">
        <f t="shared" si="32"/>
        <v>2.5185437214841119E-3</v>
      </c>
      <c r="E43" s="293"/>
      <c r="F43" s="21">
        <f>ROUND('PU Wise OWE'!$AK$82/10000,2)</f>
        <v>14.25</v>
      </c>
      <c r="G43" s="24">
        <f t="shared" si="33"/>
        <v>1.7228871962277838E-3</v>
      </c>
      <c r="H43" s="70">
        <f>ROUND('PU Wise OWE'!$AK$84/10000,2)</f>
        <v>7.88</v>
      </c>
      <c r="I43" s="21">
        <f>ROUND('PU Wise OWE'!$AK$83/10000,2)</f>
        <v>8.5500000000000007</v>
      </c>
      <c r="J43" s="21">
        <f>ROUND('PU Wise OWE'!$AK$85/10000,2)</f>
        <v>28.19</v>
      </c>
      <c r="K43" s="22">
        <f t="shared" ref="K43:K50" si="37">J43-I43</f>
        <v>19.64</v>
      </c>
      <c r="L43" s="24">
        <f t="shared" ref="L43:L50" si="38">K43/I43</f>
        <v>2.2970760233918126</v>
      </c>
      <c r="M43" s="22">
        <f t="shared" ref="M43:M49" si="39">J43-H43</f>
        <v>20.310000000000002</v>
      </c>
      <c r="N43" s="52">
        <f t="shared" ref="N43:N49" si="40">M43/H43</f>
        <v>2.5774111675126905</v>
      </c>
      <c r="O43" s="52">
        <f t="shared" si="36"/>
        <v>1.9782456140350879</v>
      </c>
    </row>
    <row r="44" spans="2:15" s="256" customFormat="1" x14ac:dyDescent="0.25">
      <c r="B44" s="257" t="s">
        <v>323</v>
      </c>
      <c r="C44" s="21">
        <v>0</v>
      </c>
      <c r="D44" s="66">
        <f t="shared" si="32"/>
        <v>0</v>
      </c>
      <c r="E44" s="293"/>
      <c r="F44" s="21">
        <v>0</v>
      </c>
      <c r="G44" s="24">
        <f t="shared" si="33"/>
        <v>0</v>
      </c>
      <c r="H44" s="70">
        <v>0</v>
      </c>
      <c r="I44" s="21">
        <v>0</v>
      </c>
      <c r="J44" s="21">
        <f>ROUND('PU Wise OWE'!$AP$85/10000,2)</f>
        <v>72.709999999999994</v>
      </c>
      <c r="K44" s="22">
        <f t="shared" ref="K44" si="41">J44-I44</f>
        <v>72.709999999999994</v>
      </c>
      <c r="L44" s="24" t="e">
        <f t="shared" ref="L44" si="42">K44/I44</f>
        <v>#DIV/0!</v>
      </c>
      <c r="M44" s="22">
        <f t="shared" ref="M44" si="43">J44-H44</f>
        <v>72.709999999999994</v>
      </c>
      <c r="N44" s="52" t="e">
        <f t="shared" ref="N44" si="44">M44/H44</f>
        <v>#DIV/0!</v>
      </c>
      <c r="O44" s="52" t="e">
        <f t="shared" ref="O44" si="45">J44/F44</f>
        <v>#DIV/0!</v>
      </c>
    </row>
    <row r="45" spans="2:15" x14ac:dyDescent="0.25">
      <c r="B45" s="58" t="s">
        <v>168</v>
      </c>
      <c r="C45" s="108">
        <v>114.4</v>
      </c>
      <c r="D45" s="66">
        <f t="shared" si="32"/>
        <v>1.4632879722589252E-2</v>
      </c>
      <c r="E45" s="293"/>
      <c r="F45" s="21">
        <f>ROUND('PU Wise OWE'!$AR$82/10000,2)</f>
        <v>78.95</v>
      </c>
      <c r="G45" s="24">
        <f t="shared" si="33"/>
        <v>9.5453995889251599E-3</v>
      </c>
      <c r="H45" s="70">
        <f>ROUND('PU Wise OWE'!$AR$84/10000,2)</f>
        <v>62.42</v>
      </c>
      <c r="I45" s="21">
        <f>ROUND('PU Wise OWE'!$AR$83/10000,2)</f>
        <v>47.37</v>
      </c>
      <c r="J45" s="21">
        <f>ROUND('PU Wise OWE'!$AR$85/10000,2)</f>
        <v>26.13</v>
      </c>
      <c r="K45" s="22">
        <f t="shared" ref="K45:K46" si="46">J45-I45</f>
        <v>-21.24</v>
      </c>
      <c r="L45" s="24">
        <f t="shared" ref="L45:L46" si="47">K45/I45</f>
        <v>-0.44838505383153893</v>
      </c>
      <c r="M45" s="22">
        <f t="shared" si="39"/>
        <v>-36.290000000000006</v>
      </c>
      <c r="N45" s="52">
        <f t="shared" si="40"/>
        <v>-0.58138417173982704</v>
      </c>
      <c r="O45" s="52">
        <f t="shared" si="36"/>
        <v>0.33096896770107659</v>
      </c>
    </row>
    <row r="46" spans="2:15" x14ac:dyDescent="0.25">
      <c r="B46" s="58" t="s">
        <v>169</v>
      </c>
      <c r="C46" s="108">
        <v>46.69</v>
      </c>
      <c r="D46" s="66">
        <f t="shared" si="32"/>
        <v>5.9721079916756304E-3</v>
      </c>
      <c r="E46" s="293"/>
      <c r="F46" s="21">
        <f>ROUND('PU Wise OWE'!$AU$82/10000,2)</f>
        <v>34.83</v>
      </c>
      <c r="G46" s="24">
        <f t="shared" si="33"/>
        <v>4.2110990206746463E-3</v>
      </c>
      <c r="H46" s="70">
        <f>ROUND('PU Wise OWE'!$AU$84/10000,2)</f>
        <v>23.59</v>
      </c>
      <c r="I46" s="21">
        <f>ROUND('PU Wise OWE'!$AU$83/10000,2)</f>
        <v>20.9</v>
      </c>
      <c r="J46" s="21">
        <f>ROUND('PU Wise OWE'!$AU$85/10000,2)</f>
        <v>10.91</v>
      </c>
      <c r="K46" s="22">
        <f t="shared" si="46"/>
        <v>-9.9899999999999984</v>
      </c>
      <c r="L46" s="24">
        <f t="shared" si="47"/>
        <v>-0.47799043062200952</v>
      </c>
      <c r="M46" s="22">
        <f t="shared" si="39"/>
        <v>-12.68</v>
      </c>
      <c r="N46" s="52">
        <f t="shared" si="40"/>
        <v>-0.53751589656634169</v>
      </c>
      <c r="O46" s="52">
        <f t="shared" si="36"/>
        <v>0.31323571633649155</v>
      </c>
    </row>
    <row r="47" spans="2:15" x14ac:dyDescent="0.25">
      <c r="B47" s="57" t="s">
        <v>166</v>
      </c>
      <c r="C47" s="21">
        <v>54.55</v>
      </c>
      <c r="D47" s="66">
        <f t="shared" si="32"/>
        <v>6.9774789236647173E-3</v>
      </c>
      <c r="E47" s="293"/>
      <c r="F47" s="21">
        <f>ROUND('PU Wise OWE'!$AZ$82/10000,2)</f>
        <v>31.73</v>
      </c>
      <c r="G47" s="24">
        <f t="shared" si="33"/>
        <v>3.8362954902671988E-3</v>
      </c>
      <c r="H47" s="70">
        <f>ROUND('PU Wise OWE'!$AZ$84/10000,2)</f>
        <v>21.38</v>
      </c>
      <c r="I47" s="21">
        <f>ROUND('PU Wise OWE'!$AZ$83/10000,2)</f>
        <v>19.04</v>
      </c>
      <c r="J47" s="21">
        <f>ROUND('PU Wise OWE'!$AZ$85/10000,2)</f>
        <v>64.31</v>
      </c>
      <c r="K47" s="22">
        <f t="shared" si="37"/>
        <v>45.27</v>
      </c>
      <c r="L47" s="24">
        <f t="shared" si="38"/>
        <v>2.3776260504201683</v>
      </c>
      <c r="M47" s="22">
        <f t="shared" si="39"/>
        <v>42.930000000000007</v>
      </c>
      <c r="N47" s="52">
        <f t="shared" si="40"/>
        <v>2.0079513564078582</v>
      </c>
      <c r="O47" s="52">
        <f t="shared" si="36"/>
        <v>2.0267885282067444</v>
      </c>
    </row>
    <row r="48" spans="2:15" x14ac:dyDescent="0.25">
      <c r="B48" s="58" t="s">
        <v>167</v>
      </c>
      <c r="C48" s="108">
        <v>38.14</v>
      </c>
      <c r="D48" s="66">
        <f t="shared" si="32"/>
        <v>4.878479306114983E-3</v>
      </c>
      <c r="E48" s="293"/>
      <c r="F48" s="21">
        <f>ROUND('PU Wise OWE'!$BA$82/10000,2)</f>
        <v>54.11</v>
      </c>
      <c r="G48" s="24">
        <f t="shared" si="33"/>
        <v>6.5421351710796757E-3</v>
      </c>
      <c r="H48" s="70">
        <f>ROUND('PU Wise OWE'!$BA$84/10000,2)</f>
        <v>30.56</v>
      </c>
      <c r="I48" s="21">
        <f>ROUND('PU Wise OWE'!$BA$83/10000,2)</f>
        <v>32.47</v>
      </c>
      <c r="J48" s="21">
        <f>ROUND('PU Wise OWE'!$BA$85/10000,2)</f>
        <v>118.17</v>
      </c>
      <c r="K48" s="22">
        <f t="shared" si="37"/>
        <v>85.7</v>
      </c>
      <c r="L48" s="24">
        <f t="shared" si="38"/>
        <v>2.6393594086849403</v>
      </c>
      <c r="M48" s="22">
        <f t="shared" si="39"/>
        <v>87.61</v>
      </c>
      <c r="N48" s="52">
        <f t="shared" si="40"/>
        <v>2.8668193717277486</v>
      </c>
      <c r="O48" s="52">
        <f t="shared" si="36"/>
        <v>2.1838846793568658</v>
      </c>
    </row>
    <row r="49" spans="2:15" x14ac:dyDescent="0.25">
      <c r="B49" s="59" t="s">
        <v>170</v>
      </c>
      <c r="C49" s="103">
        <v>663.48</v>
      </c>
      <c r="D49" s="66">
        <f t="shared" si="32"/>
        <v>8.4865585999506263E-2</v>
      </c>
      <c r="E49" s="293"/>
      <c r="F49" s="21">
        <f>ROUND('PU Wise OWE'!$AM$82/10000,2)</f>
        <v>685.16</v>
      </c>
      <c r="G49" s="24">
        <f t="shared" si="33"/>
        <v>8.2838834481924792E-2</v>
      </c>
      <c r="H49" s="70">
        <f>ROUND('PU Wise OWE'!$AM$84/10000,2)</f>
        <v>352.31</v>
      </c>
      <c r="I49" s="21">
        <f>ROUND('PU Wise OWE'!$AM$83/10000,2)</f>
        <v>411.1</v>
      </c>
      <c r="J49" s="21">
        <f>ROUND('PU Wise OWE'!$AM$85/10000,2)</f>
        <v>582.63</v>
      </c>
      <c r="K49" s="22">
        <f t="shared" si="37"/>
        <v>171.52999999999997</v>
      </c>
      <c r="L49" s="24">
        <f t="shared" si="38"/>
        <v>0.41724641206519086</v>
      </c>
      <c r="M49" s="22">
        <f t="shared" si="39"/>
        <v>230.32</v>
      </c>
      <c r="N49" s="52">
        <f t="shared" si="40"/>
        <v>0.65374244273509119</v>
      </c>
      <c r="O49" s="52">
        <f t="shared" si="36"/>
        <v>0.85035612119796844</v>
      </c>
    </row>
    <row r="50" spans="2:15" s="36" customFormat="1" x14ac:dyDescent="0.25">
      <c r="B50" s="60" t="s">
        <v>130</v>
      </c>
      <c r="C50" s="74">
        <f>C42+C49</f>
        <v>936.95</v>
      </c>
      <c r="D50" s="67">
        <f t="shared" si="32"/>
        <v>0.11984507566503497</v>
      </c>
      <c r="E50" s="294"/>
      <c r="F50" s="26">
        <f>F42+F49</f>
        <v>899.03</v>
      </c>
      <c r="G50" s="54">
        <f t="shared" si="33"/>
        <v>0.10869665094909926</v>
      </c>
      <c r="H50" s="74">
        <f>H42+H49</f>
        <v>498.14</v>
      </c>
      <c r="I50" s="26">
        <f>I42+I49</f>
        <v>539.43000000000006</v>
      </c>
      <c r="J50" s="26">
        <f>J42+J49</f>
        <v>903.05</v>
      </c>
      <c r="K50" s="26">
        <f t="shared" si="37"/>
        <v>363.61999999999989</v>
      </c>
      <c r="L50" s="54">
        <f t="shared" si="38"/>
        <v>0.67408190126615097</v>
      </c>
      <c r="M50" s="26">
        <f t="shared" ref="M50" si="48">J50-H50</f>
        <v>404.90999999999997</v>
      </c>
      <c r="N50" s="55">
        <f t="shared" ref="N50" si="49">M50/H50</f>
        <v>0.81284377885734926</v>
      </c>
      <c r="O50" s="55">
        <f t="shared" ref="O50" si="50">J50/F50</f>
        <v>1.0044714859348409</v>
      </c>
    </row>
    <row r="52" spans="2:15" x14ac:dyDescent="0.25">
      <c r="B52" s="75" t="s">
        <v>184</v>
      </c>
      <c r="C52" s="75"/>
    </row>
    <row r="53" spans="2:15" ht="47.25" customHeight="1" x14ac:dyDescent="0.25">
      <c r="B53" s="81" t="s">
        <v>185</v>
      </c>
      <c r="C53" s="109">
        <v>188.88</v>
      </c>
      <c r="D53" s="66">
        <f t="shared" ref="D53:D57" si="51">C53/$C$7</f>
        <v>2.4159600716806451E-2</v>
      </c>
      <c r="E53" s="284"/>
      <c r="F53" s="22">
        <f>ROUND('PU Wise OWE'!$AK$126/10000,2)-F43</f>
        <v>121.82</v>
      </c>
      <c r="G53" s="24">
        <f t="shared" ref="G53:G55" si="52">F53/$F$7</f>
        <v>1.4728569701366219E-2</v>
      </c>
      <c r="H53" s="70">
        <f>ROUND('PU Wise OWE'!$AK$128/10000,2)-H43</f>
        <v>94.89</v>
      </c>
      <c r="I53" s="22">
        <f>ROUND('PU Wise OWE'!$AK$127/10000,2)-I43</f>
        <v>73.09</v>
      </c>
      <c r="J53" s="22">
        <f>ROUND('PU Wise OWE'!$AK$129/10000,2)-J43</f>
        <v>66.28</v>
      </c>
      <c r="K53" s="22">
        <f>J53-I53</f>
        <v>-6.8100000000000023</v>
      </c>
      <c r="L53" s="24">
        <f>K53/I53</f>
        <v>-9.3172800656724619E-2</v>
      </c>
      <c r="M53" s="22">
        <f t="shared" ref="M53" si="53">J53-H53</f>
        <v>-28.61</v>
      </c>
      <c r="N53" s="52">
        <f t="shared" ref="N53" si="54">M53/H53</f>
        <v>-0.30150700811465908</v>
      </c>
      <c r="O53" s="52">
        <f t="shared" ref="O53:O55" si="55">J53/F53</f>
        <v>0.54408143162042366</v>
      </c>
    </row>
    <row r="54" spans="2:15" x14ac:dyDescent="0.25">
      <c r="B54" s="20" t="s">
        <v>162</v>
      </c>
      <c r="C54" s="105">
        <v>121.46</v>
      </c>
      <c r="D54" s="66">
        <f t="shared" si="51"/>
        <v>1.5535922824350441E-2</v>
      </c>
      <c r="E54" s="285"/>
      <c r="F54" s="22">
        <f>ROUND('PU Wise OWE'!$AL$126/10000,2)</f>
        <v>109.58</v>
      </c>
      <c r="G54" s="24">
        <f t="shared" si="52"/>
        <v>1.3248700278080039E-2</v>
      </c>
      <c r="H54" s="70">
        <f>ROUND('PU Wise OWE'!$AL$128/10000,2)</f>
        <v>82</v>
      </c>
      <c r="I54" s="22">
        <f>ROUND('PU Wise OWE'!$AL$127/10000,2)</f>
        <v>65.75</v>
      </c>
      <c r="J54" s="23">
        <f>ROUND('PU Wise OWE'!$AL$129/10000,2)</f>
        <v>52.86</v>
      </c>
      <c r="K54" s="22">
        <f t="shared" ref="K54" si="56">J54-I54</f>
        <v>-12.89</v>
      </c>
      <c r="L54" s="24">
        <f t="shared" ref="L54" si="57">K54/I54</f>
        <v>-0.19604562737642586</v>
      </c>
      <c r="M54" s="22">
        <f t="shared" ref="M54:M55" si="58">J54-H54</f>
        <v>-29.14</v>
      </c>
      <c r="N54" s="52">
        <f t="shared" ref="N54:N55" si="59">M54/H54</f>
        <v>-0.35536585365853657</v>
      </c>
      <c r="O54" s="52">
        <f t="shared" si="55"/>
        <v>0.48238729695199856</v>
      </c>
    </row>
    <row r="55" spans="2:15" s="36" customFormat="1" x14ac:dyDescent="0.25">
      <c r="B55" s="25" t="s">
        <v>130</v>
      </c>
      <c r="C55" s="26">
        <f>C53+C54</f>
        <v>310.33999999999997</v>
      </c>
      <c r="D55" s="67">
        <f t="shared" si="51"/>
        <v>3.9695523541156887E-2</v>
      </c>
      <c r="E55" s="286"/>
      <c r="F55" s="74">
        <f t="shared" ref="F55:J55" si="60">SUM(F53:F54)</f>
        <v>231.39999999999998</v>
      </c>
      <c r="G55" s="54">
        <f t="shared" si="52"/>
        <v>2.7977269979446256E-2</v>
      </c>
      <c r="H55" s="74">
        <f>SUM(H53:H54)</f>
        <v>176.89</v>
      </c>
      <c r="I55" s="74">
        <f t="shared" si="60"/>
        <v>138.84</v>
      </c>
      <c r="J55" s="74">
        <f t="shared" si="60"/>
        <v>119.14</v>
      </c>
      <c r="K55" s="26">
        <f t="shared" ref="K55" si="61">J55-I55</f>
        <v>-19.700000000000003</v>
      </c>
      <c r="L55" s="54">
        <f t="shared" ref="L55" si="62">K55/I55</f>
        <v>-0.14188994526073179</v>
      </c>
      <c r="M55" s="26">
        <f t="shared" si="58"/>
        <v>-57.749999999999986</v>
      </c>
      <c r="N55" s="55">
        <f t="shared" si="59"/>
        <v>-0.32647407993668376</v>
      </c>
      <c r="O55" s="55">
        <f t="shared" si="55"/>
        <v>0.51486603284356103</v>
      </c>
    </row>
    <row r="57" spans="2:15" s="36" customFormat="1" x14ac:dyDescent="0.25">
      <c r="B57" s="202" t="s">
        <v>163</v>
      </c>
      <c r="C57" s="110">
        <v>348.19</v>
      </c>
      <c r="D57" s="258">
        <f t="shared" si="51"/>
        <v>4.4536909008814261E-2</v>
      </c>
      <c r="E57" s="53"/>
      <c r="F57" s="198">
        <f>ROUND('PU Wise OWE'!$AO$126/10000,2)</f>
        <v>304.54000000000002</v>
      </c>
      <c r="G57" s="199">
        <f t="shared" ref="G57" si="63">F57/$F$7</f>
        <v>3.6820215209769074E-2</v>
      </c>
      <c r="H57" s="203">
        <f>ROUND('PU Wise OWE'!$AO$128/10000,2)</f>
        <v>213.48</v>
      </c>
      <c r="I57" s="198">
        <f>ROUND('PU Wise OWE'!$AO$127/10000,2)</f>
        <v>182.73</v>
      </c>
      <c r="J57" s="133">
        <f>ROUND('PU Wise OWE'!$AO$129/10000,2)</f>
        <v>209.56</v>
      </c>
      <c r="K57" s="198">
        <f t="shared" ref="K57" si="64">J57-I57</f>
        <v>26.830000000000013</v>
      </c>
      <c r="L57" s="199">
        <f t="shared" ref="L57" si="65">K57/I57</f>
        <v>0.14682865429869213</v>
      </c>
      <c r="M57" s="198">
        <f t="shared" ref="M57" si="66">J57-H57</f>
        <v>-3.9199999999999875</v>
      </c>
      <c r="N57" s="200">
        <f t="shared" ref="N57" si="67">M57/H57</f>
        <v>-1.836237586659166E-2</v>
      </c>
      <c r="O57" s="200">
        <f t="shared" ref="O57" si="68">J57/F57</f>
        <v>0.68811978722006961</v>
      </c>
    </row>
    <row r="58" spans="2:15" x14ac:dyDescent="0.25">
      <c r="C58" s="195"/>
      <c r="O58" s="100"/>
    </row>
    <row r="59" spans="2:15" x14ac:dyDescent="0.25">
      <c r="B59" s="75" t="s">
        <v>186</v>
      </c>
      <c r="C59" s="201"/>
      <c r="O59" s="201"/>
    </row>
    <row r="60" spans="2:15" x14ac:dyDescent="0.25">
      <c r="B60" s="23" t="s">
        <v>187</v>
      </c>
      <c r="C60" s="22">
        <v>80.099999999999994</v>
      </c>
      <c r="D60" s="66">
        <f t="shared" ref="D60:D64" si="69">C60/$C$7</f>
        <v>1.0245574001568173E-2</v>
      </c>
      <c r="E60" s="281"/>
      <c r="F60" s="22">
        <f>ROUND('PU Wise OWE'!$AM$60/10000,2)</f>
        <v>67.81</v>
      </c>
      <c r="G60" s="24">
        <f t="shared" ref="G60:G64" si="70">F60/$F$7</f>
        <v>8.1985249667512992E-3</v>
      </c>
      <c r="H60" s="70">
        <f>ROUND('PU Wise OWE'!$AM$62/10000,2)</f>
        <v>49.58</v>
      </c>
      <c r="I60" s="22">
        <f>ROUND('PU Wise OWE'!$AM$61/10000,2)</f>
        <v>40.68</v>
      </c>
      <c r="J60" s="23">
        <f>ROUND('PU Wise OWE'!$AM$63/10000,2)</f>
        <v>52.48</v>
      </c>
      <c r="K60" s="22">
        <f t="shared" ref="K60:K62" si="71">J60-I60</f>
        <v>11.799999999999997</v>
      </c>
      <c r="L60" s="24">
        <f t="shared" ref="L60:L62" si="72">K60/I60</f>
        <v>0.29006882989183869</v>
      </c>
      <c r="M60" s="22">
        <f t="shared" ref="M60" si="73">J60-H60</f>
        <v>2.8999999999999986</v>
      </c>
      <c r="N60" s="52">
        <f t="shared" ref="N60" si="74">M60/H60</f>
        <v>5.8491327148043538E-2</v>
      </c>
      <c r="O60" s="52">
        <f t="shared" ref="O60:O64" si="75">J60/F60</f>
        <v>0.77392714938799578</v>
      </c>
    </row>
    <row r="61" spans="2:15" x14ac:dyDescent="0.25">
      <c r="B61" s="23" t="s">
        <v>188</v>
      </c>
      <c r="C61" s="22">
        <v>21.26</v>
      </c>
      <c r="D61" s="66">
        <f t="shared" si="69"/>
        <v>2.7193620883063595E-3</v>
      </c>
      <c r="E61" s="282"/>
      <c r="F61" s="22">
        <f>ROUND('PU Wise OWE'!$AM$93/10000,2)</f>
        <v>16.309999999999999</v>
      </c>
      <c r="G61" s="24">
        <f t="shared" si="70"/>
        <v>1.9719501874017652E-3</v>
      </c>
      <c r="H61" s="70">
        <f>ROUND('PU Wise OWE'!$AM$95/10000,2)</f>
        <v>9.83</v>
      </c>
      <c r="I61" s="22">
        <f>ROUND('PU Wise OWE'!$AM$94/10000,2)</f>
        <v>9.7899999999999991</v>
      </c>
      <c r="J61" s="23">
        <f>ROUND('PU Wise OWE'!$AM$96/10000,2)</f>
        <v>7.1</v>
      </c>
      <c r="K61" s="22">
        <f t="shared" si="71"/>
        <v>-2.6899999999999995</v>
      </c>
      <c r="L61" s="24">
        <f t="shared" si="72"/>
        <v>-0.27477017364657813</v>
      </c>
      <c r="M61" s="22">
        <f t="shared" ref="M61:M63" si="76">J61-H61</f>
        <v>-2.7300000000000004</v>
      </c>
      <c r="N61" s="52">
        <f t="shared" ref="N61:N63" si="77">M61/H61</f>
        <v>-0.2777212614445575</v>
      </c>
      <c r="O61" s="52">
        <f t="shared" si="75"/>
        <v>0.43531575720416921</v>
      </c>
    </row>
    <row r="62" spans="2:15" x14ac:dyDescent="0.25">
      <c r="B62" s="23" t="s">
        <v>189</v>
      </c>
      <c r="C62" s="22">
        <v>9.89</v>
      </c>
      <c r="D62" s="66">
        <f t="shared" si="69"/>
        <v>1.265027801192375E-3</v>
      </c>
      <c r="E62" s="282"/>
      <c r="F62" s="22">
        <f>ROUND('PU Wise OWE'!$AN$16/10000,2)</f>
        <v>10.1</v>
      </c>
      <c r="G62" s="24">
        <f>F62/$F$7</f>
        <v>1.2211340829403942E-3</v>
      </c>
      <c r="H62" s="70">
        <f>ROUND('PU Wise OWE'!$AN$18/10000,2)</f>
        <v>9.64</v>
      </c>
      <c r="I62" s="22">
        <f>ROUND('PU Wise OWE'!$AN$17/10000,2)</f>
        <v>6.06</v>
      </c>
      <c r="J62" s="23">
        <f>ROUND('PU Wise OWE'!$AN$19/10000,2)</f>
        <v>10.220000000000001</v>
      </c>
      <c r="K62" s="22">
        <f t="shared" si="71"/>
        <v>4.160000000000001</v>
      </c>
      <c r="L62" s="24">
        <f t="shared" si="72"/>
        <v>0.68646864686468667</v>
      </c>
      <c r="M62" s="22">
        <f t="shared" si="76"/>
        <v>0.58000000000000007</v>
      </c>
      <c r="N62" s="52">
        <f t="shared" si="77"/>
        <v>6.0165975103734441E-2</v>
      </c>
      <c r="O62" s="52">
        <f t="shared" si="75"/>
        <v>1.0118811881188119</v>
      </c>
    </row>
    <row r="63" spans="2:15" x14ac:dyDescent="0.25">
      <c r="B63" s="23" t="s">
        <v>190</v>
      </c>
      <c r="C63" s="22">
        <v>1.64</v>
      </c>
      <c r="D63" s="66">
        <f t="shared" si="69"/>
        <v>2.0977205196718855E-4</v>
      </c>
      <c r="E63" s="282"/>
      <c r="F63" s="22">
        <f>ROUND('PU Wise OWE'!$AN$60/10000,2)</f>
        <v>1.46</v>
      </c>
      <c r="G63" s="24">
        <f>F63/$F$7</f>
        <v>1.7652037238544312E-4</v>
      </c>
      <c r="H63" s="70">
        <f>ROUND('PU Wise OWE'!$AN$62/10000,2)</f>
        <v>2.17</v>
      </c>
      <c r="I63" s="22">
        <f>ROUND('PU Wise OWE'!$AN$61/10000,2)</f>
        <v>0.88</v>
      </c>
      <c r="J63" s="23">
        <f>ROUND('PU Wise OWE'!$AN$63/10000,2)</f>
        <v>2.19</v>
      </c>
      <c r="K63" s="22">
        <f t="shared" ref="K63" si="78">J63-I63</f>
        <v>1.31</v>
      </c>
      <c r="L63" s="24">
        <f t="shared" ref="L63" si="79">K63/I63</f>
        <v>1.4886363636363638</v>
      </c>
      <c r="M63" s="22">
        <f t="shared" si="76"/>
        <v>2.0000000000000018E-2</v>
      </c>
      <c r="N63" s="52">
        <f t="shared" si="77"/>
        <v>9.2165898617511607E-3</v>
      </c>
      <c r="O63" s="52">
        <f t="shared" si="75"/>
        <v>1.5</v>
      </c>
    </row>
    <row r="64" spans="2:15" s="36" customFormat="1" x14ac:dyDescent="0.25">
      <c r="B64" s="25" t="s">
        <v>130</v>
      </c>
      <c r="C64" s="26">
        <f>C60+C61+C62+C63</f>
        <v>112.89</v>
      </c>
      <c r="D64" s="67">
        <f t="shared" si="69"/>
        <v>1.4439735943034097E-2</v>
      </c>
      <c r="E64" s="283"/>
      <c r="F64" s="26">
        <f>SUM(F60:F63)</f>
        <v>95.679999999999993</v>
      </c>
      <c r="G64" s="54">
        <f t="shared" si="70"/>
        <v>1.1568129609478901E-2</v>
      </c>
      <c r="H64" s="74">
        <f>SUM(H60:H63)</f>
        <v>71.22</v>
      </c>
      <c r="I64" s="26">
        <f>SUM(I60:I63)</f>
        <v>57.410000000000004</v>
      </c>
      <c r="J64" s="26">
        <f>SUM(J60:J63)</f>
        <v>71.989999999999995</v>
      </c>
      <c r="K64" s="26">
        <f t="shared" ref="K64" si="80">J64-I64</f>
        <v>14.579999999999991</v>
      </c>
      <c r="L64" s="54">
        <f t="shared" ref="L64" si="81">K64/I64</f>
        <v>0.2539627242640653</v>
      </c>
      <c r="M64" s="26">
        <f t="shared" ref="M64" si="82">J64-H64</f>
        <v>0.76999999999999602</v>
      </c>
      <c r="N64" s="55">
        <f t="shared" ref="N64" si="83">M64/H64</f>
        <v>1.0811569783768548E-2</v>
      </c>
      <c r="O64" s="55">
        <f t="shared" si="75"/>
        <v>0.75240384615384615</v>
      </c>
    </row>
    <row r="65" spans="2:15" x14ac:dyDescent="0.25">
      <c r="O65" s="92"/>
    </row>
    <row r="66" spans="2:15" x14ac:dyDescent="0.25">
      <c r="B66" s="75" t="s">
        <v>191</v>
      </c>
      <c r="C66" s="75"/>
    </row>
    <row r="67" spans="2:15" x14ac:dyDescent="0.25">
      <c r="B67" s="23" t="s">
        <v>192</v>
      </c>
      <c r="C67" s="22">
        <v>1117.51</v>
      </c>
      <c r="D67" s="66">
        <f t="shared" ref="D67:D69" si="84">C67/$C$7</f>
        <v>0.14294046694747128</v>
      </c>
      <c r="E67" s="23"/>
      <c r="F67" s="22">
        <f>ROUND('PU Wise OWE'!$AP$71/10000,2)</f>
        <v>1543.31</v>
      </c>
      <c r="G67" s="24">
        <f t="shared" ref="G67:G69" si="85">F67/$F$7</f>
        <v>0.18659291500423164</v>
      </c>
      <c r="H67" s="70">
        <f>ROUND('PU Wise OWE'!$AP$73/10000,2)</f>
        <v>1161.8800000000001</v>
      </c>
      <c r="I67" s="22">
        <f>ROUND('PU Wise OWE'!$AP$72/10000,2)</f>
        <v>1196.58</v>
      </c>
      <c r="J67" s="23">
        <f>ROUND('PU Wise OWE'!$AP$74/10000,2)</f>
        <v>1152.05</v>
      </c>
      <c r="K67" s="22">
        <f t="shared" ref="K67" si="86">J67-I67</f>
        <v>-44.529999999999973</v>
      </c>
      <c r="L67" s="24">
        <f t="shared" ref="L67" si="87">K67/I67</f>
        <v>-3.7214394357251476E-2</v>
      </c>
      <c r="M67" s="22">
        <f t="shared" ref="M67" si="88">J67-H67</f>
        <v>-9.8300000000001546</v>
      </c>
      <c r="N67" s="52">
        <f t="shared" ref="N67" si="89">M67/H67</f>
        <v>-8.4604262058045176E-3</v>
      </c>
      <c r="O67" s="52">
        <f t="shared" ref="O67:O69" si="90">J67/F67</f>
        <v>0.74647996837965147</v>
      </c>
    </row>
    <row r="68" spans="2:15" x14ac:dyDescent="0.25">
      <c r="B68" s="87" t="s">
        <v>193</v>
      </c>
      <c r="C68" s="111">
        <v>38.520000000000003</v>
      </c>
      <c r="D68" s="66">
        <f t="shared" si="84"/>
        <v>4.9270850254732341E-3</v>
      </c>
      <c r="E68" s="23"/>
      <c r="F68" s="22">
        <f>ROUND('PU Wise OWE'!$AP$126/10000,2)-F67</f>
        <v>35.230000000000018</v>
      </c>
      <c r="G68" s="24">
        <f t="shared" si="85"/>
        <v>4.2594607665336738E-3</v>
      </c>
      <c r="H68" s="70">
        <f>ROUND('PU Wise OWE'!$AP$128/10000,2)-H67</f>
        <v>20.539999999999964</v>
      </c>
      <c r="I68" s="22">
        <f>ROUND('PU Wise OWE'!$AP$127/10000,2)-I67</f>
        <v>21.1400000000001</v>
      </c>
      <c r="J68" s="23">
        <f>ROUND('PU Wise OWE'!$AP$129/10000,2)-J67-ROUND('PU Wise OWE'!$AP$85/10000,2)</f>
        <v>36.930000000000106</v>
      </c>
      <c r="K68" s="22">
        <f t="shared" ref="K68:K84" si="91">J68-I68</f>
        <v>15.790000000000006</v>
      </c>
      <c r="L68" s="24">
        <f t="shared" ref="L68:L84" si="92">K68/I68</f>
        <v>0.74692526017029004</v>
      </c>
      <c r="M68" s="22">
        <f t="shared" ref="M68" si="93">J68-H68</f>
        <v>16.390000000000143</v>
      </c>
      <c r="N68" s="52">
        <f t="shared" ref="N68" si="94">M68/H68</f>
        <v>0.79795520934762276</v>
      </c>
      <c r="O68" s="52">
        <f t="shared" si="90"/>
        <v>1.0482543286971355</v>
      </c>
    </row>
    <row r="69" spans="2:15" s="36" customFormat="1" x14ac:dyDescent="0.25">
      <c r="B69" s="25" t="s">
        <v>130</v>
      </c>
      <c r="C69" s="26">
        <f>C67+C68</f>
        <v>1156.03</v>
      </c>
      <c r="D69" s="67">
        <f t="shared" si="84"/>
        <v>0.14786755197294452</v>
      </c>
      <c r="E69" s="88"/>
      <c r="F69" s="74">
        <f>SUM(F67:F68)</f>
        <v>1578.54</v>
      </c>
      <c r="G69" s="54">
        <f t="shared" si="85"/>
        <v>0.19085237577076533</v>
      </c>
      <c r="H69" s="74">
        <f>SUM(H67:H68)</f>
        <v>1182.42</v>
      </c>
      <c r="I69" s="74">
        <f>SUM(I67:I68)</f>
        <v>1217.72</v>
      </c>
      <c r="J69" s="74">
        <f>SUM(J67:J68)</f>
        <v>1188.98</v>
      </c>
      <c r="K69" s="26">
        <f t="shared" si="91"/>
        <v>-28.740000000000009</v>
      </c>
      <c r="L69" s="54">
        <f t="shared" si="92"/>
        <v>-2.3601484741976816E-2</v>
      </c>
      <c r="M69" s="26">
        <f t="shared" ref="M69" si="95">J69-H69</f>
        <v>6.5599999999999454</v>
      </c>
      <c r="N69" s="55">
        <f t="shared" ref="N69" si="96">M69/H69</f>
        <v>5.5479440469545045E-3</v>
      </c>
      <c r="O69" s="55">
        <f t="shared" si="90"/>
        <v>0.75321499613566967</v>
      </c>
    </row>
    <row r="70" spans="2:15" x14ac:dyDescent="0.25">
      <c r="E70" s="31"/>
      <c r="F70" s="34"/>
      <c r="G70" s="34"/>
      <c r="I70" s="34"/>
      <c r="J70" s="31"/>
      <c r="K70" s="34"/>
      <c r="L70" s="35"/>
      <c r="M70" s="34"/>
      <c r="N70" s="92"/>
      <c r="O70" s="36"/>
    </row>
    <row r="71" spans="2:15" x14ac:dyDescent="0.25">
      <c r="B71" s="75" t="s">
        <v>195</v>
      </c>
      <c r="C71" s="75"/>
      <c r="E71" s="31"/>
      <c r="F71" s="34"/>
      <c r="G71" s="34"/>
      <c r="I71" s="34"/>
      <c r="J71" s="31"/>
      <c r="K71" s="34"/>
      <c r="L71" s="35"/>
      <c r="M71" s="34"/>
      <c r="N71" s="92"/>
    </row>
    <row r="72" spans="2:15" x14ac:dyDescent="0.25">
      <c r="B72" s="23" t="s">
        <v>194</v>
      </c>
      <c r="C72" s="22">
        <v>12.31</v>
      </c>
      <c r="D72" s="66">
        <f t="shared" ref="D72:D74" si="97">C72/$C$7</f>
        <v>1.5745694876317631E-3</v>
      </c>
      <c r="E72" s="23"/>
      <c r="F72" s="70">
        <f>ROUND('PU Wise OWE'!$AQ$27/10000,2)+ROUND('PU Wise OWE'!$BB$27/10000,2)</f>
        <v>11.17</v>
      </c>
      <c r="G72" s="24">
        <f t="shared" ref="G72:G74" si="98">F72/$F$7</f>
        <v>1.3505017531132873E-3</v>
      </c>
      <c r="H72" s="70">
        <f>ROUND('PU Wise OWE'!$AQ$29/10000,2)+ROUND('PU Wise OWE'!$BB$29/10000,2)</f>
        <v>18.13</v>
      </c>
      <c r="I72" s="70">
        <f>ROUND('PU Wise OWE'!$AQ$28/10000,2)+ROUND('PU Wise OWE'!$BB$28/10000,2)</f>
        <v>6.7</v>
      </c>
      <c r="J72" s="70">
        <f>ROUND('PU Wise OWE'!$AQ$30/10000,2)+ROUND('PU Wise OWE'!$BB$30/10000,2)</f>
        <v>18.649999999999999</v>
      </c>
      <c r="K72" s="22">
        <f t="shared" si="91"/>
        <v>11.95</v>
      </c>
      <c r="L72" s="24">
        <f t="shared" si="92"/>
        <v>1.7835820895522387</v>
      </c>
      <c r="M72" s="22">
        <f t="shared" ref="M72:M73" si="99">J72-H72</f>
        <v>0.51999999999999957</v>
      </c>
      <c r="N72" s="52">
        <f t="shared" ref="N72:N73" si="100">M72/H72</f>
        <v>2.8681742967457232E-2</v>
      </c>
      <c r="O72" s="52">
        <f t="shared" ref="O72:O74" si="101">J72/F72</f>
        <v>1.6696508504923901</v>
      </c>
    </row>
    <row r="73" spans="2:15" x14ac:dyDescent="0.25">
      <c r="B73" s="23" t="s">
        <v>196</v>
      </c>
      <c r="C73" s="22">
        <v>114.52</v>
      </c>
      <c r="D73" s="66">
        <f t="shared" si="97"/>
        <v>1.4648228897123436E-2</v>
      </c>
      <c r="E73" s="23"/>
      <c r="F73" s="70">
        <f>ROUND('PU Wise OWE'!$AQ$38/10000,2)+ROUND('PU Wise OWE'!$BB$38/10000,2)</f>
        <v>79.58</v>
      </c>
      <c r="G73" s="24">
        <f t="shared" si="98"/>
        <v>9.6215693386531246E-3</v>
      </c>
      <c r="H73" s="70">
        <f>ROUND('PU Wise OWE'!$AQ$40/10000,2)+ROUND('PU Wise OWE'!$BB$40/10000,2)</f>
        <v>51.010000000000005</v>
      </c>
      <c r="I73" s="70">
        <f>ROUND('PU Wise OWE'!$AQ$39/10000,2)+ROUND('PU Wise OWE'!$BB$39/10000,2)</f>
        <v>47.75</v>
      </c>
      <c r="J73" s="70">
        <f>ROUND('PU Wise OWE'!$AQ$41/10000,2)+ROUND('PU Wise OWE'!$BB$41/10000,2)</f>
        <v>81.599999999999994</v>
      </c>
      <c r="K73" s="22">
        <f t="shared" si="91"/>
        <v>33.849999999999994</v>
      </c>
      <c r="L73" s="24">
        <f t="shared" si="92"/>
        <v>0.70890052356020927</v>
      </c>
      <c r="M73" s="22">
        <f t="shared" si="99"/>
        <v>30.589999999999989</v>
      </c>
      <c r="N73" s="52">
        <f t="shared" si="100"/>
        <v>0.59968633601254628</v>
      </c>
      <c r="O73" s="52">
        <f t="shared" si="101"/>
        <v>1.0253832621261623</v>
      </c>
    </row>
    <row r="74" spans="2:15" s="36" customFormat="1" x14ac:dyDescent="0.25">
      <c r="B74" s="25" t="s">
        <v>130</v>
      </c>
      <c r="C74" s="26">
        <f>C72+C73</f>
        <v>126.83</v>
      </c>
      <c r="D74" s="67">
        <f t="shared" si="97"/>
        <v>1.62227983847552E-2</v>
      </c>
      <c r="E74" s="25"/>
      <c r="F74" s="74">
        <f>SUM(F72:F73)</f>
        <v>90.75</v>
      </c>
      <c r="G74" s="54">
        <f t="shared" si="98"/>
        <v>1.0972071091766412E-2</v>
      </c>
      <c r="H74" s="74">
        <f>SUM(H72:H73)</f>
        <v>69.14</v>
      </c>
      <c r="I74" s="74">
        <f t="shared" ref="I74:J74" si="102">SUM(I72:I73)</f>
        <v>54.45</v>
      </c>
      <c r="J74" s="74">
        <f t="shared" si="102"/>
        <v>100.25</v>
      </c>
      <c r="K74" s="26">
        <f t="shared" si="91"/>
        <v>45.8</v>
      </c>
      <c r="L74" s="54">
        <f t="shared" si="92"/>
        <v>0.84113865932047738</v>
      </c>
      <c r="M74" s="26">
        <f t="shared" ref="M74" si="103">J74-H74</f>
        <v>31.11</v>
      </c>
      <c r="N74" s="55">
        <f t="shared" ref="N74" si="104">M74/H74</f>
        <v>0.44995660977726354</v>
      </c>
      <c r="O74" s="55">
        <f t="shared" si="101"/>
        <v>1.1046831955922864</v>
      </c>
    </row>
    <row r="75" spans="2:15" s="36" customFormat="1" x14ac:dyDescent="0.25">
      <c r="B75" s="209"/>
      <c r="C75" s="210"/>
      <c r="D75" s="212"/>
      <c r="E75" s="209"/>
      <c r="F75" s="211"/>
      <c r="G75" s="213"/>
      <c r="H75" s="211"/>
      <c r="I75" s="211"/>
      <c r="J75" s="211"/>
      <c r="K75" s="210"/>
      <c r="L75" s="213"/>
      <c r="M75" s="210"/>
      <c r="N75" s="214"/>
      <c r="O75" s="214"/>
    </row>
    <row r="76" spans="2:15" s="36" customFormat="1" x14ac:dyDescent="0.25">
      <c r="B76" s="209"/>
      <c r="C76" s="210"/>
      <c r="D76" s="212"/>
      <c r="E76" s="209"/>
      <c r="F76" s="211"/>
      <c r="G76" s="213"/>
      <c r="H76" s="211"/>
      <c r="I76" s="211"/>
      <c r="J76" s="211"/>
      <c r="K76" s="210"/>
      <c r="L76" s="213"/>
      <c r="M76" s="36" t="s">
        <v>150</v>
      </c>
      <c r="N76" s="214"/>
      <c r="O76" s="214"/>
    </row>
    <row r="77" spans="2:15" x14ac:dyDescent="0.25">
      <c r="B77" s="272" t="s">
        <v>318</v>
      </c>
      <c r="C77" s="268" t="s">
        <v>302</v>
      </c>
      <c r="D77" s="268" t="s">
        <v>173</v>
      </c>
      <c r="E77" s="268"/>
      <c r="F77" s="269" t="str">
        <f>'PU Wise OWE'!$B$5</f>
        <v xml:space="preserve">OBG(SL) 2021-22 </v>
      </c>
      <c r="G77" s="268" t="s">
        <v>206</v>
      </c>
      <c r="H77" s="269" t="str">
        <f>'PU Wise OWE'!$B$7</f>
        <v>Actuals upto Oct' 20</v>
      </c>
      <c r="I77" s="269" t="str">
        <f>'PU Wise OWE'!$B$6</f>
        <v>BP to end  Oct-21</v>
      </c>
      <c r="J77" s="269" t="str">
        <f>'PU Wise OWE'!$B$8</f>
        <v>Actuals upto Oct' 21</v>
      </c>
      <c r="K77" s="267" t="s">
        <v>207</v>
      </c>
      <c r="L77" s="267"/>
      <c r="M77" s="267" t="s">
        <v>147</v>
      </c>
      <c r="N77" s="267"/>
      <c r="O77" s="268" t="s">
        <v>314</v>
      </c>
    </row>
    <row r="78" spans="2:15" ht="30" x14ac:dyDescent="0.25">
      <c r="B78" s="272"/>
      <c r="C78" s="268"/>
      <c r="D78" s="268"/>
      <c r="E78" s="268"/>
      <c r="F78" s="268"/>
      <c r="G78" s="268"/>
      <c r="H78" s="268"/>
      <c r="I78" s="268"/>
      <c r="J78" s="268"/>
      <c r="K78" s="79" t="s">
        <v>145</v>
      </c>
      <c r="L78" s="80" t="s">
        <v>146</v>
      </c>
      <c r="M78" s="79" t="s">
        <v>145</v>
      </c>
      <c r="N78" s="80" t="s">
        <v>146</v>
      </c>
      <c r="O78" s="268"/>
    </row>
    <row r="79" spans="2:15" x14ac:dyDescent="0.25">
      <c r="B79" s="23" t="s">
        <v>199</v>
      </c>
      <c r="C79" s="22">
        <v>2</v>
      </c>
      <c r="D79" s="66">
        <f t="shared" ref="D79:D85" si="105">C79/$C$7</f>
        <v>2.5581957556974216E-4</v>
      </c>
      <c r="E79" s="23"/>
      <c r="F79" s="22">
        <f>ROUND('PU Wise OWE'!$AW$126/10000,2)</f>
        <v>2.65</v>
      </c>
      <c r="G79" s="24">
        <f t="shared" ref="G79:G85" si="106">F79/$F$7</f>
        <v>3.20396566316044E-4</v>
      </c>
      <c r="H79" s="70">
        <f>ROUND('PU Wise OWE'!$AW$128/10000,2)</f>
        <v>1.02</v>
      </c>
      <c r="I79" s="22">
        <f>ROUND('PU Wise OWE'!$AW$127/10000,2)</f>
        <v>1.59</v>
      </c>
      <c r="J79" s="23">
        <f>ROUND('PU Wise OWE'!$AW$129/10000,2)</f>
        <v>0.86</v>
      </c>
      <c r="K79" s="22">
        <f t="shared" si="91"/>
        <v>-0.73000000000000009</v>
      </c>
      <c r="L79" s="24">
        <f t="shared" si="92"/>
        <v>-0.45911949685534592</v>
      </c>
      <c r="M79" s="22">
        <f t="shared" ref="M79:M80" si="107">J79-H79</f>
        <v>-0.16000000000000003</v>
      </c>
      <c r="N79" s="52">
        <f t="shared" ref="N79:N80" si="108">M79/H79</f>
        <v>-0.15686274509803924</v>
      </c>
      <c r="O79" s="52">
        <f t="shared" ref="O79:O87" si="109">J79/F79</f>
        <v>0.32452830188679244</v>
      </c>
    </row>
    <row r="80" spans="2:15" x14ac:dyDescent="0.25">
      <c r="B80" s="23" t="s">
        <v>198</v>
      </c>
      <c r="C80" s="22">
        <v>1.66</v>
      </c>
      <c r="D80" s="66">
        <f t="shared" si="105"/>
        <v>2.1233024772288598E-4</v>
      </c>
      <c r="E80" s="23"/>
      <c r="F80" s="22">
        <f>ROUND('PU Wise OWE'!$AX$126/10000,2)</f>
        <v>1.81</v>
      </c>
      <c r="G80" s="24">
        <f t="shared" si="106"/>
        <v>2.1883690001209044E-4</v>
      </c>
      <c r="H80" s="70">
        <f>ROUND('PU Wise OWE'!$AX$128/10000,2)</f>
        <v>0.95</v>
      </c>
      <c r="I80" s="22">
        <f>ROUND('PU Wise OWE'!$AX$127/10000,2)</f>
        <v>1.0900000000000001</v>
      </c>
      <c r="J80" s="23">
        <f>ROUND('PU Wise OWE'!$AX$129/10000,2)</f>
        <v>1.0900000000000001</v>
      </c>
      <c r="K80" s="22">
        <f t="shared" si="91"/>
        <v>0</v>
      </c>
      <c r="L80" s="24">
        <f t="shared" si="92"/>
        <v>0</v>
      </c>
      <c r="M80" s="22">
        <f t="shared" si="107"/>
        <v>0.14000000000000012</v>
      </c>
      <c r="N80" s="52">
        <f t="shared" si="108"/>
        <v>0.1473684210526317</v>
      </c>
      <c r="O80" s="52">
        <f t="shared" si="109"/>
        <v>0.60220994475138123</v>
      </c>
    </row>
    <row r="81" spans="2:15" x14ac:dyDescent="0.25">
      <c r="B81" s="23" t="s">
        <v>200</v>
      </c>
      <c r="C81" s="22">
        <v>16.940000000000001</v>
      </c>
      <c r="D81" s="66">
        <f t="shared" si="105"/>
        <v>2.1667918050757161E-3</v>
      </c>
      <c r="E81" s="23"/>
      <c r="F81" s="22">
        <f>ROUND('PU Wise OWE'!$BC$126/10000,2)</f>
        <v>14.88</v>
      </c>
      <c r="G81" s="24">
        <f t="shared" si="106"/>
        <v>1.7990569459557491E-3</v>
      </c>
      <c r="H81" s="70">
        <f>ROUND('PU Wise OWE'!$BC$128/10000,2)</f>
        <v>10.8</v>
      </c>
      <c r="I81" s="22">
        <f>ROUND('PU Wise OWE'!$BC$127/10000,2)</f>
        <v>8.93</v>
      </c>
      <c r="J81" s="23">
        <f>ROUND('PU Wise OWE'!$BC$129/10000,2)</f>
        <v>10.54</v>
      </c>
      <c r="K81" s="22">
        <f t="shared" si="91"/>
        <v>1.6099999999999994</v>
      </c>
      <c r="L81" s="24">
        <f t="shared" si="92"/>
        <v>0.18029115341545346</v>
      </c>
      <c r="M81" s="22">
        <f t="shared" ref="M81:M84" si="110">J81-H81</f>
        <v>-0.26000000000000156</v>
      </c>
      <c r="N81" s="52">
        <f t="shared" ref="N81:N84" si="111">M81/H81</f>
        <v>-2.4074074074074216E-2</v>
      </c>
      <c r="O81" s="52">
        <f t="shared" si="109"/>
        <v>0.70833333333333326</v>
      </c>
    </row>
    <row r="82" spans="2:15" x14ac:dyDescent="0.25">
      <c r="B82" s="23" t="s">
        <v>201</v>
      </c>
      <c r="C82" s="22">
        <v>16.95</v>
      </c>
      <c r="D82" s="66">
        <f t="shared" si="105"/>
        <v>2.1680709029535646E-3</v>
      </c>
      <c r="E82" s="23"/>
      <c r="F82" s="22">
        <f>ROUND('PU Wise OWE'!$BD$126/10000,2)</f>
        <v>14.88</v>
      </c>
      <c r="G82" s="24">
        <f t="shared" si="106"/>
        <v>1.7990569459557491E-3</v>
      </c>
      <c r="H82" s="70">
        <f>ROUND('PU Wise OWE'!$BD$128/10000,2)</f>
        <v>10.81</v>
      </c>
      <c r="I82" s="22">
        <f>ROUND('PU Wise OWE'!$BD$127/10000,2)</f>
        <v>8.93</v>
      </c>
      <c r="J82" s="23">
        <f>ROUND('PU Wise OWE'!$BD$129/10000,2)</f>
        <v>10.44</v>
      </c>
      <c r="K82" s="22">
        <f t="shared" si="91"/>
        <v>1.5099999999999998</v>
      </c>
      <c r="L82" s="24">
        <f t="shared" si="92"/>
        <v>0.16909294512877937</v>
      </c>
      <c r="M82" s="22">
        <f t="shared" si="110"/>
        <v>-0.37000000000000099</v>
      </c>
      <c r="N82" s="52">
        <f t="shared" si="111"/>
        <v>-3.4227567067530155E-2</v>
      </c>
      <c r="O82" s="52">
        <f t="shared" si="109"/>
        <v>0.70161290322580638</v>
      </c>
    </row>
    <row r="83" spans="2:15" x14ac:dyDescent="0.25">
      <c r="B83" s="23" t="s">
        <v>202</v>
      </c>
      <c r="C83" s="22">
        <v>17.329999999999998</v>
      </c>
      <c r="D83" s="66">
        <f t="shared" si="105"/>
        <v>2.2166766223118157E-3</v>
      </c>
      <c r="E83" s="23"/>
      <c r="F83" s="22">
        <f>ROUND('PU Wise OWE'!$BF$126/10000,2)</f>
        <v>12.96</v>
      </c>
      <c r="G83" s="24">
        <f t="shared" si="106"/>
        <v>1.5669205658324266E-3</v>
      </c>
      <c r="H83" s="70">
        <f>ROUND('PU Wise OWE'!$BF$128/10000,2)</f>
        <v>9.83</v>
      </c>
      <c r="I83" s="22">
        <f>ROUND('PU Wise OWE'!$BF$127/10000,2)</f>
        <v>7.77</v>
      </c>
      <c r="J83" s="23">
        <f>ROUND('PU Wise OWE'!$BF$129/10000,2)</f>
        <v>9.9600000000000009</v>
      </c>
      <c r="K83" s="22">
        <f t="shared" si="91"/>
        <v>2.1900000000000013</v>
      </c>
      <c r="L83" s="24">
        <f t="shared" si="92"/>
        <v>0.28185328185328201</v>
      </c>
      <c r="M83" s="22">
        <f t="shared" si="110"/>
        <v>0.13000000000000078</v>
      </c>
      <c r="N83" s="52">
        <f t="shared" si="111"/>
        <v>1.3224821973550436E-2</v>
      </c>
      <c r="O83" s="52">
        <f t="shared" si="109"/>
        <v>0.76851851851851849</v>
      </c>
    </row>
    <row r="84" spans="2:15" x14ac:dyDescent="0.25">
      <c r="B84" s="23" t="s">
        <v>203</v>
      </c>
      <c r="C84" s="22">
        <v>166.71</v>
      </c>
      <c r="D84" s="66">
        <f t="shared" si="105"/>
        <v>2.1323840721615858E-2</v>
      </c>
      <c r="E84" s="23"/>
      <c r="F84" s="22">
        <f>ROUND('PU Wise OWE'!$BG$126/10000,2)-ROUND('PU Wise OWE'!$BG$115/10000,2)</f>
        <v>127.09000000000015</v>
      </c>
      <c r="G84" s="24">
        <f t="shared" si="106"/>
        <v>1.5365735703058898E-2</v>
      </c>
      <c r="H84" s="70">
        <f>ROUND('PU Wise OWE'!$BG$128/10000,2)-ROUND('PU Wise OWE'!$BG$117/10000,2)</f>
        <v>112.68000000000029</v>
      </c>
      <c r="I84" s="22">
        <f>ROUND('PU Wise OWE'!$BG$127/10000,2)-ROUND('PU Wise OWE'!$BG$116/10000,2)</f>
        <v>78.14</v>
      </c>
      <c r="J84" s="23">
        <f>ROUND('PU Wise OWE'!$BG$129/10000,2)-ROUND('PU Wise OWE'!$BG$118/10000,2)</f>
        <v>117.77000000000044</v>
      </c>
      <c r="K84" s="22">
        <f t="shared" si="91"/>
        <v>39.630000000000436</v>
      </c>
      <c r="L84" s="24">
        <f t="shared" si="92"/>
        <v>0.50716662400819601</v>
      </c>
      <c r="M84" s="22">
        <f t="shared" si="110"/>
        <v>5.0900000000001455</v>
      </c>
      <c r="N84" s="52">
        <f t="shared" si="111"/>
        <v>4.517216897408708E-2</v>
      </c>
      <c r="O84" s="52">
        <f t="shared" si="109"/>
        <v>0.92666614210402309</v>
      </c>
    </row>
    <row r="85" spans="2:15" s="36" customFormat="1" x14ac:dyDescent="0.25">
      <c r="B85" s="25" t="s">
        <v>130</v>
      </c>
      <c r="C85" s="26">
        <f>C79+C80+C81+C82+C83+C84</f>
        <v>221.59</v>
      </c>
      <c r="D85" s="67">
        <f t="shared" si="105"/>
        <v>2.8343529875249584E-2</v>
      </c>
      <c r="E85" s="25"/>
      <c r="F85" s="74">
        <f>SUM(F79:F84)</f>
        <v>174.27000000000015</v>
      </c>
      <c r="G85" s="54">
        <f t="shared" si="106"/>
        <v>2.1070003627130959E-2</v>
      </c>
      <c r="H85" s="74">
        <f>SUM(H79:H84)</f>
        <v>146.09000000000029</v>
      </c>
      <c r="I85" s="74">
        <f>SUM(I79:I84)</f>
        <v>106.45</v>
      </c>
      <c r="J85" s="74">
        <f>SUM(J79:J84)</f>
        <v>150.66000000000042</v>
      </c>
      <c r="K85" s="26">
        <f t="shared" ref="K85" si="112">J85-I85</f>
        <v>44.21000000000042</v>
      </c>
      <c r="L85" s="54">
        <f t="shared" ref="L85" si="113">K85/I85</f>
        <v>0.41531235321747695</v>
      </c>
      <c r="M85" s="26">
        <f t="shared" ref="M85" si="114">J85-H85</f>
        <v>4.5700000000001353</v>
      </c>
      <c r="N85" s="55">
        <f t="shared" ref="N85" si="115">M85/H85</f>
        <v>3.1282086385105934E-2</v>
      </c>
      <c r="O85" s="55">
        <f t="shared" si="109"/>
        <v>0.86452057152694262</v>
      </c>
    </row>
    <row r="86" spans="2:15" x14ac:dyDescent="0.25">
      <c r="O86" s="25"/>
    </row>
    <row r="87" spans="2:15" s="36" customFormat="1" ht="30" customHeight="1" x14ac:dyDescent="0.25">
      <c r="B87" s="93" t="s">
        <v>204</v>
      </c>
      <c r="C87" s="112">
        <v>3247.44</v>
      </c>
      <c r="D87" s="197" t="e">
        <f>#REF!/#REF!</f>
        <v>#REF!</v>
      </c>
      <c r="E87" s="25"/>
      <c r="F87" s="112">
        <f>F37+F50+F55+F57+F64+F69+F74+F85</f>
        <v>3393.15</v>
      </c>
      <c r="G87" s="199">
        <f t="shared" ref="G87" si="116">F87/$F$7</f>
        <v>0.41024664490388102</v>
      </c>
      <c r="H87" s="112">
        <f>H37+H50+H55+H57+H64+H69+H74+H85</f>
        <v>2378.4700000000003</v>
      </c>
      <c r="I87" s="112">
        <f>I37+I50+I55+I57+I64+I69+I74+I85</f>
        <v>2308.4199999999996</v>
      </c>
      <c r="J87" s="112">
        <f>J37+J50+J55+J57+J64+J69+J74+J85</f>
        <v>2758.2400000000002</v>
      </c>
      <c r="K87" s="198">
        <f t="shared" ref="K87" si="117">J87-I87</f>
        <v>449.82000000000062</v>
      </c>
      <c r="L87" s="199">
        <f t="shared" ref="L87" si="118">K87/I87</f>
        <v>0.19486055397198113</v>
      </c>
      <c r="M87" s="198">
        <f t="shared" ref="M87" si="119">J87-H87</f>
        <v>379.77</v>
      </c>
      <c r="N87" s="200">
        <f t="shared" ref="N87" si="120">M87/H87</f>
        <v>0.15966987180834735</v>
      </c>
      <c r="O87" s="200">
        <f t="shared" si="109"/>
        <v>0.81288478257666186</v>
      </c>
    </row>
    <row r="88" spans="2:15" x14ac:dyDescent="0.25">
      <c r="O88" s="92"/>
    </row>
    <row r="89" spans="2:15" x14ac:dyDescent="0.25">
      <c r="C89" s="178"/>
      <c r="O89" s="178"/>
    </row>
    <row r="90" spans="2:15" x14ac:dyDescent="0.25">
      <c r="B90" s="270" t="s">
        <v>254</v>
      </c>
      <c r="C90" s="273" t="s">
        <v>302</v>
      </c>
      <c r="D90" s="273" t="s">
        <v>173</v>
      </c>
      <c r="E90" s="273"/>
      <c r="F90" s="277" t="s">
        <v>307</v>
      </c>
      <c r="G90" s="273" t="s">
        <v>309</v>
      </c>
      <c r="H90" s="277" t="s">
        <v>329</v>
      </c>
      <c r="I90" s="277" t="s">
        <v>330</v>
      </c>
      <c r="J90" s="273" t="s">
        <v>205</v>
      </c>
      <c r="K90" s="275" t="s">
        <v>147</v>
      </c>
      <c r="L90" s="275"/>
      <c r="M90" s="276" t="s">
        <v>317</v>
      </c>
      <c r="N90" s="191"/>
      <c r="O90" s="196"/>
    </row>
    <row r="91" spans="2:15" ht="30" customHeight="1" x14ac:dyDescent="0.25">
      <c r="B91" s="271"/>
      <c r="C91" s="274"/>
      <c r="D91" s="274"/>
      <c r="E91" s="274"/>
      <c r="F91" s="274"/>
      <c r="G91" s="274"/>
      <c r="H91" s="274"/>
      <c r="I91" s="278"/>
      <c r="J91" s="274"/>
      <c r="K91" s="79" t="s">
        <v>145</v>
      </c>
      <c r="L91" s="79" t="s">
        <v>146</v>
      </c>
      <c r="M91" s="276"/>
      <c r="N91" s="191"/>
      <c r="O91" s="196"/>
    </row>
    <row r="92" spans="2:15" x14ac:dyDescent="0.25">
      <c r="B92" s="20" t="s">
        <v>255</v>
      </c>
      <c r="C92" s="20">
        <v>0</v>
      </c>
      <c r="D92" s="66">
        <f t="shared" ref="D92:D105" si="121">C92/$C$7</f>
        <v>0</v>
      </c>
      <c r="E92" s="20"/>
      <c r="F92" s="105">
        <f>'PU Wise OWE'!V27/10000</f>
        <v>0.68710000000000004</v>
      </c>
      <c r="G92" s="185">
        <f t="shared" ref="G92:G105" si="122">F92/$F$7</f>
        <v>8.3073388949341073E-5</v>
      </c>
      <c r="H92" s="218">
        <f>'PU Wise OWE'!V29</f>
        <v>0</v>
      </c>
      <c r="I92" s="218">
        <f>'PU Wise OWE'!W30</f>
        <v>0</v>
      </c>
      <c r="J92" s="185">
        <f t="shared" ref="J92:J105" si="123">I92/$I$7</f>
        <v>0</v>
      </c>
      <c r="K92" s="22">
        <f>I92-H92</f>
        <v>0</v>
      </c>
      <c r="L92" s="52" t="e">
        <f>K92/H92</f>
        <v>#DIV/0!</v>
      </c>
      <c r="M92" s="186">
        <f t="shared" ref="M92:M105" si="124">I92/F92</f>
        <v>0</v>
      </c>
      <c r="N92" s="191"/>
      <c r="O92" s="193"/>
    </row>
    <row r="93" spans="2:15" x14ac:dyDescent="0.25">
      <c r="B93" s="20" t="s">
        <v>256</v>
      </c>
      <c r="C93" s="20">
        <v>33.630000000000003</v>
      </c>
      <c r="D93" s="66">
        <f t="shared" si="121"/>
        <v>4.3016061632052145E-3</v>
      </c>
      <c r="E93" s="20"/>
      <c r="F93" s="105">
        <f>'PU Wise OWE'!V38/10000</f>
        <v>33.280999999999999</v>
      </c>
      <c r="G93" s="185">
        <f t="shared" si="122"/>
        <v>4.0238181598355703E-3</v>
      </c>
      <c r="H93" s="109">
        <f>'PU Wise OWE'!V40/10000</f>
        <v>20.7514</v>
      </c>
      <c r="I93" s="109">
        <f>'PU Wise OWE'!V41/10000</f>
        <v>28.036100000000001</v>
      </c>
      <c r="J93" s="185">
        <f t="shared" si="123"/>
        <v>5.340535042135902E-3</v>
      </c>
      <c r="K93" s="22">
        <f t="shared" ref="K93:K94" si="125">I93-H93</f>
        <v>7.2847000000000008</v>
      </c>
      <c r="L93" s="52">
        <f t="shared" ref="L93:L94" si="126">K93/H93</f>
        <v>0.35104619447362589</v>
      </c>
      <c r="M93" s="186">
        <f t="shared" si="124"/>
        <v>0.8424055767555062</v>
      </c>
      <c r="N93" s="191"/>
      <c r="O93" s="193"/>
    </row>
    <row r="94" spans="2:15" x14ac:dyDescent="0.25">
      <c r="B94" s="20" t="s">
        <v>266</v>
      </c>
      <c r="C94" s="20">
        <v>7.44</v>
      </c>
      <c r="D94" s="66">
        <f t="shared" si="121"/>
        <v>9.5164882111944092E-4</v>
      </c>
      <c r="E94" s="20"/>
      <c r="F94" s="105">
        <f>'PU Wise OWE'!V49/10000</f>
        <v>0.53049999999999997</v>
      </c>
      <c r="G94" s="185">
        <f t="shared" si="122"/>
        <v>6.4139765445532577E-5</v>
      </c>
      <c r="H94" s="109">
        <f>'PU Wise OWE'!V51/10000</f>
        <v>7.1845999999999997</v>
      </c>
      <c r="I94" s="105">
        <f>'PU Wise OWE'!V52/10000</f>
        <v>0.67149999999999999</v>
      </c>
      <c r="J94" s="185">
        <f t="shared" si="123"/>
        <v>1.2791255847975495E-4</v>
      </c>
      <c r="K94" s="22">
        <f t="shared" si="125"/>
        <v>-6.5130999999999997</v>
      </c>
      <c r="L94" s="52">
        <f t="shared" si="126"/>
        <v>-0.90653620243298161</v>
      </c>
      <c r="M94" s="186">
        <f t="shared" si="124"/>
        <v>1.2657869934024506</v>
      </c>
      <c r="N94" s="191"/>
      <c r="O94" s="193"/>
    </row>
    <row r="95" spans="2:15" x14ac:dyDescent="0.25">
      <c r="B95" s="59" t="s">
        <v>257</v>
      </c>
      <c r="C95" s="27">
        <f>SUM(C92:C94)</f>
        <v>41.07</v>
      </c>
      <c r="D95" s="67">
        <f t="shared" si="121"/>
        <v>5.2532549843246554E-3</v>
      </c>
      <c r="E95" s="27">
        <f t="shared" ref="E95" si="127">SUM(E92:E93)</f>
        <v>0</v>
      </c>
      <c r="F95" s="104">
        <f>F92+F93+F94</f>
        <v>34.498599999999996</v>
      </c>
      <c r="G95" s="187">
        <f t="shared" si="122"/>
        <v>4.1710313142304433E-3</v>
      </c>
      <c r="H95" s="104">
        <f>SUM(H92:H94)</f>
        <v>27.936</v>
      </c>
      <c r="I95" s="104">
        <f>SUM(I92:I94)</f>
        <v>28.707599999999999</v>
      </c>
      <c r="J95" s="187">
        <f t="shared" si="123"/>
        <v>5.4684476006156557E-3</v>
      </c>
      <c r="K95" s="26">
        <f t="shared" ref="K95" si="128">I95-H95</f>
        <v>0.7715999999999994</v>
      </c>
      <c r="L95" s="55">
        <f t="shared" ref="L95" si="129">K95/H95</f>
        <v>2.7620274914089325E-2</v>
      </c>
      <c r="M95" s="188">
        <f t="shared" si="124"/>
        <v>0.83213811574962471</v>
      </c>
      <c r="N95" s="191"/>
      <c r="O95" s="194"/>
    </row>
    <row r="96" spans="2:15" x14ac:dyDescent="0.25">
      <c r="B96" s="20" t="s">
        <v>258</v>
      </c>
      <c r="C96" s="20">
        <v>0</v>
      </c>
      <c r="D96" s="66">
        <f t="shared" si="121"/>
        <v>0</v>
      </c>
      <c r="E96" s="20"/>
      <c r="F96" s="105">
        <f>'PU Wise OWE'!AQ27</f>
        <v>0</v>
      </c>
      <c r="G96" s="185">
        <f t="shared" si="122"/>
        <v>0</v>
      </c>
      <c r="H96" s="218">
        <f>'PU Wise OWE'!AQ29/10000</f>
        <v>0</v>
      </c>
      <c r="I96" s="105">
        <f>'PU Wise OWE'!AQ30</f>
        <v>0</v>
      </c>
      <c r="J96" s="185">
        <f t="shared" si="123"/>
        <v>0</v>
      </c>
      <c r="K96" s="22">
        <f>I96-H96</f>
        <v>0</v>
      </c>
      <c r="L96" s="52" t="e">
        <f>K96/H96</f>
        <v>#DIV/0!</v>
      </c>
      <c r="M96" s="186">
        <v>0</v>
      </c>
      <c r="N96" s="191"/>
      <c r="O96" s="193"/>
    </row>
    <row r="97" spans="2:15" x14ac:dyDescent="0.25">
      <c r="B97" s="20" t="s">
        <v>259</v>
      </c>
      <c r="C97" s="20">
        <v>13.18</v>
      </c>
      <c r="D97" s="66">
        <f t="shared" si="121"/>
        <v>1.6858510030046008E-3</v>
      </c>
      <c r="E97" s="20"/>
      <c r="F97" s="105">
        <f>'PU Wise OWE'!AQ38/10000</f>
        <v>14.552</v>
      </c>
      <c r="G97" s="185">
        <f t="shared" si="122"/>
        <v>1.7594003143513481E-3</v>
      </c>
      <c r="H97" s="109">
        <f>'PU Wise OWE'!AQ40/10000</f>
        <v>10.917400000000001</v>
      </c>
      <c r="I97" s="105">
        <f>'PU Wise OWE'!AQ41/10000</f>
        <v>20.568300000000001</v>
      </c>
      <c r="J97" s="185">
        <f t="shared" si="123"/>
        <v>3.9180102406241903E-3</v>
      </c>
      <c r="K97" s="22">
        <f t="shared" ref="K97:K99" si="130">I97-H97</f>
        <v>9.6509</v>
      </c>
      <c r="L97" s="52">
        <f t="shared" ref="L97:L99" si="131">K97/H97</f>
        <v>0.88399252569293052</v>
      </c>
      <c r="M97" s="186">
        <f t="shared" si="124"/>
        <v>1.4134345794392524</v>
      </c>
      <c r="N97" s="191"/>
      <c r="O97" s="193"/>
    </row>
    <row r="98" spans="2:15" x14ac:dyDescent="0.25">
      <c r="B98" s="20" t="s">
        <v>267</v>
      </c>
      <c r="C98" s="20">
        <v>-0.3</v>
      </c>
      <c r="D98" s="66">
        <f t="shared" si="121"/>
        <v>-3.8372936335461326E-5</v>
      </c>
      <c r="E98" s="20"/>
      <c r="F98" s="105">
        <f>'PU Wise OWE'!AQ49/10000</f>
        <v>4.5999999999999999E-2</v>
      </c>
      <c r="G98" s="185">
        <f t="shared" si="122"/>
        <v>5.5616007737879333E-6</v>
      </c>
      <c r="H98" s="109">
        <f>'PU Wise OWE'!AQ51/10000</f>
        <v>-0.30380000000000001</v>
      </c>
      <c r="I98" s="109">
        <f>'PU Wise OWE'!AQ52/10000</f>
        <v>1.4766999999999999</v>
      </c>
      <c r="J98" s="185">
        <f t="shared" si="123"/>
        <v>2.8129333597476413E-4</v>
      </c>
      <c r="K98" s="22">
        <f t="shared" si="130"/>
        <v>1.7805</v>
      </c>
      <c r="L98" s="52">
        <f t="shared" si="131"/>
        <v>-5.8607636603028306</v>
      </c>
      <c r="M98" s="186">
        <v>0</v>
      </c>
      <c r="N98" s="191"/>
      <c r="O98" s="193"/>
    </row>
    <row r="99" spans="2:15" x14ac:dyDescent="0.25">
      <c r="B99" s="59" t="s">
        <v>260</v>
      </c>
      <c r="C99" s="27">
        <f>SUM(C96:C98)</f>
        <v>12.879999999999999</v>
      </c>
      <c r="D99" s="67">
        <f t="shared" si="121"/>
        <v>1.6474780666691394E-3</v>
      </c>
      <c r="E99" s="27">
        <f t="shared" ref="E99" si="132">SUM(E96:E97)</f>
        <v>0</v>
      </c>
      <c r="F99" s="104">
        <f>SUM(F96:F98)</f>
        <v>14.597999999999999</v>
      </c>
      <c r="G99" s="187">
        <f t="shared" si="122"/>
        <v>1.7649619151251358E-3</v>
      </c>
      <c r="H99" s="104">
        <f>H97+H98</f>
        <v>10.6136</v>
      </c>
      <c r="I99" s="104">
        <f>I97+I98</f>
        <v>22.045000000000002</v>
      </c>
      <c r="J99" s="187">
        <f t="shared" si="123"/>
        <v>4.1993035765989549E-3</v>
      </c>
      <c r="K99" s="26">
        <f t="shared" si="130"/>
        <v>11.431400000000002</v>
      </c>
      <c r="L99" s="55">
        <f t="shared" si="131"/>
        <v>1.0770520841184896</v>
      </c>
      <c r="M99" s="188">
        <f t="shared" si="124"/>
        <v>1.5101383751198796</v>
      </c>
      <c r="N99" s="191"/>
      <c r="O99" s="194"/>
    </row>
    <row r="100" spans="2:15" x14ac:dyDescent="0.25">
      <c r="B100" s="20" t="s">
        <v>261</v>
      </c>
      <c r="C100" s="105">
        <v>24.12</v>
      </c>
      <c r="D100" s="66">
        <f t="shared" si="121"/>
        <v>3.0851840813710908E-3</v>
      </c>
      <c r="E100" s="20"/>
      <c r="F100" s="105">
        <f>'PU Wise OWE'!AC27/10000</f>
        <v>17.599599999999999</v>
      </c>
      <c r="G100" s="185">
        <f t="shared" si="122"/>
        <v>2.1278684560512634E-3</v>
      </c>
      <c r="H100" s="109">
        <f>'PU Wise OWE'!AC29/10000</f>
        <v>9.8871000000000002</v>
      </c>
      <c r="I100" s="105">
        <f>'PU Wise OWE'!AC30/10000</f>
        <v>13.019500000000001</v>
      </c>
      <c r="J100" s="185">
        <f t="shared" si="123"/>
        <v>2.4800559272184211E-3</v>
      </c>
      <c r="K100" s="22">
        <f>I100-H100</f>
        <v>3.1324000000000005</v>
      </c>
      <c r="L100" s="52">
        <f>K100/H100</f>
        <v>0.31681686237622764</v>
      </c>
      <c r="M100" s="186">
        <f t="shared" si="124"/>
        <v>0.73976113093479412</v>
      </c>
      <c r="N100" s="191"/>
      <c r="O100" s="193"/>
    </row>
    <row r="101" spans="2:15" x14ac:dyDescent="0.25">
      <c r="B101" s="20" t="s">
        <v>262</v>
      </c>
      <c r="C101" s="20">
        <v>145.66</v>
      </c>
      <c r="D101" s="66">
        <f t="shared" si="121"/>
        <v>1.8631339688744322E-2</v>
      </c>
      <c r="E101" s="20"/>
      <c r="F101" s="105">
        <f>'PU Wise OWE'!AC38/10000</f>
        <v>115.5805</v>
      </c>
      <c r="G101" s="185">
        <f t="shared" si="122"/>
        <v>1.3974186918147745E-2</v>
      </c>
      <c r="H101" s="109">
        <f>'PU Wise OWE'!AC40/10000</f>
        <v>72.912099999999995</v>
      </c>
      <c r="I101" s="105">
        <f>'PU Wise OWE'!AC41/10000</f>
        <v>69.603399999999993</v>
      </c>
      <c r="J101" s="185">
        <f t="shared" si="123"/>
        <v>1.3258598619344416E-2</v>
      </c>
      <c r="K101" s="22">
        <f t="shared" ref="K101:K102" si="133">I101-H101</f>
        <v>-3.3087000000000018</v>
      </c>
      <c r="L101" s="52">
        <f t="shared" ref="L101:L102" si="134">K101/H101</f>
        <v>-4.5379299183537468E-2</v>
      </c>
      <c r="M101" s="186">
        <f t="shared" si="124"/>
        <v>0.60220711971310037</v>
      </c>
      <c r="N101" s="191"/>
      <c r="O101" s="193"/>
    </row>
    <row r="102" spans="2:15" x14ac:dyDescent="0.25">
      <c r="B102" s="59" t="s">
        <v>263</v>
      </c>
      <c r="C102" s="27">
        <f t="shared" ref="C102:I102" si="135">SUM(C100:C101)</f>
        <v>169.78</v>
      </c>
      <c r="D102" s="67">
        <f t="shared" si="121"/>
        <v>2.1716523770115414E-2</v>
      </c>
      <c r="E102" s="27">
        <f t="shared" si="135"/>
        <v>0</v>
      </c>
      <c r="F102" s="104">
        <f>F100+F101</f>
        <v>133.18010000000001</v>
      </c>
      <c r="G102" s="187">
        <f t="shared" si="122"/>
        <v>1.6102055374199009E-2</v>
      </c>
      <c r="H102" s="104">
        <f t="shared" ref="H102" si="136">SUM(H100:H101)</f>
        <v>82.799199999999999</v>
      </c>
      <c r="I102" s="104">
        <f t="shared" si="135"/>
        <v>82.622899999999987</v>
      </c>
      <c r="J102" s="187">
        <f t="shared" si="123"/>
        <v>1.5738654546562834E-2</v>
      </c>
      <c r="K102" s="22">
        <f t="shared" si="133"/>
        <v>-0.17630000000001189</v>
      </c>
      <c r="L102" s="52">
        <f t="shared" si="134"/>
        <v>-2.1292476255810673E-3</v>
      </c>
      <c r="M102" s="188">
        <f t="shared" si="124"/>
        <v>0.62038472714767434</v>
      </c>
      <c r="N102" s="191"/>
      <c r="O102" s="194"/>
    </row>
    <row r="103" spans="2:15" x14ac:dyDescent="0.25">
      <c r="B103" s="20" t="s">
        <v>264</v>
      </c>
      <c r="C103" s="105">
        <v>12.31</v>
      </c>
      <c r="D103" s="66">
        <f t="shared" si="121"/>
        <v>1.5745694876317631E-3</v>
      </c>
      <c r="E103" s="20"/>
      <c r="F103" s="105">
        <f>'PU Wise OWE'!BB27/10000</f>
        <v>11.169600000000001</v>
      </c>
      <c r="G103" s="185">
        <f t="shared" si="122"/>
        <v>1.3504533913674284E-3</v>
      </c>
      <c r="H103" s="109">
        <f>'PU Wise OWE'!BB29/10000</f>
        <v>18.1325</v>
      </c>
      <c r="I103" s="105">
        <f>'PU Wise OWE'!BB30/10000</f>
        <v>18.648700000000002</v>
      </c>
      <c r="J103" s="185">
        <f t="shared" si="123"/>
        <v>3.5523498575151247E-3</v>
      </c>
      <c r="K103" s="22">
        <f>I103-H103</f>
        <v>0.51620000000000132</v>
      </c>
      <c r="L103" s="52">
        <f>K103/H103</f>
        <v>2.8468220046877227E-2</v>
      </c>
      <c r="M103" s="186">
        <f t="shared" si="124"/>
        <v>1.6695942558372727</v>
      </c>
      <c r="N103" s="191"/>
      <c r="O103" s="193"/>
    </row>
    <row r="104" spans="2:15" x14ac:dyDescent="0.25">
      <c r="B104" s="20" t="s">
        <v>265</v>
      </c>
      <c r="C104" s="105">
        <v>101.34</v>
      </c>
      <c r="D104" s="66">
        <f t="shared" si="121"/>
        <v>1.2962377894118835E-2</v>
      </c>
      <c r="E104" s="20"/>
      <c r="F104" s="105">
        <f>'PU Wise OWE'!BB38/10000</f>
        <v>65.030299999999997</v>
      </c>
      <c r="G104" s="185">
        <f t="shared" si="122"/>
        <v>7.8624471043404667E-3</v>
      </c>
      <c r="H104" s="109">
        <f>'PU Wise OWE'!BB40/10000</f>
        <v>40.094900000000003</v>
      </c>
      <c r="I104" s="105">
        <f>'PU Wise OWE'!BB41/10000</f>
        <v>61.028199999999998</v>
      </c>
      <c r="J104" s="185">
        <f t="shared" si="123"/>
        <v>1.1625127626826777E-2</v>
      </c>
      <c r="K104" s="22">
        <f t="shared" ref="K104:K105" si="137">I104-H104</f>
        <v>20.933299999999996</v>
      </c>
      <c r="L104" s="52">
        <f t="shared" ref="L104:L105" si="138">K104/H104</f>
        <v>0.52209383238267193</v>
      </c>
      <c r="M104" s="186">
        <f t="shared" si="124"/>
        <v>0.93845791884706053</v>
      </c>
      <c r="N104" s="191"/>
      <c r="O104" s="193"/>
    </row>
    <row r="105" spans="2:15" x14ac:dyDescent="0.25">
      <c r="B105" s="59" t="s">
        <v>295</v>
      </c>
      <c r="C105" s="104">
        <f>SUM(C103:C104)</f>
        <v>113.65</v>
      </c>
      <c r="D105" s="67">
        <f t="shared" si="121"/>
        <v>1.45369473817506E-2</v>
      </c>
      <c r="E105" s="27">
        <f t="shared" ref="E105:F105" si="139">SUM(E103:E104)</f>
        <v>0</v>
      </c>
      <c r="F105" s="104">
        <f t="shared" si="139"/>
        <v>76.1999</v>
      </c>
      <c r="G105" s="187">
        <f t="shared" si="122"/>
        <v>9.2129004957078944E-3</v>
      </c>
      <c r="H105" s="104">
        <f>SUM(H103:H104)</f>
        <v>58.227400000000003</v>
      </c>
      <c r="I105" s="104">
        <f>SUM(I103:I104)</f>
        <v>79.676900000000003</v>
      </c>
      <c r="J105" s="187">
        <f t="shared" si="123"/>
        <v>1.5177477484341903E-2</v>
      </c>
      <c r="K105" s="26">
        <f t="shared" si="137"/>
        <v>21.4495</v>
      </c>
      <c r="L105" s="55">
        <f t="shared" si="138"/>
        <v>0.36837468270951473</v>
      </c>
      <c r="M105" s="188">
        <f t="shared" si="124"/>
        <v>1.0456299811417076</v>
      </c>
      <c r="N105" s="191"/>
      <c r="O105" s="194"/>
    </row>
    <row r="106" spans="2:15" x14ac:dyDescent="0.25">
      <c r="B106" s="178"/>
      <c r="C106" s="178"/>
      <c r="D106" s="178"/>
      <c r="E106" s="178"/>
      <c r="F106" s="178"/>
      <c r="G106" s="178"/>
      <c r="H106" s="137"/>
      <c r="I106" s="178"/>
      <c r="J106" s="178"/>
      <c r="K106" s="178"/>
      <c r="L106" s="178"/>
      <c r="M106" s="178"/>
      <c r="N106" s="191"/>
      <c r="O106" s="192"/>
    </row>
    <row r="107" spans="2:15" ht="15" customHeight="1" x14ac:dyDescent="0.25">
      <c r="B107" s="252"/>
      <c r="C107" s="273" t="s">
        <v>302</v>
      </c>
      <c r="D107" s="273" t="s">
        <v>173</v>
      </c>
      <c r="E107" s="273"/>
      <c r="F107" s="277" t="str">
        <f>'PU Wise OWE'!$B$5</f>
        <v xml:space="preserve">OBG(SL) 2021-22 </v>
      </c>
      <c r="G107" s="273" t="s">
        <v>310</v>
      </c>
      <c r="H107" s="277" t="str">
        <f>'PU Wise OWE'!$B$7</f>
        <v>Actuals upto Oct' 20</v>
      </c>
      <c r="I107" s="277" t="s">
        <v>330</v>
      </c>
      <c r="J107" s="273" t="s">
        <v>205</v>
      </c>
      <c r="K107" s="275" t="s">
        <v>147</v>
      </c>
      <c r="L107" s="275"/>
      <c r="M107" s="276" t="s">
        <v>306</v>
      </c>
      <c r="N107" s="191"/>
      <c r="O107" s="196"/>
    </row>
    <row r="108" spans="2:15" ht="30" x14ac:dyDescent="0.25">
      <c r="B108" s="78" t="s">
        <v>191</v>
      </c>
      <c r="C108" s="274"/>
      <c r="D108" s="274"/>
      <c r="E108" s="274"/>
      <c r="F108" s="274"/>
      <c r="G108" s="274"/>
      <c r="H108" s="274"/>
      <c r="I108" s="278"/>
      <c r="J108" s="274"/>
      <c r="K108" s="79" t="s">
        <v>145</v>
      </c>
      <c r="L108" s="79" t="s">
        <v>146</v>
      </c>
      <c r="M108" s="276"/>
      <c r="N108" s="191"/>
      <c r="O108" s="196"/>
    </row>
    <row r="109" spans="2:15" x14ac:dyDescent="0.25">
      <c r="B109" s="20" t="s">
        <v>218</v>
      </c>
      <c r="C109" s="20">
        <v>305.92</v>
      </c>
      <c r="D109" s="66">
        <f t="shared" ref="D109:D112" si="140">C109/$C$7</f>
        <v>3.9130162279147764E-2</v>
      </c>
      <c r="E109" s="20"/>
      <c r="F109" s="20">
        <v>115.89</v>
      </c>
      <c r="G109" s="185">
        <f t="shared" ref="G109:G112" si="141">F109/$F$7</f>
        <v>1.4011606819006166E-2</v>
      </c>
      <c r="H109" s="253">
        <v>163.68</v>
      </c>
      <c r="I109" s="253">
        <v>254.77</v>
      </c>
      <c r="J109" s="185">
        <f t="shared" ref="J109:J112" si="142">I109/$I$7</f>
        <v>4.8530577101842394E-2</v>
      </c>
      <c r="K109" s="105">
        <f t="shared" ref="K109" si="143">I109-H109</f>
        <v>91.09</v>
      </c>
      <c r="L109" s="186">
        <f t="shared" ref="L109" si="144">K109/H109</f>
        <v>0.55651270772238515</v>
      </c>
      <c r="M109" s="186">
        <f t="shared" ref="M109:M112" si="145">I109/F109</f>
        <v>2.1983777720251965</v>
      </c>
      <c r="N109" s="191"/>
      <c r="O109" s="193"/>
    </row>
    <row r="110" spans="2:15" x14ac:dyDescent="0.25">
      <c r="B110" s="20" t="s">
        <v>217</v>
      </c>
      <c r="C110" s="20">
        <v>266.58999999999997</v>
      </c>
      <c r="D110" s="66">
        <f t="shared" si="140"/>
        <v>3.409947032556878E-2</v>
      </c>
      <c r="E110" s="20"/>
      <c r="F110" s="105">
        <v>750</v>
      </c>
      <c r="G110" s="185">
        <f t="shared" si="141"/>
        <v>9.0678273485672839E-2</v>
      </c>
      <c r="H110" s="253">
        <v>453.21</v>
      </c>
      <c r="I110" s="253">
        <v>301.24</v>
      </c>
      <c r="J110" s="185">
        <f t="shared" si="142"/>
        <v>5.7382545221803992E-2</v>
      </c>
      <c r="K110" s="105">
        <f>I110-H110</f>
        <v>-151.96999999999997</v>
      </c>
      <c r="L110" s="186">
        <f>K110/H110</f>
        <v>-0.33531916771474585</v>
      </c>
      <c r="M110" s="186">
        <f t="shared" si="145"/>
        <v>0.40165333333333336</v>
      </c>
      <c r="N110" s="191"/>
      <c r="O110" s="193"/>
    </row>
    <row r="111" spans="2:15" x14ac:dyDescent="0.25">
      <c r="B111" s="254" t="s">
        <v>216</v>
      </c>
      <c r="C111" s="20">
        <v>544.78</v>
      </c>
      <c r="D111" s="66">
        <f t="shared" si="140"/>
        <v>6.9682694189442063E-2</v>
      </c>
      <c r="E111" s="20"/>
      <c r="F111" s="105">
        <v>676.5</v>
      </c>
      <c r="G111" s="185">
        <f t="shared" si="141"/>
        <v>8.1791802684076889E-2</v>
      </c>
      <c r="H111" s="253">
        <v>544.78</v>
      </c>
      <c r="I111" s="253">
        <v>595.95000000000005</v>
      </c>
      <c r="J111" s="185">
        <f t="shared" si="142"/>
        <v>0.11352120510202526</v>
      </c>
      <c r="K111" s="105">
        <f t="shared" ref="K111" si="146">I111-H111</f>
        <v>51.170000000000073</v>
      </c>
      <c r="L111" s="186">
        <f t="shared" ref="L111" si="147">K111/H111</f>
        <v>9.3927824075773839E-2</v>
      </c>
      <c r="M111" s="186">
        <f t="shared" si="145"/>
        <v>0.88093126385809317</v>
      </c>
      <c r="N111" s="191"/>
      <c r="O111" s="193"/>
    </row>
    <row r="112" spans="2:15" x14ac:dyDescent="0.25">
      <c r="B112" s="27" t="s">
        <v>130</v>
      </c>
      <c r="C112" s="27">
        <f>SUM(C109:C111)</f>
        <v>1117.29</v>
      </c>
      <c r="D112" s="67">
        <f t="shared" si="140"/>
        <v>0.14291232679415861</v>
      </c>
      <c r="E112" s="27"/>
      <c r="F112" s="139">
        <f>+F109+F110+F111</f>
        <v>1542.3899999999999</v>
      </c>
      <c r="G112" s="187">
        <f t="shared" si="141"/>
        <v>0.18648168298875589</v>
      </c>
      <c r="H112" s="139">
        <f>+H109+H110+H111</f>
        <v>1161.67</v>
      </c>
      <c r="I112" s="104">
        <f>SUM(I109:I111)</f>
        <v>1151.96</v>
      </c>
      <c r="J112" s="187">
        <f t="shared" si="142"/>
        <v>0.21943432742567165</v>
      </c>
      <c r="K112" s="104">
        <f t="shared" ref="K112" si="148">I112-H112</f>
        <v>-9.7100000000000364</v>
      </c>
      <c r="L112" s="188">
        <f t="shared" ref="L112" si="149">K112/H112</f>
        <v>-8.3586560727229205E-3</v>
      </c>
      <c r="M112" s="188">
        <f t="shared" si="145"/>
        <v>0.74686687543358043</v>
      </c>
      <c r="N112" s="191"/>
      <c r="O112" s="194"/>
    </row>
    <row r="113" spans="2:15" x14ac:dyDescent="0.25">
      <c r="B113" s="178"/>
      <c r="C113" s="178"/>
      <c r="D113" s="178"/>
      <c r="E113" s="178"/>
      <c r="F113" s="178"/>
      <c r="G113" s="178"/>
      <c r="H113" s="137"/>
      <c r="I113" s="178"/>
      <c r="J113" s="178"/>
      <c r="K113" s="178"/>
      <c r="L113" s="178"/>
      <c r="M113" s="178"/>
      <c r="N113" s="191"/>
      <c r="O113" s="192"/>
    </row>
    <row r="114" spans="2:15" x14ac:dyDescent="0.25">
      <c r="B114" s="202" t="s">
        <v>219</v>
      </c>
      <c r="C114" s="32"/>
      <c r="D114" s="32"/>
      <c r="E114" s="32"/>
      <c r="F114" s="32"/>
      <c r="G114" s="32"/>
      <c r="H114" s="255"/>
      <c r="I114" s="32"/>
      <c r="J114" s="32"/>
      <c r="K114" s="32"/>
      <c r="L114" s="32"/>
      <c r="M114" s="32"/>
      <c r="N114" s="191"/>
      <c r="O114" s="192"/>
    </row>
    <row r="115" spans="2:15" x14ac:dyDescent="0.25">
      <c r="B115" s="20" t="s">
        <v>220</v>
      </c>
      <c r="C115" s="105">
        <v>28.7</v>
      </c>
      <c r="D115" s="66">
        <f t="shared" ref="D115:D118" si="150">C115/$C$7</f>
        <v>3.6710109094258E-3</v>
      </c>
      <c r="E115" s="20"/>
      <c r="F115" s="105">
        <v>24.43</v>
      </c>
      <c r="G115" s="185">
        <f t="shared" ref="G115:G118" si="151">F115/$F$7</f>
        <v>2.9536936283399832E-3</v>
      </c>
      <c r="H115" s="109">
        <v>13.43</v>
      </c>
      <c r="I115" s="20">
        <v>25.36</v>
      </c>
      <c r="J115" s="185">
        <f t="shared" ref="J115:J118" si="152">I115/$I$7</f>
        <v>4.8307706374483778E-3</v>
      </c>
      <c r="K115" s="105">
        <f t="shared" ref="K115" si="153">I115-H115</f>
        <v>11.93</v>
      </c>
      <c r="L115" s="186">
        <f t="shared" ref="L115" si="154">K115/H115</f>
        <v>0.88830975428145942</v>
      </c>
      <c r="M115" s="186">
        <f t="shared" ref="M115:M118" si="155">I115/F115</f>
        <v>1.0380679492427343</v>
      </c>
      <c r="N115" s="191"/>
      <c r="O115" s="193"/>
    </row>
    <row r="116" spans="2:15" x14ac:dyDescent="0.25">
      <c r="B116" s="20" t="s">
        <v>221</v>
      </c>
      <c r="C116" s="105">
        <v>38.6</v>
      </c>
      <c r="D116" s="66">
        <f t="shared" si="150"/>
        <v>4.9373178084960237E-3</v>
      </c>
      <c r="E116" s="20"/>
      <c r="F116" s="20">
        <v>33.74</v>
      </c>
      <c r="G116" s="185">
        <f t="shared" si="151"/>
        <v>4.0793132632088022E-3</v>
      </c>
      <c r="H116" s="81">
        <v>23.11</v>
      </c>
      <c r="I116" s="105">
        <v>20.65</v>
      </c>
      <c r="J116" s="185">
        <f t="shared" si="152"/>
        <v>3.9335730939790607E-3</v>
      </c>
      <c r="K116" s="105">
        <f>I116-H116</f>
        <v>-2.4600000000000009</v>
      </c>
      <c r="L116" s="186">
        <f>K116/H116</f>
        <v>-0.10644742535698835</v>
      </c>
      <c r="M116" s="186">
        <f t="shared" si="155"/>
        <v>0.61203319502074682</v>
      </c>
      <c r="N116" s="191"/>
      <c r="O116" s="193"/>
    </row>
    <row r="117" spans="2:15" x14ac:dyDescent="0.25">
      <c r="B117" s="254" t="s">
        <v>222</v>
      </c>
      <c r="C117" s="20">
        <v>33.31</v>
      </c>
      <c r="D117" s="66">
        <f t="shared" si="150"/>
        <v>4.260675031114056E-3</v>
      </c>
      <c r="E117" s="20"/>
      <c r="F117" s="20">
        <v>35.04</v>
      </c>
      <c r="G117" s="185">
        <f t="shared" si="151"/>
        <v>4.2364889372506348E-3</v>
      </c>
      <c r="H117" s="109">
        <v>20.67</v>
      </c>
      <c r="I117" s="105">
        <v>21.37</v>
      </c>
      <c r="J117" s="185">
        <f t="shared" si="152"/>
        <v>4.0707243108151353E-3</v>
      </c>
      <c r="K117" s="105">
        <f t="shared" ref="K117" si="156">I117-H117</f>
        <v>0.69999999999999929</v>
      </c>
      <c r="L117" s="186">
        <f t="shared" ref="L117" si="157">K117/H117</f>
        <v>3.3865505563618732E-2</v>
      </c>
      <c r="M117" s="186">
        <f t="shared" si="155"/>
        <v>0.60987442922374435</v>
      </c>
      <c r="N117" s="191"/>
      <c r="O117" s="193"/>
    </row>
    <row r="118" spans="2:15" x14ac:dyDescent="0.25">
      <c r="B118" s="27" t="s">
        <v>130</v>
      </c>
      <c r="C118" s="104">
        <f>SUM(C115:C117)</f>
        <v>100.61</v>
      </c>
      <c r="D118" s="67">
        <f t="shared" si="150"/>
        <v>1.2869003749035879E-2</v>
      </c>
      <c r="E118" s="27"/>
      <c r="F118" s="27">
        <f>SUM(F115:F117)</f>
        <v>93.210000000000008</v>
      </c>
      <c r="G118" s="187">
        <f t="shared" si="151"/>
        <v>1.1269495828799421E-2</v>
      </c>
      <c r="H118" s="146">
        <f>SUM(H115:H117)</f>
        <v>57.21</v>
      </c>
      <c r="I118" s="27">
        <f>SUM(I115:I117)</f>
        <v>67.38</v>
      </c>
      <c r="J118" s="187">
        <f t="shared" si="152"/>
        <v>1.2835068042242574E-2</v>
      </c>
      <c r="K118" s="104">
        <f t="shared" ref="K118" si="158">I118-H118</f>
        <v>10.169999999999995</v>
      </c>
      <c r="L118" s="188">
        <f t="shared" ref="L118" si="159">K118/H118</f>
        <v>0.17776612480335596</v>
      </c>
      <c r="M118" s="188">
        <f t="shared" si="155"/>
        <v>0.72288381074991948</v>
      </c>
      <c r="N118" s="191"/>
      <c r="O118" s="194"/>
    </row>
    <row r="121" spans="2:15" x14ac:dyDescent="0.25">
      <c r="C121" s="34"/>
    </row>
    <row r="122" spans="2:15" x14ac:dyDescent="0.25">
      <c r="C122" s="31"/>
    </row>
    <row r="123" spans="2:15" x14ac:dyDescent="0.25">
      <c r="C123" s="31"/>
    </row>
    <row r="124" spans="2:15" x14ac:dyDescent="0.2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zoomScaleSheetLayoutView="100" workbookViewId="0">
      <selection activeCell="N93" sqref="N93"/>
    </sheetView>
  </sheetViews>
  <sheetFormatPr defaultRowHeight="15" x14ac:dyDescent="0.25"/>
  <cols>
    <col min="2" max="2" width="27" customWidth="1"/>
    <col min="3" max="3" width="10" style="179" customWidth="1"/>
    <col min="4" max="4" width="11.7109375" style="69"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280</v>
      </c>
      <c r="C1" s="36"/>
    </row>
    <row r="2" spans="1:14" x14ac:dyDescent="0.25">
      <c r="K2" s="36" t="s">
        <v>150</v>
      </c>
    </row>
    <row r="3" spans="1:14" s="36" customFormat="1" ht="15" customHeight="1" x14ac:dyDescent="0.25">
      <c r="B3" s="299" t="s">
        <v>151</v>
      </c>
      <c r="C3" s="303" t="s">
        <v>302</v>
      </c>
      <c r="D3" s="305" t="str">
        <f>'PU Wise OWE'!$B$7</f>
        <v>Actuals upto Oct' 20</v>
      </c>
      <c r="E3" s="303" t="s">
        <v>173</v>
      </c>
      <c r="F3" s="303"/>
      <c r="G3" s="318" t="str">
        <f>'PU Wise OWE'!$B$5</f>
        <v xml:space="preserve">OBG(SL) 2021-22 </v>
      </c>
      <c r="H3" s="303" t="s">
        <v>309</v>
      </c>
      <c r="I3" s="305" t="str">
        <f>'PU Wise OWE'!B8</f>
        <v>Actuals upto Oct' 21</v>
      </c>
      <c r="J3" s="303" t="s">
        <v>205</v>
      </c>
      <c r="K3" s="306" t="s">
        <v>147</v>
      </c>
      <c r="L3" s="306"/>
      <c r="M3" s="279" t="s">
        <v>314</v>
      </c>
      <c r="N3" s="314"/>
    </row>
    <row r="4" spans="1:14" ht="15.6" customHeight="1" x14ac:dyDescent="0.25">
      <c r="A4" s="31"/>
      <c r="B4" s="300"/>
      <c r="C4" s="304"/>
      <c r="D4" s="304"/>
      <c r="E4" s="304"/>
      <c r="F4" s="304"/>
      <c r="G4" s="300"/>
      <c r="H4" s="304"/>
      <c r="I4" s="304"/>
      <c r="J4" s="304"/>
      <c r="K4" s="19" t="s">
        <v>145</v>
      </c>
      <c r="L4" s="18" t="s">
        <v>146</v>
      </c>
      <c r="M4" s="279"/>
      <c r="N4" s="314"/>
    </row>
    <row r="5" spans="1:14" x14ac:dyDescent="0.25">
      <c r="A5" s="31"/>
      <c r="B5" s="61" t="s">
        <v>148</v>
      </c>
      <c r="C5" s="22">
        <v>4575.6000000000004</v>
      </c>
      <c r="D5" s="70">
        <f>ROUND('PU Wise OWE'!$AD$128/10000,2)</f>
        <v>2754.28</v>
      </c>
      <c r="E5" s="66">
        <f>D5/D7</f>
        <v>0.5369333190373613</v>
      </c>
      <c r="F5" s="66"/>
      <c r="G5" s="22">
        <f>ROUND('PU Wise OWE'!$AD$126/10000,2)</f>
        <v>4962.2700000000004</v>
      </c>
      <c r="H5" s="66">
        <f>G5/G7</f>
        <v>0.59996010155966639</v>
      </c>
      <c r="I5" s="23">
        <f>ROUND('PU Wise OWE'!$AD$129/10000,2)</f>
        <v>3030.71</v>
      </c>
      <c r="J5" s="24">
        <f>I5/$I$7</f>
        <v>0.52654521320954017</v>
      </c>
      <c r="K5" s="22">
        <f>I5-D5</f>
        <v>276.42999999999984</v>
      </c>
      <c r="L5" s="52">
        <f>K5/D5</f>
        <v>0.10036379743526432</v>
      </c>
      <c r="M5" s="52">
        <f>I5/G5</f>
        <v>0.61075072497062832</v>
      </c>
    </row>
    <row r="6" spans="1:14" x14ac:dyDescent="0.25">
      <c r="A6" s="31"/>
      <c r="B6" s="78" t="s">
        <v>144</v>
      </c>
      <c r="C6" s="21">
        <v>3242.41</v>
      </c>
      <c r="D6" s="70">
        <f>D7-D5</f>
        <v>2375.3699999999994</v>
      </c>
      <c r="E6" s="66">
        <f>D6/D7</f>
        <v>0.4630666809626387</v>
      </c>
      <c r="F6" s="66"/>
      <c r="G6" s="21">
        <f t="shared" ref="G6:I6" si="0">G7-G5</f>
        <v>3308.7299999999996</v>
      </c>
      <c r="H6" s="66">
        <f>G6/G7</f>
        <v>0.40003989844033366</v>
      </c>
      <c r="I6" s="21">
        <f t="shared" si="0"/>
        <v>2725.13</v>
      </c>
      <c r="J6" s="24">
        <f t="shared" ref="J6:J7" si="1">I6/$I$7</f>
        <v>0.47345478679045977</v>
      </c>
      <c r="K6" s="22">
        <f>I6-D6</f>
        <v>349.76000000000067</v>
      </c>
      <c r="L6" s="52">
        <f>K6/D6</f>
        <v>0.1472444292889111</v>
      </c>
      <c r="M6" s="52">
        <f>I6/G6</f>
        <v>0.82361812538345547</v>
      </c>
    </row>
    <row r="7" spans="1:14" x14ac:dyDescent="0.25">
      <c r="A7" s="31"/>
      <c r="B7" s="27" t="s">
        <v>171</v>
      </c>
      <c r="C7" s="104">
        <f>SUM(C5:C6)</f>
        <v>7818.01</v>
      </c>
      <c r="D7" s="71">
        <f>ROUND('PU Wise OWE'!BK128/10000,2)</f>
        <v>5129.6499999999996</v>
      </c>
      <c r="E7" s="67">
        <f>SUM(E5:E6)</f>
        <v>1</v>
      </c>
      <c r="F7" s="67"/>
      <c r="G7" s="26">
        <f>ROUND('PU Wise OWE'!BK126/10000,2)</f>
        <v>8271</v>
      </c>
      <c r="H7" s="67">
        <f>SUM(H5:H6)</f>
        <v>1</v>
      </c>
      <c r="I7" s="25">
        <f>ROUND('PU Wise OWE'!BK129/10000,2)</f>
        <v>5755.84</v>
      </c>
      <c r="J7" s="54">
        <f t="shared" si="1"/>
        <v>1</v>
      </c>
      <c r="K7" s="26">
        <f>I7-D7</f>
        <v>626.19000000000051</v>
      </c>
      <c r="L7" s="55">
        <f>K7/D7</f>
        <v>0.1220726560291639</v>
      </c>
      <c r="M7" s="52">
        <f>I7/G7</f>
        <v>0.69590617821303347</v>
      </c>
    </row>
    <row r="8" spans="1:14" x14ac:dyDescent="0.25">
      <c r="A8" s="31"/>
      <c r="B8" s="32"/>
      <c r="C8" s="32"/>
      <c r="D8" s="72"/>
      <c r="E8" s="33"/>
      <c r="F8" s="33"/>
      <c r="G8" s="34"/>
      <c r="H8" s="34"/>
      <c r="I8" s="31"/>
      <c r="J8" s="31"/>
      <c r="K8" s="34"/>
      <c r="L8" s="31"/>
    </row>
    <row r="9" spans="1:14" ht="14.45" customHeight="1" x14ac:dyDescent="0.25">
      <c r="A9" s="31"/>
      <c r="D9" s="72"/>
      <c r="E9" s="33"/>
      <c r="F9" s="33"/>
      <c r="G9" s="34"/>
      <c r="H9" s="34"/>
      <c r="I9" s="31"/>
      <c r="J9" s="31"/>
      <c r="K9" s="34"/>
      <c r="L9" s="31"/>
    </row>
    <row r="10" spans="1:14" x14ac:dyDescent="0.25">
      <c r="A10" s="31"/>
      <c r="B10" s="62" t="s">
        <v>172</v>
      </c>
      <c r="C10" s="62"/>
      <c r="D10" s="73"/>
      <c r="E10" s="63"/>
      <c r="F10" s="63"/>
      <c r="G10" s="63"/>
      <c r="H10" s="63"/>
      <c r="I10" s="63"/>
      <c r="J10" s="63"/>
      <c r="K10" s="36" t="s">
        <v>150</v>
      </c>
    </row>
    <row r="11" spans="1:14" ht="15" customHeight="1" x14ac:dyDescent="0.25">
      <c r="A11" s="31"/>
      <c r="B11" s="298"/>
      <c r="C11" s="298" t="s">
        <v>302</v>
      </c>
      <c r="D11" s="287" t="str">
        <f>'PU Wise OWE'!$B$7</f>
        <v>Actuals upto Oct' 20</v>
      </c>
      <c r="E11" s="298" t="s">
        <v>173</v>
      </c>
      <c r="F11" s="298"/>
      <c r="G11" s="319" t="str">
        <f>'PU Wise OWE'!$B$5</f>
        <v xml:space="preserve">OBG(SL) 2021-22 </v>
      </c>
      <c r="H11" s="298" t="s">
        <v>309</v>
      </c>
      <c r="I11" s="287" t="str">
        <f>'PU Wise OWE'!B8</f>
        <v>Actuals upto Oct' 21</v>
      </c>
      <c r="J11" s="298" t="s">
        <v>205</v>
      </c>
      <c r="K11" s="295" t="s">
        <v>147</v>
      </c>
      <c r="L11" s="295"/>
      <c r="M11" s="280" t="s">
        <v>314</v>
      </c>
      <c r="N11" s="314" t="s">
        <v>209</v>
      </c>
    </row>
    <row r="12" spans="1:14" ht="17.25" customHeight="1" x14ac:dyDescent="0.25">
      <c r="A12" s="31"/>
      <c r="B12" s="288"/>
      <c r="C12" s="288"/>
      <c r="D12" s="288"/>
      <c r="E12" s="288"/>
      <c r="F12" s="288"/>
      <c r="G12" s="320"/>
      <c r="H12" s="288"/>
      <c r="I12" s="288"/>
      <c r="J12" s="288"/>
      <c r="K12" s="64" t="s">
        <v>145</v>
      </c>
      <c r="L12" s="65" t="s">
        <v>146</v>
      </c>
      <c r="M12" s="280"/>
      <c r="N12" s="314"/>
    </row>
    <row r="13" spans="1:14" x14ac:dyDescent="0.25">
      <c r="A13" s="31"/>
      <c r="B13" s="20" t="s">
        <v>152</v>
      </c>
      <c r="C13" s="105">
        <v>2522.8000000000002</v>
      </c>
      <c r="D13" s="70">
        <f>ROUND('PU Wise OWE'!$C$128/10000,2)</f>
        <v>1470.58</v>
      </c>
      <c r="E13" s="66">
        <f>D13/$D$7</f>
        <v>0.2866823272542961</v>
      </c>
      <c r="F13" s="21"/>
      <c r="G13" s="22">
        <f>ROUND('PU Wise OWE'!$C$126/10000,2)</f>
        <v>2509.4499999999998</v>
      </c>
      <c r="H13" s="24">
        <f>G13/$G$7</f>
        <v>0.30340345786482892</v>
      </c>
      <c r="I13" s="23">
        <f>ROUND('PU Wise OWE'!$C$129/10000,2)</f>
        <v>1507.04</v>
      </c>
      <c r="J13" s="24">
        <f>I13/$I$7</f>
        <v>0.26182798687941289</v>
      </c>
      <c r="K13" s="22">
        <f t="shared" ref="K13:K28" si="2">I13-D13</f>
        <v>36.460000000000036</v>
      </c>
      <c r="L13" s="52">
        <f t="shared" ref="L13:L28" si="3">K13/D13</f>
        <v>2.4792938840457534E-2</v>
      </c>
      <c r="M13" s="52">
        <f>I13/G13</f>
        <v>0.60054593636055709</v>
      </c>
    </row>
    <row r="14" spans="1:14" x14ac:dyDescent="0.25">
      <c r="A14" s="31"/>
      <c r="B14" s="20" t="s">
        <v>153</v>
      </c>
      <c r="C14" s="105">
        <v>441.91</v>
      </c>
      <c r="D14" s="70">
        <f>ROUND('PU Wise OWE'!$D$128/10000,2)</f>
        <v>257.20999999999998</v>
      </c>
      <c r="E14" s="66">
        <f t="shared" ref="E14:E27" si="4">D14/$D$7</f>
        <v>5.0141822541498932E-2</v>
      </c>
      <c r="F14" s="21"/>
      <c r="G14" s="22">
        <f>ROUND('PU Wise OWE'!$D$126/10000,2)</f>
        <v>755.98</v>
      </c>
      <c r="H14" s="24">
        <f t="shared" ref="H14:H27" si="5">G14/$G$7</f>
        <v>9.1401281586265259E-2</v>
      </c>
      <c r="I14" s="23">
        <f>ROUND('PU Wise OWE'!$D$129/10000,2)</f>
        <v>391.09</v>
      </c>
      <c r="J14" s="24">
        <f t="shared" ref="J14:J28" si="6">I14/$I$7</f>
        <v>6.7946642019236114E-2</v>
      </c>
      <c r="K14" s="22">
        <f t="shared" si="2"/>
        <v>133.88</v>
      </c>
      <c r="L14" s="52">
        <f t="shared" si="3"/>
        <v>0.52050853388281948</v>
      </c>
      <c r="M14" s="52">
        <f t="shared" ref="M14:M27" si="7">I14/G14</f>
        <v>0.51732850075398817</v>
      </c>
    </row>
    <row r="15" spans="1:14" x14ac:dyDescent="0.25">
      <c r="B15" s="23" t="s">
        <v>174</v>
      </c>
      <c r="C15" s="22">
        <v>98.2</v>
      </c>
      <c r="D15" s="70">
        <f>ROUND('PU Wise OWE'!$E$128/10000,2)</f>
        <v>92.63</v>
      </c>
      <c r="E15" s="66">
        <f t="shared" si="4"/>
        <v>1.8057762225492966E-2</v>
      </c>
      <c r="F15" s="21"/>
      <c r="G15" s="22">
        <f>ROUND('PU Wise OWE'!$E$126/10000,2)</f>
        <v>99.13</v>
      </c>
      <c r="H15" s="24">
        <f t="shared" si="5"/>
        <v>1.1985249667512996E-2</v>
      </c>
      <c r="I15" s="23">
        <f>ROUND('PU Wise OWE'!$E$129/10000,2)</f>
        <v>93.86</v>
      </c>
      <c r="J15" s="24">
        <f t="shared" si="6"/>
        <v>1.630691610607661E-2</v>
      </c>
      <c r="K15" s="22">
        <f t="shared" si="2"/>
        <v>1.230000000000004</v>
      </c>
      <c r="L15" s="52">
        <f t="shared" si="3"/>
        <v>1.3278635431285804E-2</v>
      </c>
      <c r="M15" s="52">
        <f t="shared" si="7"/>
        <v>0.94683748612932517</v>
      </c>
    </row>
    <row r="16" spans="1:14" x14ac:dyDescent="0.25">
      <c r="B16" s="23" t="s">
        <v>175</v>
      </c>
      <c r="C16" s="22">
        <v>264.85000000000002</v>
      </c>
      <c r="D16" s="70">
        <f>ROUND('PU Wise OWE'!$F$128/10000,2)</f>
        <v>154.66999999999999</v>
      </c>
      <c r="E16" s="66">
        <f t="shared" si="4"/>
        <v>3.0152154630432876E-2</v>
      </c>
      <c r="F16" s="21"/>
      <c r="G16" s="22">
        <f>ROUND('PU Wise OWE'!$F$126/10000,2)</f>
        <v>286.05</v>
      </c>
      <c r="H16" s="24">
        <f t="shared" si="5"/>
        <v>3.4584693507435621E-2</v>
      </c>
      <c r="I16" s="23">
        <f>ROUND('PU Wise OWE'!$F$129/10000,2)</f>
        <v>171.4</v>
      </c>
      <c r="J16" s="24">
        <f t="shared" si="6"/>
        <v>2.9778451103574806E-2</v>
      </c>
      <c r="K16" s="22">
        <f t="shared" si="2"/>
        <v>16.730000000000018</v>
      </c>
      <c r="L16" s="52">
        <f t="shared" si="3"/>
        <v>0.10816577228939044</v>
      </c>
      <c r="M16" s="52">
        <f t="shared" si="7"/>
        <v>0.59919594476490123</v>
      </c>
    </row>
    <row r="17" spans="1:14" x14ac:dyDescent="0.25">
      <c r="B17" s="23" t="s">
        <v>176</v>
      </c>
      <c r="C17" s="22">
        <v>134.78</v>
      </c>
      <c r="D17" s="70">
        <f>ROUND('PU Wise OWE'!$G$128/10000,2)</f>
        <v>78.650000000000006</v>
      </c>
      <c r="E17" s="66">
        <f t="shared" si="4"/>
        <v>1.5332430087822759E-2</v>
      </c>
      <c r="F17" s="21"/>
      <c r="G17" s="22">
        <f>ROUND('PU Wise OWE'!$G$126/10000,2)</f>
        <v>148.21</v>
      </c>
      <c r="H17" s="24">
        <f t="shared" si="5"/>
        <v>1.7919235884415428E-2</v>
      </c>
      <c r="I17" s="23">
        <f>ROUND('PU Wise OWE'!$G$129/10000,2)</f>
        <v>87.16</v>
      </c>
      <c r="J17" s="24">
        <f t="shared" si="6"/>
        <v>1.5142880969589146E-2</v>
      </c>
      <c r="K17" s="22">
        <f t="shared" si="2"/>
        <v>8.5099999999999909</v>
      </c>
      <c r="L17" s="52">
        <f t="shared" si="3"/>
        <v>0.10820089001907171</v>
      </c>
      <c r="M17" s="52">
        <f t="shared" si="7"/>
        <v>0.58808447473179937</v>
      </c>
    </row>
    <row r="18" spans="1:14" x14ac:dyDescent="0.25">
      <c r="A18" s="31"/>
      <c r="B18" s="20" t="s">
        <v>154</v>
      </c>
      <c r="C18" s="105">
        <v>247.05</v>
      </c>
      <c r="D18" s="70">
        <f>ROUND('PU Wise OWE'!$H$128/10000,2)</f>
        <v>163.29</v>
      </c>
      <c r="E18" s="66">
        <f t="shared" si="4"/>
        <v>3.1832581170255281E-2</v>
      </c>
      <c r="F18" s="21"/>
      <c r="G18" s="22">
        <f>ROUND('PU Wise OWE'!$H$126/10000,2)</f>
        <v>289.98</v>
      </c>
      <c r="H18" s="24">
        <f t="shared" si="5"/>
        <v>3.5059847660500548E-2</v>
      </c>
      <c r="I18" s="23">
        <f>ROUND('PU Wise OWE'!$H$129/10000,2)</f>
        <v>183.83</v>
      </c>
      <c r="J18" s="24">
        <f t="shared" si="6"/>
        <v>3.1937996886640355E-2</v>
      </c>
      <c r="K18" s="22">
        <f t="shared" si="2"/>
        <v>20.54000000000002</v>
      </c>
      <c r="L18" s="52">
        <f t="shared" si="3"/>
        <v>0.12578847449323302</v>
      </c>
      <c r="M18" s="52">
        <f t="shared" si="7"/>
        <v>0.63394027174287881</v>
      </c>
    </row>
    <row r="19" spans="1:14" ht="45" customHeight="1" x14ac:dyDescent="0.25">
      <c r="A19" s="31"/>
      <c r="B19" s="56" t="s">
        <v>155</v>
      </c>
      <c r="C19" s="106">
        <v>188.24</v>
      </c>
      <c r="D19" s="70">
        <f>ROUND('PU Wise OWE'!$J$128/10000,2)</f>
        <v>102.34</v>
      </c>
      <c r="E19" s="66">
        <f t="shared" si="4"/>
        <v>1.9950678896220993E-2</v>
      </c>
      <c r="F19" s="21"/>
      <c r="G19" s="22">
        <f>ROUND('PU Wise OWE'!$J$126/10000,2)</f>
        <v>198.27</v>
      </c>
      <c r="H19" s="24">
        <f t="shared" si="5"/>
        <v>2.397170837867247E-2</v>
      </c>
      <c r="I19" s="23">
        <f>ROUND('PU Wise OWE'!$J$129/10000,2)</f>
        <v>131.63</v>
      </c>
      <c r="J19" s="24">
        <f t="shared" si="6"/>
        <v>2.2868947017290264E-2</v>
      </c>
      <c r="K19" s="22">
        <f t="shared" si="2"/>
        <v>29.289999999999992</v>
      </c>
      <c r="L19" s="52">
        <f t="shared" si="3"/>
        <v>0.28620285323431688</v>
      </c>
      <c r="M19" s="52">
        <f t="shared" si="7"/>
        <v>0.66389267160942145</v>
      </c>
      <c r="N19" s="69"/>
    </row>
    <row r="20" spans="1:14" x14ac:dyDescent="0.25">
      <c r="A20" s="31"/>
      <c r="B20" s="20" t="s">
        <v>156</v>
      </c>
      <c r="C20" s="105">
        <v>12.03</v>
      </c>
      <c r="D20" s="70">
        <f>ROUND('PU Wise OWE'!$K$128/10000,2)</f>
        <v>4.24</v>
      </c>
      <c r="E20" s="66">
        <f t="shared" si="4"/>
        <v>8.2656711471542905E-4</v>
      </c>
      <c r="F20" s="21"/>
      <c r="G20" s="22">
        <f>ROUND('PU Wise OWE'!$K$126/10000,2)</f>
        <v>11.75</v>
      </c>
      <c r="H20" s="24">
        <f t="shared" si="5"/>
        <v>1.4206262846088744E-3</v>
      </c>
      <c r="I20" s="23">
        <f>ROUND('PU Wise OWE'!$K$129/10000,2)</f>
        <v>0.99</v>
      </c>
      <c r="J20" s="24">
        <f t="shared" si="6"/>
        <v>1.7199922166008784E-4</v>
      </c>
      <c r="K20" s="22">
        <f t="shared" si="2"/>
        <v>-3.25</v>
      </c>
      <c r="L20" s="52">
        <f t="shared" si="3"/>
        <v>-0.76650943396226412</v>
      </c>
      <c r="M20" s="52">
        <f t="shared" si="7"/>
        <v>8.4255319148936164E-2</v>
      </c>
    </row>
    <row r="21" spans="1:14" x14ac:dyDescent="0.25">
      <c r="A21" s="31"/>
      <c r="B21" s="20" t="s">
        <v>157</v>
      </c>
      <c r="C21" s="105">
        <v>48.93</v>
      </c>
      <c r="D21" s="70">
        <f>ROUND('PU Wise OWE'!$L$128/10000,2)</f>
        <v>32.659999999999997</v>
      </c>
      <c r="E21" s="66">
        <f t="shared" si="4"/>
        <v>6.3669061241995069E-3</v>
      </c>
      <c r="F21" s="21"/>
      <c r="G21" s="22">
        <f>ROUND('PU Wise OWE'!$L$126/10000,2)</f>
        <v>52.98</v>
      </c>
      <c r="H21" s="24">
        <f t="shared" si="5"/>
        <v>6.4055132390279284E-3</v>
      </c>
      <c r="I21" s="23">
        <f>ROUND('PU Wise OWE'!$L$129/10000,2)</f>
        <v>23.02</v>
      </c>
      <c r="J21" s="24">
        <f t="shared" si="6"/>
        <v>3.9994162450658803E-3</v>
      </c>
      <c r="K21" s="22">
        <f t="shared" si="2"/>
        <v>-9.639999999999997</v>
      </c>
      <c r="L21" s="52">
        <f t="shared" si="3"/>
        <v>-0.29516227801592154</v>
      </c>
      <c r="M21" s="52">
        <f t="shared" si="7"/>
        <v>0.43450358625896568</v>
      </c>
      <c r="N21" s="69"/>
    </row>
    <row r="22" spans="1:14" x14ac:dyDescent="0.25">
      <c r="A22" s="31"/>
      <c r="B22" s="20" t="s">
        <v>179</v>
      </c>
      <c r="C22" s="105">
        <v>120.4</v>
      </c>
      <c r="D22" s="70">
        <f>ROUND('PU Wise OWE'!$M$128/10000,2)</f>
        <v>81</v>
      </c>
      <c r="E22" s="66">
        <f t="shared" si="4"/>
        <v>1.57905510122523E-2</v>
      </c>
      <c r="F22" s="21"/>
      <c r="G22" s="22">
        <f>ROUND('PU Wise OWE'!$M$126/10000,2)</f>
        <v>149.94999999999999</v>
      </c>
      <c r="H22" s="24">
        <f t="shared" si="5"/>
        <v>1.8129609478902187E-2</v>
      </c>
      <c r="I22" s="23">
        <f>ROUND('PU Wise OWE'!$M$129/10000,2)</f>
        <v>88.09</v>
      </c>
      <c r="J22" s="24">
        <f t="shared" si="6"/>
        <v>1.5304455995997109E-2</v>
      </c>
      <c r="K22" s="22">
        <f t="shared" si="2"/>
        <v>7.0900000000000034</v>
      </c>
      <c r="L22" s="52">
        <f t="shared" si="3"/>
        <v>8.7530864197530908E-2</v>
      </c>
      <c r="M22" s="52">
        <f t="shared" si="7"/>
        <v>0.58746248749583196</v>
      </c>
      <c r="N22" s="69"/>
    </row>
    <row r="23" spans="1:14" x14ac:dyDescent="0.25">
      <c r="A23" s="31"/>
      <c r="B23" s="56" t="s">
        <v>158</v>
      </c>
      <c r="C23" s="106">
        <v>88.73</v>
      </c>
      <c r="D23" s="70">
        <f>ROUND('PU Wise OWE'!$P$128/10000,2)</f>
        <v>61.94</v>
      </c>
      <c r="E23" s="66">
        <f t="shared" si="4"/>
        <v>1.2074897897517376E-2</v>
      </c>
      <c r="F23" s="21"/>
      <c r="G23" s="22">
        <f>ROUND('PU Wise OWE'!$P$126/10000,2)</f>
        <v>92.29</v>
      </c>
      <c r="H23" s="24">
        <f t="shared" si="5"/>
        <v>1.1158263813323662E-2</v>
      </c>
      <c r="I23" s="23">
        <f>ROUND('PU Wise OWE'!$P$129/10000,2)</f>
        <v>66.680000000000007</v>
      </c>
      <c r="J23" s="24">
        <f t="shared" si="6"/>
        <v>1.1584755656863292E-2</v>
      </c>
      <c r="K23" s="22">
        <f t="shared" si="2"/>
        <v>4.7400000000000091</v>
      </c>
      <c r="L23" s="52">
        <f t="shared" si="3"/>
        <v>7.6525670003229088E-2</v>
      </c>
      <c r="M23" s="52">
        <f t="shared" si="7"/>
        <v>0.72250514681980715</v>
      </c>
    </row>
    <row r="24" spans="1:14" x14ac:dyDescent="0.25">
      <c r="B24" s="56" t="s">
        <v>159</v>
      </c>
      <c r="C24" s="106">
        <v>81.78</v>
      </c>
      <c r="D24" s="70">
        <f>ROUND('PU Wise OWE'!$S$128/10000,2)</f>
        <v>76.73</v>
      </c>
      <c r="E24" s="66">
        <f t="shared" si="4"/>
        <v>1.495813554531011E-2</v>
      </c>
      <c r="F24" s="21"/>
      <c r="G24" s="22">
        <f>ROUND('PU Wise OWE'!$S$126/10000,2)</f>
        <v>89.03</v>
      </c>
      <c r="H24" s="24">
        <f t="shared" si="5"/>
        <v>1.0764115584572603E-2</v>
      </c>
      <c r="I24" s="23">
        <f>ROUND('PU Wise OWE'!$S$129/10000,2)</f>
        <v>79.790000000000006</v>
      </c>
      <c r="J24" s="24">
        <f t="shared" si="6"/>
        <v>1.3862442319452939E-2</v>
      </c>
      <c r="K24" s="22">
        <f t="shared" si="2"/>
        <v>3.0600000000000023</v>
      </c>
      <c r="L24" s="52">
        <f t="shared" si="3"/>
        <v>3.9880099048612047E-2</v>
      </c>
      <c r="M24" s="52">
        <f t="shared" si="7"/>
        <v>0.8962147590699765</v>
      </c>
      <c r="N24" s="69"/>
    </row>
    <row r="25" spans="1:14" x14ac:dyDescent="0.25">
      <c r="B25" s="56" t="s">
        <v>160</v>
      </c>
      <c r="C25" s="106">
        <v>90.5</v>
      </c>
      <c r="D25" s="70">
        <f>ROUND('PU Wise OWE'!$T$128/10000,2)</f>
        <v>56.1</v>
      </c>
      <c r="E25" s="66">
        <f t="shared" si="4"/>
        <v>1.0936418664041407E-2</v>
      </c>
      <c r="F25" s="21"/>
      <c r="G25" s="22">
        <f>ROUND('PU Wise OWE'!$T$126/10000,2)</f>
        <v>83.15</v>
      </c>
      <c r="H25" s="24">
        <f t="shared" si="5"/>
        <v>1.0053197920444928E-2</v>
      </c>
      <c r="I25" s="23">
        <f>ROUND('PU Wise OWE'!$T$129/10000,2)</f>
        <v>72.33</v>
      </c>
      <c r="J25" s="24">
        <f t="shared" si="6"/>
        <v>1.2566367376438538E-2</v>
      </c>
      <c r="K25" s="22">
        <f t="shared" si="2"/>
        <v>16.229999999999997</v>
      </c>
      <c r="L25" s="52">
        <f t="shared" si="3"/>
        <v>0.28930481283422455</v>
      </c>
      <c r="M25" s="52">
        <f t="shared" si="7"/>
        <v>0.86987372218881531</v>
      </c>
    </row>
    <row r="26" spans="1:14" x14ac:dyDescent="0.25">
      <c r="B26" s="56" t="s">
        <v>178</v>
      </c>
      <c r="C26" s="106">
        <v>41.07</v>
      </c>
      <c r="D26" s="70">
        <f>ROUND('PU Wise OWE'!$V$128/10000,2)</f>
        <v>27.94</v>
      </c>
      <c r="E26" s="66">
        <f t="shared" si="4"/>
        <v>5.4467653738559168E-3</v>
      </c>
      <c r="F26" s="22"/>
      <c r="G26" s="22">
        <f>ROUND('PU Wise OWE'!$V$126/10000,2)</f>
        <v>34.5</v>
      </c>
      <c r="H26" s="24">
        <f t="shared" si="5"/>
        <v>4.1712005803409506E-3</v>
      </c>
      <c r="I26" s="23">
        <f>ROUND('PU Wise OWE'!$V$129/10000,2)</f>
        <v>28.71</v>
      </c>
      <c r="J26" s="24">
        <f t="shared" si="6"/>
        <v>4.9879774281425477E-3</v>
      </c>
      <c r="K26" s="22">
        <f t="shared" si="2"/>
        <v>0.76999999999999957</v>
      </c>
      <c r="L26" s="52">
        <f t="shared" si="3"/>
        <v>2.7559055118110218E-2</v>
      </c>
      <c r="M26" s="52">
        <f t="shared" si="7"/>
        <v>0.83217391304347832</v>
      </c>
      <c r="N26" s="69"/>
    </row>
    <row r="27" spans="1:14" x14ac:dyDescent="0.25">
      <c r="B27" s="56" t="s">
        <v>177</v>
      </c>
      <c r="C27" s="106">
        <v>169.78</v>
      </c>
      <c r="D27" s="70">
        <f>ROUND('PU Wise OWE'!$AC$128/10000,2)</f>
        <v>82.8</v>
      </c>
      <c r="E27" s="66">
        <f t="shared" si="4"/>
        <v>1.6141452145857906E-2</v>
      </c>
      <c r="F27" s="22"/>
      <c r="G27" s="22">
        <f>ROUND('PU Wise OWE'!$AC$126/10000,2)</f>
        <v>133.18</v>
      </c>
      <c r="H27" s="24">
        <f t="shared" si="5"/>
        <v>1.6102043283762545E-2</v>
      </c>
      <c r="I27" s="23">
        <f>ROUND('PU Wise OWE'!$AC$129/10000,2)</f>
        <v>82.62</v>
      </c>
      <c r="J27" s="24">
        <f t="shared" si="6"/>
        <v>1.435411686217824E-2</v>
      </c>
      <c r="K27" s="22">
        <f t="shared" si="2"/>
        <v>-0.17999999999999261</v>
      </c>
      <c r="L27" s="52">
        <f t="shared" si="3"/>
        <v>-2.1739130434781716E-3</v>
      </c>
      <c r="M27" s="52">
        <f t="shared" si="7"/>
        <v>0.62036341793062022</v>
      </c>
    </row>
    <row r="28" spans="1:14" x14ac:dyDescent="0.25">
      <c r="B28" s="25" t="s">
        <v>149</v>
      </c>
      <c r="C28" s="26">
        <f>SUM(C13:C27)</f>
        <v>4551.0499999999993</v>
      </c>
      <c r="D28" s="74">
        <f>SUM(D13:D27)</f>
        <v>2742.78</v>
      </c>
      <c r="E28" s="54">
        <f>SUM(E13:E27)</f>
        <v>0.53469145068376978</v>
      </c>
      <c r="F28" s="26"/>
      <c r="G28" s="26">
        <f>G5</f>
        <v>4962.2700000000004</v>
      </c>
      <c r="H28" s="54">
        <f t="shared" ref="H28:I28" si="8">SUM(H13:H27)</f>
        <v>0.59653004473461491</v>
      </c>
      <c r="I28" s="26">
        <f t="shared" si="8"/>
        <v>3008.2399999999993</v>
      </c>
      <c r="J28" s="54">
        <f t="shared" si="6"/>
        <v>0.52264135208761875</v>
      </c>
      <c r="K28" s="26">
        <f t="shared" si="2"/>
        <v>265.45999999999913</v>
      </c>
      <c r="L28" s="55">
        <f t="shared" si="3"/>
        <v>9.6785013745177922E-2</v>
      </c>
    </row>
    <row r="29" spans="1:14" x14ac:dyDescent="0.25">
      <c r="I29" s="68"/>
      <c r="J29" s="68"/>
    </row>
    <row r="31" spans="1:14" x14ac:dyDescent="0.25">
      <c r="B31" s="75" t="s">
        <v>180</v>
      </c>
      <c r="C31" s="75"/>
      <c r="D31" s="76"/>
      <c r="E31" s="77"/>
      <c r="K31" t="s">
        <v>150</v>
      </c>
    </row>
    <row r="32" spans="1:14" ht="15" customHeight="1" x14ac:dyDescent="0.25">
      <c r="B32" s="268"/>
      <c r="C32" s="291" t="s">
        <v>302</v>
      </c>
      <c r="D32" s="289" t="str">
        <f>'PU Wise OWE'!$B$7</f>
        <v>Actuals upto Oct' 20</v>
      </c>
      <c r="E32" s="291" t="s">
        <v>173</v>
      </c>
      <c r="F32" s="291"/>
      <c r="G32" s="315" t="str">
        <f>'PU Wise OWE'!$B$5</f>
        <v xml:space="preserve">OBG(SL) 2021-22 </v>
      </c>
      <c r="H32" s="291" t="s">
        <v>309</v>
      </c>
      <c r="I32" s="289" t="str">
        <f>'PU Wise OWE'!B8</f>
        <v>Actuals upto Oct' 21</v>
      </c>
      <c r="J32" s="291" t="s">
        <v>205</v>
      </c>
      <c r="K32" s="267" t="s">
        <v>147</v>
      </c>
      <c r="L32" s="267"/>
      <c r="M32" s="268" t="s">
        <v>314</v>
      </c>
      <c r="N32" s="314" t="s">
        <v>209</v>
      </c>
    </row>
    <row r="33" spans="2:14" ht="17.25" customHeight="1" x14ac:dyDescent="0.25">
      <c r="B33" s="268"/>
      <c r="C33" s="290"/>
      <c r="D33" s="290"/>
      <c r="E33" s="290"/>
      <c r="F33" s="290"/>
      <c r="G33" s="316"/>
      <c r="H33" s="290"/>
      <c r="I33" s="290"/>
      <c r="J33" s="290"/>
      <c r="K33" s="79" t="s">
        <v>145</v>
      </c>
      <c r="L33" s="80" t="s">
        <v>146</v>
      </c>
      <c r="M33" s="268"/>
      <c r="N33" s="314"/>
    </row>
    <row r="34" spans="2:14" x14ac:dyDescent="0.25">
      <c r="B34" s="84" t="s">
        <v>181</v>
      </c>
      <c r="C34" s="107">
        <v>10.44</v>
      </c>
      <c r="D34" s="70">
        <f>ROUND(('PU Wise OWE'!$AE$128+'PU Wise OWE'!$AF$128)/10000,2)</f>
        <v>6.28</v>
      </c>
      <c r="E34" s="85">
        <f>D34/$D$7</f>
        <v>1.2242550661351165E-3</v>
      </c>
      <c r="F34" s="21"/>
      <c r="G34" s="22">
        <f>ROUND(('PU Wise OWE'!$AE$126+'PU Wise OWE'!$AF$126)/10000,2)</f>
        <v>9.56</v>
      </c>
      <c r="H34" s="24">
        <f t="shared" ref="H34:H37" si="9">G34/$G$7</f>
        <v>1.1558457260307097E-3</v>
      </c>
      <c r="I34" s="23">
        <f>ROUND(('PU Wise OWE'!$AE$129+'PU Wise OWE'!$AF$129)/10000,2)</f>
        <v>4.5</v>
      </c>
      <c r="J34" s="24">
        <f t="shared" ref="J34:J37" si="10">I34/$I$7</f>
        <v>7.8181464390949021E-4</v>
      </c>
      <c r="K34" s="22">
        <f>I34-D34</f>
        <v>-1.7800000000000002</v>
      </c>
      <c r="L34" s="52">
        <f>K34/D34</f>
        <v>-0.28343949044585992</v>
      </c>
      <c r="M34" s="52">
        <f t="shared" ref="M34:M37" si="11">I34/G34</f>
        <v>0.47071129707112969</v>
      </c>
      <c r="N34" s="317"/>
    </row>
    <row r="35" spans="2:14" ht="16.5" customHeight="1" x14ac:dyDescent="0.25">
      <c r="B35" s="84" t="s">
        <v>182</v>
      </c>
      <c r="C35" s="107">
        <v>21.76</v>
      </c>
      <c r="D35" s="70">
        <f>ROUND('PU Wise OWE'!$AG$128/10000,2)</f>
        <v>13.25</v>
      </c>
      <c r="E35" s="85">
        <f t="shared" ref="E35:E37" si="12">D35/$D$7</f>
        <v>2.5830222334857155E-3</v>
      </c>
      <c r="F35" s="21"/>
      <c r="G35" s="22">
        <f>ROUND('PU Wise OWE'!$AG$126/10000,2)</f>
        <v>7.15</v>
      </c>
      <c r="H35" s="24">
        <f t="shared" si="9"/>
        <v>8.6446620723008101E-4</v>
      </c>
      <c r="I35" s="23">
        <f>ROUND('PU Wise OWE'!$AG$129/10000,2)</f>
        <v>8.76</v>
      </c>
      <c r="J35" s="24">
        <f t="shared" si="10"/>
        <v>1.5219325068104742E-3</v>
      </c>
      <c r="K35" s="22">
        <f>I35-D35</f>
        <v>-4.49</v>
      </c>
      <c r="L35" s="52">
        <f>K35/D35</f>
        <v>-0.33886792452830189</v>
      </c>
      <c r="M35" s="52">
        <f t="shared" si="11"/>
        <v>1.2251748251748251</v>
      </c>
      <c r="N35" s="317"/>
    </row>
    <row r="36" spans="2:14" ht="15.75" customHeight="1" x14ac:dyDescent="0.25">
      <c r="B36" s="84" t="s">
        <v>183</v>
      </c>
      <c r="C36" s="107">
        <v>2.42</v>
      </c>
      <c r="D36" s="70">
        <f>ROUND('PU Wise OWE'!$AJ$128/10000,2)</f>
        <v>1.56</v>
      </c>
      <c r="E36" s="85">
        <f t="shared" si="12"/>
        <v>3.0411431579152576E-4</v>
      </c>
      <c r="F36" s="21"/>
      <c r="G36" s="22">
        <f>ROUND('PU Wise OWE'!$AJ$126/10000,2)</f>
        <v>2.23</v>
      </c>
      <c r="H36" s="24">
        <f t="shared" si="9"/>
        <v>2.6961673316406725E-4</v>
      </c>
      <c r="I36" s="23">
        <f>ROUND('PU Wise OWE'!$AJ$129/10000,2)</f>
        <v>1.35</v>
      </c>
      <c r="J36" s="24">
        <f t="shared" si="10"/>
        <v>2.3454439317284706E-4</v>
      </c>
      <c r="K36" s="22">
        <f>I36-D36</f>
        <v>-0.20999999999999996</v>
      </c>
      <c r="L36" s="52">
        <f>K36/D36</f>
        <v>-0.13461538461538458</v>
      </c>
      <c r="M36" s="52">
        <f t="shared" si="11"/>
        <v>0.60538116591928259</v>
      </c>
      <c r="N36" s="317"/>
    </row>
    <row r="37" spans="2:14" x14ac:dyDescent="0.25">
      <c r="B37" s="25" t="s">
        <v>149</v>
      </c>
      <c r="C37" s="26">
        <v>34.619999999999997</v>
      </c>
      <c r="D37" s="74">
        <f>SUM(D34:D36)</f>
        <v>21.09</v>
      </c>
      <c r="E37" s="86">
        <f t="shared" si="12"/>
        <v>4.1113916154123581E-3</v>
      </c>
      <c r="F37" s="26"/>
      <c r="G37" s="74">
        <f t="shared" ref="G37:I37" si="13">SUM(G34:G36)</f>
        <v>18.940000000000001</v>
      </c>
      <c r="H37" s="54">
        <f t="shared" si="9"/>
        <v>2.2899286664248581E-3</v>
      </c>
      <c r="I37" s="74">
        <f t="shared" si="13"/>
        <v>14.61</v>
      </c>
      <c r="J37" s="54">
        <f t="shared" si="10"/>
        <v>2.5382915438928112E-3</v>
      </c>
      <c r="K37" s="26">
        <f>I37-D37</f>
        <v>-6.48</v>
      </c>
      <c r="L37" s="55">
        <f>K37/D37</f>
        <v>-0.30725462304409673</v>
      </c>
      <c r="M37" s="52">
        <f t="shared" si="11"/>
        <v>0.7713833157338964</v>
      </c>
    </row>
    <row r="39" spans="2:14" x14ac:dyDescent="0.25">
      <c r="B39" s="82"/>
      <c r="C39" s="82"/>
      <c r="D39" s="83"/>
      <c r="E39" s="82"/>
      <c r="K39" t="s">
        <v>150</v>
      </c>
    </row>
    <row r="40" spans="2:14" ht="15" customHeight="1" x14ac:dyDescent="0.25">
      <c r="B40" s="268" t="s">
        <v>164</v>
      </c>
      <c r="C40" s="291" t="s">
        <v>302</v>
      </c>
      <c r="D40" s="289" t="str">
        <f>'PU Wise OWE'!$B$7</f>
        <v>Actuals upto Oct' 20</v>
      </c>
      <c r="E40" s="291" t="s">
        <v>173</v>
      </c>
      <c r="F40" s="291"/>
      <c r="G40" s="315" t="str">
        <f>'PU Wise OWE'!$B$5</f>
        <v xml:space="preserve">OBG(SL) 2021-22 </v>
      </c>
      <c r="H40" s="291" t="s">
        <v>299</v>
      </c>
      <c r="I40" s="289" t="str">
        <f>'PU Wise OWE'!B8</f>
        <v>Actuals upto Oct' 21</v>
      </c>
      <c r="J40" s="291" t="s">
        <v>205</v>
      </c>
      <c r="K40" s="267" t="s">
        <v>147</v>
      </c>
      <c r="L40" s="267"/>
      <c r="M40" s="268" t="s">
        <v>314</v>
      </c>
      <c r="N40" s="314" t="s">
        <v>209</v>
      </c>
    </row>
    <row r="41" spans="2:14" x14ac:dyDescent="0.25">
      <c r="B41" s="268"/>
      <c r="C41" s="290"/>
      <c r="D41" s="290"/>
      <c r="E41" s="290"/>
      <c r="F41" s="290"/>
      <c r="G41" s="316"/>
      <c r="H41" s="290"/>
      <c r="I41" s="290"/>
      <c r="J41" s="290"/>
      <c r="K41" s="79" t="s">
        <v>145</v>
      </c>
      <c r="L41" s="80" t="s">
        <v>146</v>
      </c>
      <c r="M41" s="268"/>
      <c r="N41" s="314"/>
    </row>
    <row r="42" spans="2:14" x14ac:dyDescent="0.25">
      <c r="B42" s="27" t="s">
        <v>165</v>
      </c>
      <c r="C42" s="104">
        <v>273.47000000000003</v>
      </c>
      <c r="D42" s="70">
        <f>SUM(D43:D47)</f>
        <v>145.82999999999998</v>
      </c>
      <c r="E42" s="85">
        <f t="shared" ref="E42:E49" si="14">D42/$D$7</f>
        <v>2.8428840174280896E-2</v>
      </c>
      <c r="F42" s="97"/>
      <c r="G42" s="21">
        <f>SUM(G43:G47)</f>
        <v>213.87</v>
      </c>
      <c r="H42" s="24">
        <f t="shared" ref="H42:H49" si="15">G42/$G$7</f>
        <v>2.5857816467174465E-2</v>
      </c>
      <c r="I42" s="21">
        <f>SUM(I43:I47)</f>
        <v>247.71000000000004</v>
      </c>
      <c r="J42" s="24">
        <f t="shared" ref="J42:J49" si="16">I42/$I$7</f>
        <v>4.3036290098404408E-2</v>
      </c>
      <c r="K42" s="22">
        <f t="shared" ref="K42:K49" si="17">I42-D42</f>
        <v>101.88000000000005</v>
      </c>
      <c r="L42" s="52">
        <f t="shared" ref="L42:L49" si="18">K42/D42</f>
        <v>0.6986216827813212</v>
      </c>
      <c r="M42" s="52">
        <f t="shared" ref="M42:M49" si="19">I42/G42</f>
        <v>1.158226960302988</v>
      </c>
    </row>
    <row r="43" spans="2:14" x14ac:dyDescent="0.25">
      <c r="B43" s="57" t="s">
        <v>161</v>
      </c>
      <c r="C43" s="21">
        <v>19.690000000000001</v>
      </c>
      <c r="D43" s="70">
        <f>ROUND('PU Wise OWE'!$AK$84/10000,2)</f>
        <v>7.88</v>
      </c>
      <c r="E43" s="85">
        <f t="shared" si="14"/>
        <v>1.5361671848956558E-3</v>
      </c>
      <c r="F43" s="97"/>
      <c r="G43" s="21">
        <f>ROUND('PU Wise OWE'!$AK$82/10000,2)</f>
        <v>14.25</v>
      </c>
      <c r="H43" s="24">
        <f t="shared" si="15"/>
        <v>1.7228871962277838E-3</v>
      </c>
      <c r="I43" s="21">
        <f>ROUND('PU Wise OWE'!$AK$85/10000,2)</f>
        <v>28.19</v>
      </c>
      <c r="J43" s="24">
        <f t="shared" si="16"/>
        <v>4.8976344026241177E-3</v>
      </c>
      <c r="K43" s="22">
        <f t="shared" si="17"/>
        <v>20.310000000000002</v>
      </c>
      <c r="L43" s="52">
        <f t="shared" si="18"/>
        <v>2.5774111675126905</v>
      </c>
      <c r="M43" s="52">
        <f t="shared" si="19"/>
        <v>1.9782456140350879</v>
      </c>
    </row>
    <row r="44" spans="2:14" x14ac:dyDescent="0.25">
      <c r="B44" s="58" t="s">
        <v>168</v>
      </c>
      <c r="C44" s="108">
        <v>114.4</v>
      </c>
      <c r="D44" s="70">
        <f>ROUND('PU Wise OWE'!$AR$84/10000,2)</f>
        <v>62.42</v>
      </c>
      <c r="E44" s="85">
        <f t="shared" si="14"/>
        <v>1.2168471533145538E-2</v>
      </c>
      <c r="F44" s="97"/>
      <c r="G44" s="21">
        <f>ROUND('PU Wise OWE'!$AR$82/10000,2)</f>
        <v>78.95</v>
      </c>
      <c r="H44" s="24">
        <f t="shared" si="15"/>
        <v>9.5453995889251599E-3</v>
      </c>
      <c r="I44" s="21">
        <f>ROUND('PU Wise OWE'!$AR$85/10000,2)</f>
        <v>26.13</v>
      </c>
      <c r="J44" s="24">
        <f t="shared" si="16"/>
        <v>4.5397370323011057E-3</v>
      </c>
      <c r="K44" s="22">
        <f t="shared" si="17"/>
        <v>-36.290000000000006</v>
      </c>
      <c r="L44" s="52">
        <f t="shared" si="18"/>
        <v>-0.58138417173982704</v>
      </c>
      <c r="M44" s="52">
        <f t="shared" si="19"/>
        <v>0.33096896770107659</v>
      </c>
    </row>
    <row r="45" spans="2:14" x14ac:dyDescent="0.25">
      <c r="B45" s="58" t="s">
        <v>169</v>
      </c>
      <c r="C45" s="108">
        <v>46.69</v>
      </c>
      <c r="D45" s="70">
        <f>ROUND('PU Wise OWE'!$AU$84/10000,2)</f>
        <v>23.59</v>
      </c>
      <c r="E45" s="85">
        <f t="shared" si="14"/>
        <v>4.5987543009757001E-3</v>
      </c>
      <c r="F45" s="97"/>
      <c r="G45" s="21">
        <f>ROUND('PU Wise OWE'!$AU$82/10000,2)</f>
        <v>34.83</v>
      </c>
      <c r="H45" s="24">
        <f t="shared" si="15"/>
        <v>4.2110990206746463E-3</v>
      </c>
      <c r="I45" s="21">
        <f>ROUND('PU Wise OWE'!$AU$85/10000,2)</f>
        <v>10.91</v>
      </c>
      <c r="J45" s="24">
        <f t="shared" si="16"/>
        <v>1.895466170011675E-3</v>
      </c>
      <c r="K45" s="22">
        <f t="shared" si="17"/>
        <v>-12.68</v>
      </c>
      <c r="L45" s="52">
        <f t="shared" si="18"/>
        <v>-0.53751589656634169</v>
      </c>
      <c r="M45" s="52">
        <f t="shared" si="19"/>
        <v>0.31323571633649155</v>
      </c>
    </row>
    <row r="46" spans="2:14" x14ac:dyDescent="0.25">
      <c r="B46" s="57" t="s">
        <v>166</v>
      </c>
      <c r="C46" s="21">
        <v>54.55</v>
      </c>
      <c r="D46" s="70">
        <f>ROUND('PU Wise OWE'!$AZ$84/10000,2)</f>
        <v>21.38</v>
      </c>
      <c r="E46" s="85">
        <f t="shared" si="14"/>
        <v>4.1679256869377058E-3</v>
      </c>
      <c r="F46" s="97"/>
      <c r="G46" s="21">
        <f>ROUND('PU Wise OWE'!$AZ$82/10000,2)</f>
        <v>31.73</v>
      </c>
      <c r="H46" s="24">
        <f t="shared" si="15"/>
        <v>3.8362954902671988E-3</v>
      </c>
      <c r="I46" s="21">
        <f>ROUND('PU Wise OWE'!$AZ$85/10000,2)</f>
        <v>64.31</v>
      </c>
      <c r="J46" s="24">
        <f t="shared" si="16"/>
        <v>1.1172999944404292E-2</v>
      </c>
      <c r="K46" s="22">
        <f t="shared" si="17"/>
        <v>42.930000000000007</v>
      </c>
      <c r="L46" s="52">
        <f t="shared" si="18"/>
        <v>2.0079513564078582</v>
      </c>
      <c r="M46" s="52">
        <f t="shared" si="19"/>
        <v>2.0267885282067444</v>
      </c>
    </row>
    <row r="47" spans="2:14" x14ac:dyDescent="0.25">
      <c r="B47" s="58" t="s">
        <v>167</v>
      </c>
      <c r="C47" s="108">
        <v>38.14</v>
      </c>
      <c r="D47" s="70">
        <f>ROUND('PU Wise OWE'!$BA$84/10000,2)</f>
        <v>30.56</v>
      </c>
      <c r="E47" s="85">
        <f t="shared" si="14"/>
        <v>5.9575214683262991E-3</v>
      </c>
      <c r="F47" s="97"/>
      <c r="G47" s="21">
        <f>ROUND('PU Wise OWE'!$BA$82/10000,2)</f>
        <v>54.11</v>
      </c>
      <c r="H47" s="24">
        <f t="shared" si="15"/>
        <v>6.5421351710796757E-3</v>
      </c>
      <c r="I47" s="21">
        <f>ROUND('PU Wise OWE'!$BA$85/10000,2)</f>
        <v>118.17</v>
      </c>
      <c r="J47" s="24">
        <f t="shared" si="16"/>
        <v>2.0530452549063213E-2</v>
      </c>
      <c r="K47" s="22">
        <f t="shared" si="17"/>
        <v>87.61</v>
      </c>
      <c r="L47" s="52">
        <f t="shared" si="18"/>
        <v>2.8668193717277486</v>
      </c>
      <c r="M47" s="52">
        <f t="shared" si="19"/>
        <v>2.1838846793568658</v>
      </c>
    </row>
    <row r="48" spans="2:14" x14ac:dyDescent="0.25">
      <c r="B48" s="59" t="s">
        <v>170</v>
      </c>
      <c r="C48" s="103">
        <v>663.48</v>
      </c>
      <c r="D48" s="70">
        <f>ROUND('PU Wise OWE'!$AM$84/10000,2)-ROUND('PU Wise OWE'!$BJ$84/10000,2)</f>
        <v>350.49</v>
      </c>
      <c r="E48" s="85">
        <f t="shared" si="14"/>
        <v>6.8326299065238377E-2</v>
      </c>
      <c r="F48" s="97"/>
      <c r="G48" s="21">
        <f>ROUND('PU Wise OWE'!$AM$82/10000,2)-ROUND('PU Wise OWE'!$BJ$82/10000,2)</f>
        <v>637.38</v>
      </c>
      <c r="H48" s="24">
        <f t="shared" si="15"/>
        <v>7.7062023939064195E-2</v>
      </c>
      <c r="I48" s="21">
        <f>ROUND('PU Wise OWE'!$AM$85/10000,2)-ROUND('PU Wise OWE'!$BJ$85/10000,2)</f>
        <v>564.97</v>
      </c>
      <c r="J48" s="24">
        <f t="shared" si="16"/>
        <v>9.815595985989882E-2</v>
      </c>
      <c r="K48" s="22">
        <f t="shared" si="17"/>
        <v>214.48000000000002</v>
      </c>
      <c r="L48" s="52">
        <f t="shared" si="18"/>
        <v>0.61194327940882765</v>
      </c>
      <c r="M48" s="52">
        <f t="shared" si="19"/>
        <v>0.88639430167247169</v>
      </c>
    </row>
    <row r="49" spans="2:14" s="36" customFormat="1" x14ac:dyDescent="0.25">
      <c r="B49" s="60" t="s">
        <v>130</v>
      </c>
      <c r="C49" s="74">
        <f>C42+C48</f>
        <v>936.95</v>
      </c>
      <c r="D49" s="74">
        <f>D42+D48</f>
        <v>496.32</v>
      </c>
      <c r="E49" s="86">
        <f t="shared" si="14"/>
        <v>9.6755139239519269E-2</v>
      </c>
      <c r="F49" s="98"/>
      <c r="G49" s="26">
        <f>G42+G48</f>
        <v>851.25</v>
      </c>
      <c r="H49" s="54">
        <f t="shared" si="15"/>
        <v>0.10291984040623867</v>
      </c>
      <c r="I49" s="26">
        <f>I42+I48</f>
        <v>812.68000000000006</v>
      </c>
      <c r="J49" s="54">
        <f t="shared" si="16"/>
        <v>0.14119224995830323</v>
      </c>
      <c r="K49" s="26">
        <f t="shared" si="17"/>
        <v>316.36000000000007</v>
      </c>
      <c r="L49" s="55">
        <f t="shared" si="18"/>
        <v>0.63741134751773065</v>
      </c>
      <c r="M49" s="52">
        <f t="shared" si="19"/>
        <v>0.95469016152716601</v>
      </c>
    </row>
    <row r="51" spans="2:14" x14ac:dyDescent="0.25">
      <c r="B51" s="75" t="s">
        <v>184</v>
      </c>
      <c r="C51" s="75"/>
    </row>
    <row r="52" spans="2:14" ht="48" customHeight="1" x14ac:dyDescent="0.25">
      <c r="B52" s="81" t="s">
        <v>185</v>
      </c>
      <c r="C52" s="109">
        <v>188.88</v>
      </c>
      <c r="D52" s="70">
        <f>ROUND('PU Wise OWE'!$AK$128/10000,2)-D43</f>
        <v>94.89</v>
      </c>
      <c r="E52" s="85">
        <f t="shared" ref="E52:E56" si="20">D52/$D$7</f>
        <v>1.8498338093242229E-2</v>
      </c>
      <c r="F52" s="284"/>
      <c r="G52" s="22">
        <f>ROUND('PU Wise OWE'!$AK$126/10000,2)-G43</f>
        <v>121.82</v>
      </c>
      <c r="H52" s="24">
        <f t="shared" ref="H52:H54" si="21">G52/$G$7</f>
        <v>1.4728569701366219E-2</v>
      </c>
      <c r="I52" s="22">
        <f>ROUND('PU Wise OWE'!$AK$129/10000,2)-I43</f>
        <v>66.28</v>
      </c>
      <c r="J52" s="24">
        <f t="shared" ref="J52:J56" si="22">I52/$I$7</f>
        <v>1.1515261021849113E-2</v>
      </c>
      <c r="K52" s="22">
        <f>I52-D52</f>
        <v>-28.61</v>
      </c>
      <c r="L52" s="52">
        <f>K52/D52</f>
        <v>-0.30150700811465908</v>
      </c>
      <c r="M52" s="52">
        <f t="shared" ref="M52:M54" si="23">I52/G52</f>
        <v>0.54408143162042366</v>
      </c>
    </row>
    <row r="53" spans="2:14" x14ac:dyDescent="0.25">
      <c r="B53" s="20" t="s">
        <v>162</v>
      </c>
      <c r="C53" s="105">
        <v>121.46</v>
      </c>
      <c r="D53" s="70">
        <f>ROUND('PU Wise OWE'!$AL$128/10000,2)</f>
        <v>82</v>
      </c>
      <c r="E53" s="85">
        <f t="shared" si="20"/>
        <v>1.5985496086477636E-2</v>
      </c>
      <c r="F53" s="285"/>
      <c r="G53" s="22">
        <f>ROUND('PU Wise OWE'!$AL$126/10000,2)</f>
        <v>109.58</v>
      </c>
      <c r="H53" s="24">
        <f t="shared" si="21"/>
        <v>1.3248700278080039E-2</v>
      </c>
      <c r="I53" s="23">
        <f>ROUND('PU Wise OWE'!$AL$129/10000,2)</f>
        <v>52.86</v>
      </c>
      <c r="J53" s="24">
        <f t="shared" si="22"/>
        <v>9.1837160171234777E-3</v>
      </c>
      <c r="K53" s="22">
        <f>I53-D53</f>
        <v>-29.14</v>
      </c>
      <c r="L53" s="52">
        <f>K53/D53</f>
        <v>-0.35536585365853657</v>
      </c>
      <c r="M53" s="52">
        <f t="shared" si="23"/>
        <v>0.48238729695199856</v>
      </c>
    </row>
    <row r="54" spans="2:14" s="36" customFormat="1" x14ac:dyDescent="0.25">
      <c r="B54" s="25" t="s">
        <v>130</v>
      </c>
      <c r="C54" s="26">
        <f>C52+C53</f>
        <v>310.33999999999997</v>
      </c>
      <c r="D54" s="74">
        <f>SUM(D52:D53)</f>
        <v>176.89</v>
      </c>
      <c r="E54" s="86">
        <f t="shared" si="20"/>
        <v>3.4483834179719862E-2</v>
      </c>
      <c r="F54" s="286"/>
      <c r="G54" s="74">
        <f t="shared" ref="G54:I54" si="24">SUM(G52:G53)</f>
        <v>231.39999999999998</v>
      </c>
      <c r="H54" s="54">
        <f t="shared" si="21"/>
        <v>2.7977269979446256E-2</v>
      </c>
      <c r="I54" s="74">
        <f t="shared" si="24"/>
        <v>119.14</v>
      </c>
      <c r="J54" s="54">
        <f t="shared" si="22"/>
        <v>2.0698977038972589E-2</v>
      </c>
      <c r="K54" s="26">
        <f>I54-D54</f>
        <v>-57.749999999999986</v>
      </c>
      <c r="L54" s="102">
        <f>K54/D54</f>
        <v>-0.32647407993668376</v>
      </c>
      <c r="M54" s="52">
        <f t="shared" si="23"/>
        <v>0.51486603284356103</v>
      </c>
    </row>
    <row r="56" spans="2:14" s="36" customFormat="1" x14ac:dyDescent="0.25">
      <c r="B56" s="78" t="s">
        <v>163</v>
      </c>
      <c r="C56" s="110">
        <v>348.19</v>
      </c>
      <c r="D56" s="71">
        <f>ROUND('PU Wise OWE'!$AO$128/10000,2)</f>
        <v>213.48</v>
      </c>
      <c r="E56" s="86">
        <f t="shared" si="20"/>
        <v>4.1616874445624945E-2</v>
      </c>
      <c r="F56" s="53"/>
      <c r="G56" s="26">
        <f>ROUND('PU Wise OWE'!$AO$126/10000,2)</f>
        <v>304.54000000000002</v>
      </c>
      <c r="H56" s="54">
        <f t="shared" ref="H56" si="25">G56/$G$7</f>
        <v>3.6820215209769074E-2</v>
      </c>
      <c r="I56" s="25">
        <f>ROUND('PU Wise OWE'!$AO$129/10000,2)</f>
        <v>209.56</v>
      </c>
      <c r="J56" s="54">
        <f t="shared" si="22"/>
        <v>3.6408239283927279E-2</v>
      </c>
      <c r="K56" s="26">
        <f>I56-D56</f>
        <v>-3.9199999999999875</v>
      </c>
      <c r="L56" s="55">
        <f>K56/D56</f>
        <v>-1.836237586659166E-2</v>
      </c>
      <c r="M56" s="52">
        <f t="shared" ref="M56" si="26">I56/G56</f>
        <v>0.68811978722006961</v>
      </c>
      <c r="N56" s="118"/>
    </row>
    <row r="57" spans="2:14" s="36" customFormat="1" x14ac:dyDescent="0.25">
      <c r="B57" s="116"/>
      <c r="C57" s="117"/>
      <c r="D57" s="113"/>
      <c r="E57" s="114"/>
      <c r="F57" s="115"/>
      <c r="G57" s="91"/>
      <c r="H57" s="90"/>
      <c r="I57" s="88"/>
      <c r="J57" s="90"/>
      <c r="K57" s="26"/>
      <c r="L57" s="55"/>
      <c r="M57" s="100"/>
    </row>
    <row r="58" spans="2:14" x14ac:dyDescent="0.25">
      <c r="C58" s="291" t="s">
        <v>302</v>
      </c>
      <c r="D58" s="289" t="str">
        <f>'PU Wise OWE'!$B$7</f>
        <v>Actuals upto Oct' 20</v>
      </c>
      <c r="E58" s="291" t="s">
        <v>173</v>
      </c>
      <c r="F58" s="291"/>
      <c r="G58" s="315" t="str">
        <f>'PU Wise OWE'!$B$5</f>
        <v xml:space="preserve">OBG(SL) 2021-22 </v>
      </c>
      <c r="H58" s="291" t="s">
        <v>299</v>
      </c>
      <c r="I58" s="289" t="str">
        <f>'PU Wise OWE'!B8</f>
        <v>Actuals upto Oct' 21</v>
      </c>
      <c r="J58" s="291" t="s">
        <v>205</v>
      </c>
      <c r="K58" s="267" t="s">
        <v>147</v>
      </c>
      <c r="L58" s="267"/>
      <c r="M58" s="268" t="s">
        <v>314</v>
      </c>
      <c r="N58" s="314" t="s">
        <v>209</v>
      </c>
    </row>
    <row r="59" spans="2:14" x14ac:dyDescent="0.25">
      <c r="B59" s="75" t="s">
        <v>186</v>
      </c>
      <c r="C59" s="290"/>
      <c r="D59" s="290"/>
      <c r="E59" s="290"/>
      <c r="F59" s="290"/>
      <c r="G59" s="316"/>
      <c r="H59" s="290"/>
      <c r="I59" s="290"/>
      <c r="J59" s="290"/>
      <c r="K59" s="79" t="s">
        <v>145</v>
      </c>
      <c r="L59" s="80" t="s">
        <v>146</v>
      </c>
      <c r="M59" s="268"/>
      <c r="N59" s="314"/>
    </row>
    <row r="60" spans="2:14" x14ac:dyDescent="0.25">
      <c r="B60" s="23" t="s">
        <v>187</v>
      </c>
      <c r="C60" s="22">
        <v>80.099999999999994</v>
      </c>
      <c r="D60" s="70">
        <f>ROUND('PU Wise OWE'!$AM$62/10000,2)</f>
        <v>49.58</v>
      </c>
      <c r="E60" s="85">
        <f t="shared" ref="E60:E64" si="27">D60/$D$7</f>
        <v>9.6653767800922094E-3</v>
      </c>
      <c r="F60" s="281"/>
      <c r="G60" s="22">
        <f>ROUND('PU Wise OWE'!$AM$60/10000,2)</f>
        <v>67.81</v>
      </c>
      <c r="H60" s="24" t="b">
        <f>H58=G60/$G$7</f>
        <v>0</v>
      </c>
      <c r="I60" s="23">
        <f>ROUND('PU Wise OWE'!$AM$63/10000,2)</f>
        <v>52.48</v>
      </c>
      <c r="J60" s="94">
        <f t="shared" ref="J60:J64" si="28">I60/$I$7</f>
        <v>9.1176961138600097E-3</v>
      </c>
      <c r="K60" s="22">
        <f>I60-D60</f>
        <v>2.8999999999999986</v>
      </c>
      <c r="L60" s="52">
        <f>K60/D60</f>
        <v>5.8491327148043538E-2</v>
      </c>
      <c r="M60" s="52">
        <f t="shared" ref="M60:M64" si="29">I60/G60</f>
        <v>0.77392714938799578</v>
      </c>
      <c r="N60" s="69"/>
    </row>
    <row r="61" spans="2:14" x14ac:dyDescent="0.25">
      <c r="B61" s="23" t="s">
        <v>188</v>
      </c>
      <c r="C61" s="22">
        <v>21.26</v>
      </c>
      <c r="D61" s="70">
        <f>ROUND('PU Wise OWE'!$AM$95/10000,2)</f>
        <v>9.83</v>
      </c>
      <c r="E61" s="85">
        <f t="shared" si="27"/>
        <v>1.9163100796350629E-3</v>
      </c>
      <c r="F61" s="282"/>
      <c r="G61" s="22">
        <f>ROUND('PU Wise OWE'!$AM$93/10000,2)</f>
        <v>16.309999999999999</v>
      </c>
      <c r="H61" s="24">
        <f t="shared" ref="H61:H64" si="30">G61/$G$7</f>
        <v>1.9719501874017652E-3</v>
      </c>
      <c r="I61" s="23">
        <f>ROUND('PU Wise OWE'!$AM$96/10000,2)</f>
        <v>7.1</v>
      </c>
      <c r="J61" s="94">
        <f t="shared" si="28"/>
        <v>1.2335297715016401E-3</v>
      </c>
      <c r="K61" s="22">
        <f>I61-D61</f>
        <v>-2.7300000000000004</v>
      </c>
      <c r="L61" s="52">
        <f>K61/D61</f>
        <v>-0.2777212614445575</v>
      </c>
      <c r="M61" s="52">
        <f t="shared" si="29"/>
        <v>0.43531575720416921</v>
      </c>
    </row>
    <row r="62" spans="2:14" x14ac:dyDescent="0.25">
      <c r="B62" s="23" t="s">
        <v>189</v>
      </c>
      <c r="C62" s="22">
        <v>9.89</v>
      </c>
      <c r="D62" s="70">
        <f>ROUND('PU Wise OWE'!$AN$18/10000,2)</f>
        <v>9.64</v>
      </c>
      <c r="E62" s="85">
        <f t="shared" si="27"/>
        <v>1.879270515532249E-3</v>
      </c>
      <c r="F62" s="282"/>
      <c r="G62" s="22">
        <f>ROUND('PU Wise OWE'!$AN$16/10000,2)</f>
        <v>10.1</v>
      </c>
      <c r="H62" s="24">
        <f>G62/$G$7</f>
        <v>1.2211340829403942E-3</v>
      </c>
      <c r="I62" s="23">
        <f>ROUND('PU Wise OWE'!$AN$19/10000,2)</f>
        <v>10.220000000000001</v>
      </c>
      <c r="J62" s="94">
        <f t="shared" si="28"/>
        <v>1.77558792461222E-3</v>
      </c>
      <c r="K62" s="22">
        <f>I62-D62</f>
        <v>0.58000000000000007</v>
      </c>
      <c r="L62" s="52">
        <f>K62/D62</f>
        <v>6.0165975103734441E-2</v>
      </c>
      <c r="M62" s="52">
        <f t="shared" si="29"/>
        <v>1.0118811881188119</v>
      </c>
      <c r="N62" s="69"/>
    </row>
    <row r="63" spans="2:14" x14ac:dyDescent="0.25">
      <c r="B63" s="23" t="s">
        <v>190</v>
      </c>
      <c r="C63" s="22">
        <v>1.64</v>
      </c>
      <c r="D63" s="70">
        <f>ROUND('PU Wise OWE'!$AN$62/10000,2)</f>
        <v>2.17</v>
      </c>
      <c r="E63" s="85">
        <f t="shared" si="27"/>
        <v>4.2303081106898131E-4</v>
      </c>
      <c r="F63" s="282"/>
      <c r="G63" s="22">
        <f>ROUND('PU Wise OWE'!$AN$60/10000,2)</f>
        <v>1.46</v>
      </c>
      <c r="H63" s="24">
        <f>G63/$G$7</f>
        <v>1.7652037238544312E-4</v>
      </c>
      <c r="I63" s="23">
        <f>ROUND('PU Wise OWE'!$AN$63/10000,2)</f>
        <v>2.19</v>
      </c>
      <c r="J63" s="94">
        <f t="shared" si="28"/>
        <v>3.8048312670261854E-4</v>
      </c>
      <c r="K63" s="22">
        <f>I63-D63</f>
        <v>2.0000000000000018E-2</v>
      </c>
      <c r="L63" s="52">
        <f>K63/D63</f>
        <v>9.2165898617511607E-3</v>
      </c>
      <c r="M63" s="52">
        <f t="shared" si="29"/>
        <v>1.5</v>
      </c>
    </row>
    <row r="64" spans="2:14" s="36" customFormat="1" x14ac:dyDescent="0.25">
      <c r="B64" s="25" t="s">
        <v>130</v>
      </c>
      <c r="C64" s="26">
        <f>C60+C61+C62+C63</f>
        <v>112.89</v>
      </c>
      <c r="D64" s="74">
        <f>SUM(D60:D63)</f>
        <v>71.22</v>
      </c>
      <c r="E64" s="86">
        <f t="shared" si="27"/>
        <v>1.3883988186328503E-2</v>
      </c>
      <c r="F64" s="283"/>
      <c r="G64" s="26">
        <f>SUM(G60:G63)</f>
        <v>95.679999999999993</v>
      </c>
      <c r="H64" s="54">
        <f t="shared" si="30"/>
        <v>1.1568129609478901E-2</v>
      </c>
      <c r="I64" s="26">
        <f>SUM(I60:I63)</f>
        <v>71.989999999999995</v>
      </c>
      <c r="J64" s="54">
        <f t="shared" si="28"/>
        <v>1.2507296936676487E-2</v>
      </c>
      <c r="K64" s="26">
        <f>I64-D64</f>
        <v>0.76999999999999602</v>
      </c>
      <c r="L64" s="55">
        <f>K64/D64</f>
        <v>1.0811569783768548E-2</v>
      </c>
      <c r="M64" s="52">
        <f t="shared" si="29"/>
        <v>0.75240384615384615</v>
      </c>
    </row>
    <row r="66" spans="2:13" x14ac:dyDescent="0.25">
      <c r="B66" s="75" t="s">
        <v>191</v>
      </c>
      <c r="C66" s="75"/>
    </row>
    <row r="67" spans="2:13" x14ac:dyDescent="0.25">
      <c r="B67" s="23" t="s">
        <v>192</v>
      </c>
      <c r="C67" s="22">
        <v>1117.51</v>
      </c>
      <c r="D67" s="70">
        <f>ROUND('PU Wise OWE'!$AP$73/10000,2)</f>
        <v>1161.8800000000001</v>
      </c>
      <c r="E67" s="85">
        <f t="shared" ref="E67:E69" si="31">D67/$D$7</f>
        <v>0.22650278284093461</v>
      </c>
      <c r="F67" s="23"/>
      <c r="G67" s="22">
        <f>ROUND('PU Wise OWE'!$AP$71/10000,2)</f>
        <v>1543.31</v>
      </c>
      <c r="H67" s="24">
        <f t="shared" ref="H67:H69" si="32">G67/$G$7</f>
        <v>0.18659291500423164</v>
      </c>
      <c r="I67" s="23">
        <f>ROUND('PU Wise OWE'!$AP$74/10000,2)</f>
        <v>1152.05</v>
      </c>
      <c r="J67" s="94">
        <f t="shared" ref="J67:J69" si="33">I67/$I$7</f>
        <v>0.20015323567020624</v>
      </c>
      <c r="K67" s="22">
        <f>I67-D67</f>
        <v>-9.8300000000001546</v>
      </c>
      <c r="L67" s="52">
        <f>K67/D67</f>
        <v>-8.4604262058045176E-3</v>
      </c>
      <c r="M67" s="52">
        <f t="shared" ref="M67:M68" si="34">I67/G67</f>
        <v>0.74647996837965147</v>
      </c>
    </row>
    <row r="68" spans="2:13" x14ac:dyDescent="0.25">
      <c r="B68" s="87" t="s">
        <v>193</v>
      </c>
      <c r="C68" s="111">
        <v>38.520000000000003</v>
      </c>
      <c r="D68" s="70">
        <f>ROUND('PU Wise OWE'!$AP$128/10000,2)-D67</f>
        <v>20.539999999999964</v>
      </c>
      <c r="E68" s="85">
        <f t="shared" si="31"/>
        <v>4.0041718245884157E-3</v>
      </c>
      <c r="F68" s="23"/>
      <c r="G68" s="22">
        <f>ROUND('PU Wise OWE'!$AP$126/10000,2)-G67</f>
        <v>35.230000000000018</v>
      </c>
      <c r="H68" s="24">
        <f t="shared" si="32"/>
        <v>4.2594607665336738E-3</v>
      </c>
      <c r="I68" s="23">
        <f>ROUND('PU Wise OWE'!$AP$129/10000,2)-I67</f>
        <v>109.6400000000001</v>
      </c>
      <c r="J68" s="94">
        <f t="shared" si="33"/>
        <v>1.9048479457385907E-2</v>
      </c>
      <c r="K68" s="22">
        <f>I68-D68</f>
        <v>89.100000000000136</v>
      </c>
      <c r="L68" s="52">
        <f>K68/D68</f>
        <v>4.3378773125608712</v>
      </c>
      <c r="M68" s="52">
        <f t="shared" si="34"/>
        <v>3.1121203519727518</v>
      </c>
    </row>
    <row r="69" spans="2:13" s="36" customFormat="1" x14ac:dyDescent="0.25">
      <c r="B69" s="25" t="s">
        <v>130</v>
      </c>
      <c r="C69" s="26">
        <f>C67+C68</f>
        <v>1156.03</v>
      </c>
      <c r="D69" s="74">
        <f>SUM(D67:D68)</f>
        <v>1182.42</v>
      </c>
      <c r="E69" s="86">
        <f t="shared" si="31"/>
        <v>0.23050695466552301</v>
      </c>
      <c r="F69" s="88"/>
      <c r="G69" s="89">
        <f>SUM(G67:G68)</f>
        <v>1578.54</v>
      </c>
      <c r="H69" s="90">
        <f t="shared" si="32"/>
        <v>0.19085237577076533</v>
      </c>
      <c r="I69" s="89">
        <f>SUM(I67:I68)</f>
        <v>1261.69</v>
      </c>
      <c r="J69" s="54">
        <f t="shared" si="33"/>
        <v>0.21920171512759215</v>
      </c>
      <c r="K69" s="91">
        <f>I69-D69</f>
        <v>79.269999999999982</v>
      </c>
      <c r="L69" s="101">
        <f>K69/D69</f>
        <v>6.704047631129377E-2</v>
      </c>
    </row>
    <row r="70" spans="2:13" x14ac:dyDescent="0.25">
      <c r="F70" s="31"/>
      <c r="G70" s="34"/>
      <c r="H70" s="34"/>
      <c r="I70" s="31"/>
      <c r="J70" s="31"/>
      <c r="K70" s="34"/>
      <c r="L70" s="92"/>
    </row>
    <row r="71" spans="2:13" x14ac:dyDescent="0.25">
      <c r="B71" s="75" t="s">
        <v>195</v>
      </c>
      <c r="C71" s="75"/>
      <c r="F71" s="31"/>
      <c r="G71" s="34"/>
      <c r="H71" s="34"/>
      <c r="I71" s="31"/>
      <c r="J71" s="31"/>
      <c r="K71" s="34"/>
      <c r="L71" s="92"/>
    </row>
    <row r="72" spans="2:13" x14ac:dyDescent="0.25">
      <c r="B72" s="23" t="s">
        <v>194</v>
      </c>
      <c r="C72" s="22">
        <v>12.31</v>
      </c>
      <c r="D72" s="70">
        <f>ROUND('PU Wise OWE'!$AQ$29/10000,2)+ROUND('PU Wise OWE'!$BB$29/10000,2)</f>
        <v>18.13</v>
      </c>
      <c r="E72" s="85">
        <f t="shared" ref="E72:E74" si="35">D72/$D$7</f>
        <v>3.5343541957053599E-3</v>
      </c>
      <c r="F72" s="23"/>
      <c r="G72" s="70">
        <f>ROUND('PU Wise OWE'!$AQ$27/10000,2)+ROUND('PU Wise OWE'!$BB$27/10000,2)</f>
        <v>11.17</v>
      </c>
      <c r="H72" s="24">
        <f t="shared" ref="H72:H74" si="36">G72/$G$7</f>
        <v>1.3505017531132873E-3</v>
      </c>
      <c r="I72" s="70">
        <f>ROUND('PU Wise OWE'!$AQ$30/10000,2)+ROUND('PU Wise OWE'!$BB$30/10000,2)</f>
        <v>18.649999999999999</v>
      </c>
      <c r="J72" s="94">
        <f t="shared" ref="J72:J74" si="37">I72/$I$7</f>
        <v>3.240187357535998E-3</v>
      </c>
      <c r="K72" s="22">
        <f>I72-D72</f>
        <v>0.51999999999999957</v>
      </c>
      <c r="L72" s="52">
        <f>K72/D72</f>
        <v>2.8681742967457232E-2</v>
      </c>
      <c r="M72" s="52">
        <f t="shared" ref="M72:M73" si="38">I72/G72</f>
        <v>1.6696508504923901</v>
      </c>
    </row>
    <row r="73" spans="2:13" x14ac:dyDescent="0.25">
      <c r="B73" s="23" t="s">
        <v>196</v>
      </c>
      <c r="C73" s="22">
        <v>114.52</v>
      </c>
      <c r="D73" s="70">
        <f>ROUND('PU Wise OWE'!$AQ$40/10000,2)+ROUND('PU Wise OWE'!$BB$40/10000,2)</f>
        <v>51.010000000000005</v>
      </c>
      <c r="E73" s="85">
        <f t="shared" si="35"/>
        <v>9.9441482362344433E-3</v>
      </c>
      <c r="F73" s="23"/>
      <c r="G73" s="70">
        <f>ROUND('PU Wise OWE'!$AQ$38/10000,2)+ROUND('PU Wise OWE'!$BB$38/10000,2)</f>
        <v>79.58</v>
      </c>
      <c r="H73" s="24">
        <f t="shared" si="36"/>
        <v>9.6215693386531246E-3</v>
      </c>
      <c r="I73" s="70">
        <f>ROUND('PU Wise OWE'!$AQ$41/10000,2)+ROUND('PU Wise OWE'!$BB$41/10000,2)</f>
        <v>81.599999999999994</v>
      </c>
      <c r="J73" s="94">
        <f t="shared" si="37"/>
        <v>1.4176905542892087E-2</v>
      </c>
      <c r="K73" s="22">
        <f>I73-D73</f>
        <v>30.589999999999989</v>
      </c>
      <c r="L73" s="52">
        <f>K73/D73</f>
        <v>0.59968633601254628</v>
      </c>
      <c r="M73" s="52">
        <f t="shared" si="38"/>
        <v>1.0253832621261623</v>
      </c>
    </row>
    <row r="74" spans="2:13" s="36" customFormat="1" x14ac:dyDescent="0.25">
      <c r="B74" s="25" t="s">
        <v>130</v>
      </c>
      <c r="C74" s="26">
        <f>C72+C73</f>
        <v>126.83</v>
      </c>
      <c r="D74" s="74">
        <f>SUM(D72:D73)</f>
        <v>69.14</v>
      </c>
      <c r="E74" s="86">
        <f t="shared" si="35"/>
        <v>1.3478502431939801E-2</v>
      </c>
      <c r="F74" s="25"/>
      <c r="G74" s="74">
        <f>SUM(G72:G73)</f>
        <v>90.75</v>
      </c>
      <c r="H74" s="54">
        <f t="shared" si="36"/>
        <v>1.0972071091766412E-2</v>
      </c>
      <c r="I74" s="74">
        <f t="shared" ref="I74" si="39">SUM(I72:I73)</f>
        <v>100.25</v>
      </c>
      <c r="J74" s="54">
        <f t="shared" si="37"/>
        <v>1.7417092900428085E-2</v>
      </c>
      <c r="K74" s="26">
        <f>I74-D74</f>
        <v>31.11</v>
      </c>
      <c r="L74" s="55">
        <f>K74/D74</f>
        <v>0.44995660977726354</v>
      </c>
    </row>
    <row r="75" spans="2:13" x14ac:dyDescent="0.25">
      <c r="E75" s="31"/>
      <c r="F75" s="31"/>
      <c r="G75" s="34"/>
      <c r="H75" s="34"/>
      <c r="I75" s="31"/>
      <c r="J75" s="31"/>
      <c r="K75" s="34"/>
      <c r="L75" s="92"/>
    </row>
    <row r="76" spans="2:13" x14ac:dyDescent="0.25">
      <c r="B76" s="75" t="s">
        <v>197</v>
      </c>
      <c r="C76" s="75"/>
      <c r="E76" s="31"/>
      <c r="F76" s="31"/>
      <c r="G76" s="34"/>
      <c r="H76" s="34"/>
      <c r="I76" s="31"/>
      <c r="J76" s="31"/>
      <c r="K76" s="34"/>
      <c r="L76" s="92"/>
    </row>
    <row r="77" spans="2:13" x14ac:dyDescent="0.25">
      <c r="B77" s="23" t="s">
        <v>199</v>
      </c>
      <c r="C77" s="22">
        <v>2</v>
      </c>
      <c r="D77" s="70">
        <f>ROUND('PU Wise OWE'!$AW$128/10000,2)</f>
        <v>1.02</v>
      </c>
      <c r="E77" s="85">
        <f t="shared" ref="E77:E83" si="40">D77/$D$7</f>
        <v>1.9884397570984376E-4</v>
      </c>
      <c r="F77" s="23"/>
      <c r="G77" s="22">
        <f>ROUND('PU Wise OWE'!$AW$126/10000,2)</f>
        <v>2.65</v>
      </c>
      <c r="H77" s="24">
        <f t="shared" ref="H77:H83" si="41">G77/$G$7</f>
        <v>3.20396566316044E-4</v>
      </c>
      <c r="I77" s="23">
        <f>ROUND('PU Wise OWE'!$AW$129/10000,2)</f>
        <v>0.86</v>
      </c>
      <c r="J77" s="94">
        <f t="shared" ref="J77:J85" si="42">I77/$I$7</f>
        <v>1.4941346528048034E-4</v>
      </c>
      <c r="K77" s="22">
        <f t="shared" ref="K77:K83" si="43">I77-D77</f>
        <v>-0.16000000000000003</v>
      </c>
      <c r="L77" s="52">
        <f t="shared" ref="L77:L83" si="44">K77/D77</f>
        <v>-0.15686274509803924</v>
      </c>
      <c r="M77" s="52">
        <f t="shared" ref="M77:M82" si="45">I77/G77</f>
        <v>0.32452830188679244</v>
      </c>
    </row>
    <row r="78" spans="2:13" x14ac:dyDescent="0.25">
      <c r="B78" s="23" t="s">
        <v>198</v>
      </c>
      <c r="C78" s="22">
        <v>1.66</v>
      </c>
      <c r="D78" s="70">
        <f>ROUND('PU Wise OWE'!$AX$128/10000,2)</f>
        <v>0.95</v>
      </c>
      <c r="E78" s="85">
        <f t="shared" si="40"/>
        <v>1.8519782051407016E-4</v>
      </c>
      <c r="F78" s="23"/>
      <c r="G78" s="22">
        <f>ROUND('PU Wise OWE'!$AX$126/10000,2)</f>
        <v>1.81</v>
      </c>
      <c r="H78" s="24">
        <f t="shared" si="41"/>
        <v>2.1883690001209044E-4</v>
      </c>
      <c r="I78" s="23">
        <f>ROUND('PU Wise OWE'!$AX$129/10000,2)</f>
        <v>1.0900000000000001</v>
      </c>
      <c r="J78" s="94">
        <f t="shared" si="42"/>
        <v>1.8937288041363207E-4</v>
      </c>
      <c r="K78" s="22">
        <f t="shared" si="43"/>
        <v>0.14000000000000012</v>
      </c>
      <c r="L78" s="52">
        <f t="shared" si="44"/>
        <v>0.1473684210526317</v>
      </c>
      <c r="M78" s="52">
        <f t="shared" si="45"/>
        <v>0.60220994475138123</v>
      </c>
    </row>
    <row r="79" spans="2:13" x14ac:dyDescent="0.25">
      <c r="B79" s="23" t="s">
        <v>200</v>
      </c>
      <c r="C79" s="22">
        <v>16.940000000000001</v>
      </c>
      <c r="D79" s="70">
        <f>ROUND('PU Wise OWE'!$BC$128/10000,2)</f>
        <v>10.8</v>
      </c>
      <c r="E79" s="85">
        <f t="shared" si="40"/>
        <v>2.1054068016336399E-3</v>
      </c>
      <c r="F79" s="23"/>
      <c r="G79" s="22">
        <f>ROUND('PU Wise OWE'!$BC$126/10000,2)</f>
        <v>14.88</v>
      </c>
      <c r="H79" s="24">
        <f t="shared" si="41"/>
        <v>1.7990569459557491E-3</v>
      </c>
      <c r="I79" s="23">
        <f>ROUND('PU Wise OWE'!$BC$129/10000,2)</f>
        <v>10.54</v>
      </c>
      <c r="J79" s="94">
        <f t="shared" si="42"/>
        <v>1.8311836326235613E-3</v>
      </c>
      <c r="K79" s="22">
        <f t="shared" si="43"/>
        <v>-0.26000000000000156</v>
      </c>
      <c r="L79" s="52">
        <f t="shared" si="44"/>
        <v>-2.4074074074074216E-2</v>
      </c>
      <c r="M79" s="52">
        <f t="shared" si="45"/>
        <v>0.70833333333333326</v>
      </c>
    </row>
    <row r="80" spans="2:13" x14ac:dyDescent="0.25">
      <c r="B80" s="23" t="s">
        <v>201</v>
      </c>
      <c r="C80" s="22">
        <v>16.95</v>
      </c>
      <c r="D80" s="70">
        <f>ROUND('PU Wise OWE'!$BD$128/10000,2)</f>
        <v>10.81</v>
      </c>
      <c r="E80" s="85">
        <f t="shared" si="40"/>
        <v>2.1073562523758935E-3</v>
      </c>
      <c r="F80" s="23"/>
      <c r="G80" s="22">
        <f>ROUND('PU Wise OWE'!$BD$126/10000,2)</f>
        <v>14.88</v>
      </c>
      <c r="H80" s="24">
        <f t="shared" si="41"/>
        <v>1.7990569459557491E-3</v>
      </c>
      <c r="I80" s="23">
        <f>ROUND('PU Wise OWE'!$BD$129/10000,2)</f>
        <v>10.44</v>
      </c>
      <c r="J80" s="94">
        <f t="shared" si="42"/>
        <v>1.8138099738700172E-3</v>
      </c>
      <c r="K80" s="22">
        <f t="shared" si="43"/>
        <v>-0.37000000000000099</v>
      </c>
      <c r="L80" s="52">
        <f t="shared" si="44"/>
        <v>-3.4227567067530155E-2</v>
      </c>
      <c r="M80" s="52">
        <f t="shared" si="45"/>
        <v>0.70161290322580638</v>
      </c>
    </row>
    <row r="81" spans="2:13" x14ac:dyDescent="0.25">
      <c r="B81" s="23" t="s">
        <v>202</v>
      </c>
      <c r="C81" s="22">
        <v>17.329999999999998</v>
      </c>
      <c r="D81" s="70">
        <f>ROUND('PU Wise OWE'!$BF$128/10000,2)</f>
        <v>9.83</v>
      </c>
      <c r="E81" s="85">
        <f t="shared" si="40"/>
        <v>1.9163100796350629E-3</v>
      </c>
      <c r="F81" s="23"/>
      <c r="G81" s="22">
        <f>ROUND('PU Wise OWE'!$BF$126/10000,2)</f>
        <v>12.96</v>
      </c>
      <c r="H81" s="24">
        <f t="shared" si="41"/>
        <v>1.5669205658324266E-3</v>
      </c>
      <c r="I81" s="23">
        <f>ROUND('PU Wise OWE'!$BF$129/10000,2)</f>
        <v>9.9600000000000009</v>
      </c>
      <c r="J81" s="94">
        <f t="shared" si="42"/>
        <v>1.7304164118530051E-3</v>
      </c>
      <c r="K81" s="22">
        <f t="shared" si="43"/>
        <v>0.13000000000000078</v>
      </c>
      <c r="L81" s="52">
        <f t="shared" si="44"/>
        <v>1.3224821973550436E-2</v>
      </c>
      <c r="M81" s="52">
        <f t="shared" si="45"/>
        <v>0.76851851851851849</v>
      </c>
    </row>
    <row r="82" spans="2:13" x14ac:dyDescent="0.25">
      <c r="B82" s="23" t="s">
        <v>203</v>
      </c>
      <c r="C82" s="22">
        <v>166.71</v>
      </c>
      <c r="D82" s="70">
        <f>ROUND('PU Wise OWE'!$BG$128/10000,2)-ROUND('PU Wise OWE'!$BG$117/10000,2)</f>
        <v>112.68000000000029</v>
      </c>
      <c r="E82" s="85">
        <f t="shared" si="40"/>
        <v>2.1966410963711033E-2</v>
      </c>
      <c r="F82" s="23"/>
      <c r="G82" s="22">
        <f>ROUND('PU Wise OWE'!$BG$126/10000,2)-ROUND('PU Wise OWE'!$BG$115/10000,2)</f>
        <v>127.09000000000015</v>
      </c>
      <c r="H82" s="24">
        <f t="shared" si="41"/>
        <v>1.5365735703058898E-2</v>
      </c>
      <c r="I82" s="23">
        <f>ROUND('PU Wise OWE'!$BG$129/10000,2)-ROUND('PU Wise OWE'!$BG$118/10000,2)</f>
        <v>117.77000000000044</v>
      </c>
      <c r="J82" s="94">
        <f t="shared" si="42"/>
        <v>2.0460957914049109E-2</v>
      </c>
      <c r="K82" s="22">
        <f t="shared" si="43"/>
        <v>5.0900000000001455</v>
      </c>
      <c r="L82" s="52">
        <f t="shared" si="44"/>
        <v>4.517216897408708E-2</v>
      </c>
      <c r="M82" s="52">
        <f t="shared" si="45"/>
        <v>0.92666614210402309</v>
      </c>
    </row>
    <row r="83" spans="2:13" s="36" customFormat="1" x14ac:dyDescent="0.25">
      <c r="B83" s="25" t="s">
        <v>130</v>
      </c>
      <c r="C83" s="26">
        <f>C77+C78+C79+C80+C81+C82</f>
        <v>221.59</v>
      </c>
      <c r="D83" s="74">
        <f>SUM(D77:D82)</f>
        <v>146.09000000000029</v>
      </c>
      <c r="E83" s="86">
        <f t="shared" si="40"/>
        <v>2.8479525893579542E-2</v>
      </c>
      <c r="F83" s="25"/>
      <c r="G83" s="74">
        <f>SUM(G77:G82)</f>
        <v>174.27000000000015</v>
      </c>
      <c r="H83" s="54">
        <f t="shared" si="41"/>
        <v>2.1070003627130959E-2</v>
      </c>
      <c r="I83" s="74">
        <f>SUM(I77:I82)</f>
        <v>150.66000000000042</v>
      </c>
      <c r="J83" s="54">
        <f t="shared" si="42"/>
        <v>2.6175154278089804E-2</v>
      </c>
      <c r="K83" s="26">
        <f t="shared" si="43"/>
        <v>4.5700000000001353</v>
      </c>
      <c r="L83" s="55">
        <f t="shared" si="44"/>
        <v>3.1282086385105934E-2</v>
      </c>
      <c r="M83" s="25"/>
    </row>
    <row r="85" spans="2:13" s="36" customFormat="1" ht="31.5" customHeight="1" x14ac:dyDescent="0.25">
      <c r="B85" s="93" t="s">
        <v>204</v>
      </c>
      <c r="C85" s="112">
        <v>3247.44</v>
      </c>
      <c r="D85" s="74">
        <f>D37+D49+D54+D56+D64+D69+D74+D83</f>
        <v>2376.65</v>
      </c>
      <c r="E85" s="86">
        <f t="shared" ref="E85" si="46">D85/$D$7</f>
        <v>0.46331621065764728</v>
      </c>
      <c r="F85" s="25"/>
      <c r="G85" s="74">
        <f>G37+G49+G54+G56+G64+G69+G74+G83</f>
        <v>3345.3700000000003</v>
      </c>
      <c r="H85" s="54">
        <f t="shared" ref="H85" si="47">G85/$G$7</f>
        <v>0.40446983436102046</v>
      </c>
      <c r="I85" s="74">
        <f>I37+I49+I54+I56+I64+I69+I74+I83</f>
        <v>2740.5800000000004</v>
      </c>
      <c r="J85" s="54">
        <f t="shared" si="42"/>
        <v>0.47613901706788242</v>
      </c>
      <c r="K85" s="26">
        <f>I85-D85</f>
        <v>363.93000000000029</v>
      </c>
      <c r="L85" s="55">
        <f>K85/D85</f>
        <v>0.15312730103296668</v>
      </c>
      <c r="M85" s="52">
        <f t="shared" ref="M85" si="48">I85/G85</f>
        <v>0.81921581170393709</v>
      </c>
    </row>
    <row r="86" spans="2:13" x14ac:dyDescent="0.25">
      <c r="B86" s="178"/>
      <c r="C86" s="178"/>
      <c r="D86" s="137"/>
      <c r="E86" s="178"/>
      <c r="F86" s="178"/>
      <c r="G86" s="178"/>
      <c r="H86" s="178"/>
      <c r="I86" s="178"/>
      <c r="J86" s="178"/>
      <c r="K86" s="178"/>
      <c r="L86" s="178"/>
      <c r="M86" s="178"/>
    </row>
    <row r="87" spans="2:13" s="147" customFormat="1" ht="16.5" customHeight="1" x14ac:dyDescent="0.25">
      <c r="B87" s="246"/>
      <c r="C87" s="308" t="s">
        <v>302</v>
      </c>
      <c r="D87" s="310" t="s">
        <v>303</v>
      </c>
      <c r="E87" s="308" t="s">
        <v>173</v>
      </c>
      <c r="F87" s="308"/>
      <c r="G87" s="311" t="s">
        <v>307</v>
      </c>
      <c r="H87" s="308" t="s">
        <v>309</v>
      </c>
      <c r="I87" s="310" t="s">
        <v>304</v>
      </c>
      <c r="J87" s="308" t="s">
        <v>205</v>
      </c>
      <c r="K87" s="313" t="s">
        <v>147</v>
      </c>
      <c r="L87" s="313"/>
      <c r="M87" s="307" t="s">
        <v>306</v>
      </c>
    </row>
    <row r="88" spans="2:13" s="147" customFormat="1" x14ac:dyDescent="0.25">
      <c r="B88" s="232" t="s">
        <v>254</v>
      </c>
      <c r="C88" s="309"/>
      <c r="D88" s="309"/>
      <c r="E88" s="309"/>
      <c r="F88" s="309"/>
      <c r="G88" s="312"/>
      <c r="H88" s="309"/>
      <c r="I88" s="321"/>
      <c r="J88" s="309"/>
      <c r="K88" s="233" t="s">
        <v>145</v>
      </c>
      <c r="L88" s="233" t="s">
        <v>146</v>
      </c>
      <c r="M88" s="307"/>
    </row>
    <row r="89" spans="2:13" s="147" customFormat="1" ht="15" customHeight="1" x14ac:dyDescent="0.25">
      <c r="B89" s="234" t="s">
        <v>255</v>
      </c>
      <c r="C89" s="234">
        <v>17</v>
      </c>
      <c r="D89" s="239">
        <v>0</v>
      </c>
      <c r="E89" s="247">
        <f t="shared" ref="E89:E102" si="49">D89/$D$7</f>
        <v>0</v>
      </c>
      <c r="F89" s="234"/>
      <c r="G89" s="237">
        <v>0.69</v>
      </c>
      <c r="H89" s="235">
        <f t="shared" ref="H89:H102" si="50">G89/$G$7</f>
        <v>8.3424011606819001E-5</v>
      </c>
      <c r="I89" s="234">
        <v>0</v>
      </c>
      <c r="J89" s="235">
        <f t="shared" ref="J89:J102" si="51">I89/$I$7</f>
        <v>0</v>
      </c>
      <c r="K89" s="237">
        <f>I89-D89</f>
        <v>0</v>
      </c>
      <c r="L89" s="238">
        <v>0</v>
      </c>
      <c r="M89" s="238">
        <f t="shared" ref="M89:M102" si="52">I89/G89</f>
        <v>0</v>
      </c>
    </row>
    <row r="90" spans="2:13" s="147" customFormat="1" x14ac:dyDescent="0.25">
      <c r="B90" s="234" t="s">
        <v>256</v>
      </c>
      <c r="C90" s="234">
        <v>33.630000000000003</v>
      </c>
      <c r="D90" s="236">
        <v>1.86</v>
      </c>
      <c r="E90" s="247">
        <f t="shared" si="49"/>
        <v>3.6259783805912691E-4</v>
      </c>
      <c r="F90" s="234"/>
      <c r="G90" s="237">
        <v>33.28</v>
      </c>
      <c r="H90" s="235">
        <f t="shared" si="50"/>
        <v>4.0236972554709228E-3</v>
      </c>
      <c r="I90" s="237">
        <v>2.77</v>
      </c>
      <c r="J90" s="235">
        <f t="shared" si="51"/>
        <v>4.8125034747317509E-4</v>
      </c>
      <c r="K90" s="237">
        <f t="shared" ref="K90:K102" si="53">I90-D90</f>
        <v>0.90999999999999992</v>
      </c>
      <c r="L90" s="238">
        <f t="shared" ref="L90:L102" si="54">K90/D90</f>
        <v>0.48924731182795694</v>
      </c>
      <c r="M90" s="238">
        <f t="shared" si="52"/>
        <v>8.3233173076923073E-2</v>
      </c>
    </row>
    <row r="91" spans="2:13" s="147" customFormat="1" x14ac:dyDescent="0.25">
      <c r="B91" s="234" t="s">
        <v>266</v>
      </c>
      <c r="C91" s="234">
        <v>7.44</v>
      </c>
      <c r="D91" s="236">
        <v>0.04</v>
      </c>
      <c r="E91" s="247">
        <f t="shared" si="49"/>
        <v>7.7978029690134816E-6</v>
      </c>
      <c r="F91" s="234"/>
      <c r="G91" s="237">
        <v>0.53</v>
      </c>
      <c r="H91" s="235">
        <f t="shared" si="50"/>
        <v>6.4079313263208811E-5</v>
      </c>
      <c r="I91" s="237">
        <v>0</v>
      </c>
      <c r="J91" s="235">
        <f t="shared" si="51"/>
        <v>0</v>
      </c>
      <c r="K91" s="237">
        <f t="shared" si="53"/>
        <v>-0.04</v>
      </c>
      <c r="L91" s="238">
        <f t="shared" si="54"/>
        <v>-1</v>
      </c>
      <c r="M91" s="238">
        <f t="shared" si="52"/>
        <v>0</v>
      </c>
    </row>
    <row r="92" spans="2:13" s="147" customFormat="1" x14ac:dyDescent="0.25">
      <c r="B92" s="248" t="s">
        <v>257</v>
      </c>
      <c r="C92" s="241">
        <f>SUM(C89:C91)</f>
        <v>58.07</v>
      </c>
      <c r="D92" s="244">
        <f>SUM(D89:D91)</f>
        <v>1.9000000000000001</v>
      </c>
      <c r="E92" s="249">
        <f t="shared" si="49"/>
        <v>3.7039564102814038E-4</v>
      </c>
      <c r="F92" s="241">
        <f t="shared" ref="F92:G92" si="55">SUM(F89:F90)</f>
        <v>0</v>
      </c>
      <c r="G92" s="244">
        <f t="shared" si="55"/>
        <v>33.97</v>
      </c>
      <c r="H92" s="243">
        <f t="shared" si="50"/>
        <v>4.107121267077741E-3</v>
      </c>
      <c r="I92" s="244">
        <f>SUM(I89:I91)</f>
        <v>2.77</v>
      </c>
      <c r="J92" s="243">
        <f t="shared" si="51"/>
        <v>4.8125034747317509E-4</v>
      </c>
      <c r="K92" s="244">
        <f t="shared" si="53"/>
        <v>0.86999999999999988</v>
      </c>
      <c r="L92" s="245">
        <f t="shared" si="54"/>
        <v>0.45789473684210519</v>
      </c>
      <c r="M92" s="245">
        <f t="shared" si="52"/>
        <v>8.1542537533117465E-2</v>
      </c>
    </row>
    <row r="93" spans="2:13" s="147" customFormat="1" x14ac:dyDescent="0.25">
      <c r="B93" s="234" t="s">
        <v>258</v>
      </c>
      <c r="C93" s="234">
        <v>0</v>
      </c>
      <c r="D93" s="239">
        <v>0</v>
      </c>
      <c r="E93" s="247">
        <f t="shared" si="49"/>
        <v>0</v>
      </c>
      <c r="F93" s="234"/>
      <c r="G93" s="237">
        <v>0</v>
      </c>
      <c r="H93" s="235">
        <f t="shared" si="50"/>
        <v>0</v>
      </c>
      <c r="I93" s="237">
        <v>0</v>
      </c>
      <c r="J93" s="235">
        <f t="shared" si="51"/>
        <v>0</v>
      </c>
      <c r="K93" s="237">
        <f t="shared" si="53"/>
        <v>0</v>
      </c>
      <c r="L93" s="238">
        <v>0</v>
      </c>
      <c r="M93" s="238">
        <v>0</v>
      </c>
    </row>
    <row r="94" spans="2:13" s="147" customFormat="1" x14ac:dyDescent="0.25">
      <c r="B94" s="234" t="s">
        <v>259</v>
      </c>
      <c r="C94" s="234">
        <v>13.17</v>
      </c>
      <c r="D94" s="236">
        <v>0.17</v>
      </c>
      <c r="E94" s="247">
        <f t="shared" si="49"/>
        <v>3.3140662618307294E-5</v>
      </c>
      <c r="F94" s="234"/>
      <c r="G94" s="237">
        <v>14.55</v>
      </c>
      <c r="H94" s="235">
        <f t="shared" si="50"/>
        <v>1.7591585056220529E-3</v>
      </c>
      <c r="I94" s="237">
        <v>3.38</v>
      </c>
      <c r="J94" s="235">
        <f t="shared" si="51"/>
        <v>5.8722966586979483E-4</v>
      </c>
      <c r="K94" s="237">
        <f t="shared" si="53"/>
        <v>3.21</v>
      </c>
      <c r="L94" s="238">
        <f t="shared" si="54"/>
        <v>18.882352941176467</v>
      </c>
      <c r="M94" s="238">
        <f t="shared" si="52"/>
        <v>0.23230240549828177</v>
      </c>
    </row>
    <row r="95" spans="2:13" s="147" customFormat="1" x14ac:dyDescent="0.25">
      <c r="B95" s="234" t="s">
        <v>267</v>
      </c>
      <c r="C95" s="234">
        <v>-0.3</v>
      </c>
      <c r="D95" s="236">
        <v>0</v>
      </c>
      <c r="E95" s="247">
        <f t="shared" si="49"/>
        <v>0</v>
      </c>
      <c r="F95" s="234"/>
      <c r="G95" s="237">
        <v>0.05</v>
      </c>
      <c r="H95" s="235">
        <f t="shared" si="50"/>
        <v>6.0452182323781894E-6</v>
      </c>
      <c r="I95" s="237">
        <v>0</v>
      </c>
      <c r="J95" s="235">
        <f t="shared" si="51"/>
        <v>0</v>
      </c>
      <c r="K95" s="237">
        <f t="shared" si="53"/>
        <v>0</v>
      </c>
      <c r="L95" s="238">
        <v>0</v>
      </c>
      <c r="M95" s="238">
        <v>0</v>
      </c>
    </row>
    <row r="96" spans="2:13" s="147" customFormat="1" x14ac:dyDescent="0.25">
      <c r="B96" s="248" t="s">
        <v>260</v>
      </c>
      <c r="C96" s="241">
        <f>SUM(C93:C95)</f>
        <v>12.87</v>
      </c>
      <c r="D96" s="241">
        <f>SUM(D93:D95)</f>
        <v>0.17</v>
      </c>
      <c r="E96" s="249">
        <f t="shared" si="49"/>
        <v>3.3140662618307294E-5</v>
      </c>
      <c r="F96" s="241">
        <f t="shared" ref="F96" si="56">SUM(F93:F94)</f>
        <v>0</v>
      </c>
      <c r="G96" s="244">
        <f>SUM(G93:G95)</f>
        <v>14.600000000000001</v>
      </c>
      <c r="H96" s="243">
        <f t="shared" si="50"/>
        <v>1.7652037238544314E-3</v>
      </c>
      <c r="I96" s="244">
        <f>SUM(I93:I95)</f>
        <v>3.38</v>
      </c>
      <c r="J96" s="243">
        <f t="shared" si="51"/>
        <v>5.8722966586979483E-4</v>
      </c>
      <c r="K96" s="244">
        <f t="shared" si="53"/>
        <v>3.21</v>
      </c>
      <c r="L96" s="245">
        <f t="shared" si="54"/>
        <v>18.882352941176467</v>
      </c>
      <c r="M96" s="245">
        <f t="shared" si="52"/>
        <v>0.23150684931506846</v>
      </c>
    </row>
    <row r="97" spans="2:13" s="147" customFormat="1" x14ac:dyDescent="0.25">
      <c r="B97" s="234" t="s">
        <v>261</v>
      </c>
      <c r="C97" s="237">
        <v>24.12</v>
      </c>
      <c r="D97" s="236">
        <v>1.61</v>
      </c>
      <c r="E97" s="247">
        <f t="shared" si="49"/>
        <v>3.138615695027926E-4</v>
      </c>
      <c r="F97" s="234"/>
      <c r="G97" s="237">
        <v>17.600000000000001</v>
      </c>
      <c r="H97" s="235">
        <f t="shared" si="50"/>
        <v>2.1279168177971227E-3</v>
      </c>
      <c r="I97" s="237">
        <v>0.15</v>
      </c>
      <c r="J97" s="235">
        <f t="shared" si="51"/>
        <v>2.6060488130316337E-5</v>
      </c>
      <c r="K97" s="237">
        <f t="shared" si="53"/>
        <v>-1.4600000000000002</v>
      </c>
      <c r="L97" s="238">
        <f t="shared" si="54"/>
        <v>-0.90683229813664601</v>
      </c>
      <c r="M97" s="238">
        <f t="shared" si="52"/>
        <v>8.5227272727272721E-3</v>
      </c>
    </row>
    <row r="98" spans="2:13" s="147" customFormat="1" x14ac:dyDescent="0.25">
      <c r="B98" s="234" t="s">
        <v>262</v>
      </c>
      <c r="C98" s="234">
        <v>145.66</v>
      </c>
      <c r="D98" s="236">
        <v>4.3499999999999996</v>
      </c>
      <c r="E98" s="247">
        <f t="shared" si="49"/>
        <v>8.4801107288021594E-4</v>
      </c>
      <c r="F98" s="234"/>
      <c r="G98" s="237">
        <v>11.56</v>
      </c>
      <c r="H98" s="235">
        <f t="shared" si="50"/>
        <v>1.3976544553258373E-3</v>
      </c>
      <c r="I98" s="237">
        <v>6.27</v>
      </c>
      <c r="J98" s="235">
        <f t="shared" si="51"/>
        <v>1.0893284038472229E-3</v>
      </c>
      <c r="K98" s="237">
        <f t="shared" si="53"/>
        <v>1.92</v>
      </c>
      <c r="L98" s="238">
        <f t="shared" si="54"/>
        <v>0.44137931034482758</v>
      </c>
      <c r="M98" s="238">
        <f t="shared" si="52"/>
        <v>0.54238754325259508</v>
      </c>
    </row>
    <row r="99" spans="2:13" s="147" customFormat="1" x14ac:dyDescent="0.25">
      <c r="B99" s="248" t="s">
        <v>263</v>
      </c>
      <c r="C99" s="241">
        <f t="shared" ref="C99" si="57">SUM(C97:C98)</f>
        <v>169.78</v>
      </c>
      <c r="D99" s="244">
        <f t="shared" ref="D99:I99" si="58">SUM(D97:D98)</f>
        <v>5.96</v>
      </c>
      <c r="E99" s="249">
        <f t="shared" si="49"/>
        <v>1.1618726423830088E-3</v>
      </c>
      <c r="F99" s="241">
        <f t="shared" si="58"/>
        <v>0</v>
      </c>
      <c r="G99" s="244">
        <f t="shared" si="58"/>
        <v>29.160000000000004</v>
      </c>
      <c r="H99" s="243">
        <f t="shared" si="50"/>
        <v>3.5255712731229604E-3</v>
      </c>
      <c r="I99" s="244">
        <f t="shared" si="58"/>
        <v>6.42</v>
      </c>
      <c r="J99" s="243">
        <f t="shared" si="51"/>
        <v>1.1153888919775393E-3</v>
      </c>
      <c r="K99" s="244">
        <f t="shared" si="53"/>
        <v>0.45999999999999996</v>
      </c>
      <c r="L99" s="245">
        <f t="shared" si="54"/>
        <v>7.7181208053691275E-2</v>
      </c>
      <c r="M99" s="245">
        <f t="shared" si="52"/>
        <v>0.22016460905349791</v>
      </c>
    </row>
    <row r="100" spans="2:13" s="147" customFormat="1" x14ac:dyDescent="0.25">
      <c r="B100" s="234" t="s">
        <v>264</v>
      </c>
      <c r="C100" s="237">
        <v>12.31</v>
      </c>
      <c r="D100" s="236">
        <v>4.28</v>
      </c>
      <c r="E100" s="247">
        <f t="shared" si="49"/>
        <v>8.3436491768444252E-4</v>
      </c>
      <c r="F100" s="234"/>
      <c r="G100" s="237">
        <v>13.17</v>
      </c>
      <c r="H100" s="235">
        <f t="shared" si="50"/>
        <v>1.5923104824084149E-3</v>
      </c>
      <c r="I100" s="237">
        <v>1.93</v>
      </c>
      <c r="J100" s="235">
        <f t="shared" si="51"/>
        <v>3.3531161394340352E-4</v>
      </c>
      <c r="K100" s="237">
        <f t="shared" si="53"/>
        <v>-2.3500000000000005</v>
      </c>
      <c r="L100" s="238">
        <f t="shared" si="54"/>
        <v>-0.54906542056074781</v>
      </c>
      <c r="M100" s="238">
        <f t="shared" si="52"/>
        <v>0.14654517843583903</v>
      </c>
    </row>
    <row r="101" spans="2:13" s="147" customFormat="1" x14ac:dyDescent="0.25">
      <c r="B101" s="234" t="s">
        <v>265</v>
      </c>
      <c r="C101" s="237">
        <v>101.34</v>
      </c>
      <c r="D101" s="236">
        <v>1.64</v>
      </c>
      <c r="E101" s="247">
        <f t="shared" si="49"/>
        <v>3.1970992172955271E-4</v>
      </c>
      <c r="F101" s="234"/>
      <c r="G101" s="237">
        <v>65.03</v>
      </c>
      <c r="H101" s="235">
        <f t="shared" si="50"/>
        <v>7.8624108330310732E-3</v>
      </c>
      <c r="I101" s="237">
        <v>5.95</v>
      </c>
      <c r="J101" s="235">
        <f t="shared" si="51"/>
        <v>1.0337326958358814E-3</v>
      </c>
      <c r="K101" s="237">
        <f t="shared" si="53"/>
        <v>4.3100000000000005</v>
      </c>
      <c r="L101" s="238">
        <f t="shared" si="54"/>
        <v>2.6280487804878052</v>
      </c>
      <c r="M101" s="238">
        <f t="shared" si="52"/>
        <v>9.1496232508073191E-2</v>
      </c>
    </row>
    <row r="102" spans="2:13" s="147" customFormat="1" x14ac:dyDescent="0.25">
      <c r="B102" s="248" t="s">
        <v>295</v>
      </c>
      <c r="C102" s="244">
        <f>SUM(C100:C101)</f>
        <v>113.65</v>
      </c>
      <c r="D102" s="244">
        <f t="shared" ref="D102:I102" si="59">SUM(D100:D101)</f>
        <v>5.92</v>
      </c>
      <c r="E102" s="249">
        <f t="shared" si="49"/>
        <v>1.1540748394139951E-3</v>
      </c>
      <c r="F102" s="241">
        <f t="shared" si="59"/>
        <v>0</v>
      </c>
      <c r="G102" s="244">
        <f t="shared" si="59"/>
        <v>78.2</v>
      </c>
      <c r="H102" s="243">
        <f t="shared" si="50"/>
        <v>9.454721315439488E-3</v>
      </c>
      <c r="I102" s="244">
        <f t="shared" si="59"/>
        <v>7.88</v>
      </c>
      <c r="J102" s="243">
        <f t="shared" si="51"/>
        <v>1.3690443097792849E-3</v>
      </c>
      <c r="K102" s="244">
        <f t="shared" si="53"/>
        <v>1.96</v>
      </c>
      <c r="L102" s="245">
        <f t="shared" si="54"/>
        <v>0.33108108108108109</v>
      </c>
      <c r="M102" s="245">
        <f t="shared" si="52"/>
        <v>0.10076726342710997</v>
      </c>
    </row>
    <row r="103" spans="2:13" x14ac:dyDescent="0.25">
      <c r="B103" s="41"/>
      <c r="C103" s="41"/>
      <c r="D103" s="250"/>
      <c r="E103" s="41"/>
      <c r="F103" s="41"/>
      <c r="G103" s="41"/>
      <c r="H103" s="41"/>
      <c r="I103" s="41"/>
      <c r="J103" s="41"/>
      <c r="K103" s="41"/>
      <c r="L103" s="41"/>
      <c r="M103" s="41"/>
    </row>
    <row r="104" spans="2:13" ht="15" customHeight="1" x14ac:dyDescent="0.25">
      <c r="B104" s="231"/>
      <c r="C104" s="308" t="s">
        <v>302</v>
      </c>
      <c r="D104" s="310" t="str">
        <f>'PU Wise OWE'!$B$7</f>
        <v>Actuals upto Oct' 20</v>
      </c>
      <c r="E104" s="308" t="s">
        <v>173</v>
      </c>
      <c r="F104" s="308"/>
      <c r="G104" s="311" t="str">
        <f>'PU Wise OWE'!$B$5</f>
        <v xml:space="preserve">OBG(SL) 2021-22 </v>
      </c>
      <c r="H104" s="308" t="s">
        <v>310</v>
      </c>
      <c r="I104" s="310" t="str">
        <f>I40</f>
        <v>Actuals upto Oct' 21</v>
      </c>
      <c r="J104" s="308" t="s">
        <v>205</v>
      </c>
      <c r="K104" s="313" t="s">
        <v>147</v>
      </c>
      <c r="L104" s="313"/>
      <c r="M104" s="307" t="s">
        <v>306</v>
      </c>
    </row>
    <row r="105" spans="2:13" x14ac:dyDescent="0.25">
      <c r="B105" s="232" t="s">
        <v>191</v>
      </c>
      <c r="C105" s="309"/>
      <c r="D105" s="309"/>
      <c r="E105" s="309"/>
      <c r="F105" s="309"/>
      <c r="G105" s="312"/>
      <c r="H105" s="309"/>
      <c r="I105" s="309"/>
      <c r="J105" s="309"/>
      <c r="K105" s="233" t="s">
        <v>145</v>
      </c>
      <c r="L105" s="233" t="s">
        <v>146</v>
      </c>
      <c r="M105" s="307"/>
    </row>
    <row r="106" spans="2:13" x14ac:dyDescent="0.25">
      <c r="B106" s="234" t="s">
        <v>218</v>
      </c>
      <c r="C106" s="234">
        <v>305.92</v>
      </c>
      <c r="D106" s="236">
        <v>19.18</v>
      </c>
      <c r="E106" s="247">
        <f t="shared" ref="E106:E109" si="60">D106/$D$7</f>
        <v>3.7390465236419642E-3</v>
      </c>
      <c r="F106" s="234"/>
      <c r="G106" s="234">
        <v>115.89</v>
      </c>
      <c r="H106" s="235">
        <f t="shared" ref="H106:H109" si="61">G106/$G$7</f>
        <v>1.4011606819006166E-2</v>
      </c>
      <c r="I106" s="237">
        <v>28.26</v>
      </c>
      <c r="J106" s="235">
        <f t="shared" ref="J106:J109" si="62">I106/$I$7</f>
        <v>4.9097959637515983E-3</v>
      </c>
      <c r="K106" s="237">
        <f>I106-D106</f>
        <v>9.0800000000000018</v>
      </c>
      <c r="L106" s="238">
        <f>K106/D106</f>
        <v>0.47340980187695525</v>
      </c>
      <c r="M106" s="238">
        <f t="shared" ref="M106:M109" si="63">I106/G106</f>
        <v>0.24385192855293814</v>
      </c>
    </row>
    <row r="107" spans="2:13" x14ac:dyDescent="0.25">
      <c r="B107" s="234" t="s">
        <v>217</v>
      </c>
      <c r="C107" s="234">
        <v>266.58999999999997</v>
      </c>
      <c r="D107" s="239">
        <v>27.95</v>
      </c>
      <c r="E107" s="247">
        <f t="shared" si="60"/>
        <v>5.4487148245981696E-3</v>
      </c>
      <c r="F107" s="234"/>
      <c r="G107" s="237">
        <v>750</v>
      </c>
      <c r="H107" s="235">
        <f t="shared" si="61"/>
        <v>9.0678273485672839E-2</v>
      </c>
      <c r="I107" s="237">
        <v>40.58</v>
      </c>
      <c r="J107" s="235">
        <f t="shared" si="62"/>
        <v>7.0502307221882469E-3</v>
      </c>
      <c r="K107" s="237">
        <f t="shared" ref="K107:K109" si="64">I107-D107</f>
        <v>12.629999999999999</v>
      </c>
      <c r="L107" s="238">
        <f t="shared" ref="L107:L109" si="65">K107/D107</f>
        <v>0.45187835420393557</v>
      </c>
      <c r="M107" s="238">
        <f t="shared" si="63"/>
        <v>5.4106666666666664E-2</v>
      </c>
    </row>
    <row r="108" spans="2:13" ht="15.75" customHeight="1" x14ac:dyDescent="0.25">
      <c r="B108" s="240" t="s">
        <v>216</v>
      </c>
      <c r="C108" s="234">
        <v>544.78</v>
      </c>
      <c r="D108" s="239">
        <v>165.44</v>
      </c>
      <c r="E108" s="247">
        <f t="shared" si="60"/>
        <v>3.2251713079839754E-2</v>
      </c>
      <c r="F108" s="234"/>
      <c r="G108" s="237">
        <v>676.5</v>
      </c>
      <c r="H108" s="235">
        <f t="shared" si="61"/>
        <v>8.1791802684076889E-2</v>
      </c>
      <c r="I108" s="234">
        <v>301.26</v>
      </c>
      <c r="J108" s="235">
        <f t="shared" si="62"/>
        <v>5.2339884360927333E-2</v>
      </c>
      <c r="K108" s="237">
        <f t="shared" si="64"/>
        <v>135.82</v>
      </c>
      <c r="L108" s="238">
        <f t="shared" si="65"/>
        <v>0.82096228239845259</v>
      </c>
      <c r="M108" s="238">
        <f t="shared" si="63"/>
        <v>0.44532150776053214</v>
      </c>
    </row>
    <row r="109" spans="2:13" x14ac:dyDescent="0.25">
      <c r="B109" s="241" t="s">
        <v>130</v>
      </c>
      <c r="C109" s="241">
        <f>SUM(C106:C108)</f>
        <v>1117.29</v>
      </c>
      <c r="D109" s="242">
        <f>+D106+D107+D108</f>
        <v>212.57</v>
      </c>
      <c r="E109" s="249">
        <f t="shared" si="60"/>
        <v>4.1439474428079888E-2</v>
      </c>
      <c r="F109" s="241"/>
      <c r="G109" s="242">
        <f>+G106+G107+G108</f>
        <v>1542.3899999999999</v>
      </c>
      <c r="H109" s="243">
        <f t="shared" si="61"/>
        <v>0.18648168298875589</v>
      </c>
      <c r="I109" s="244">
        <f>SUM(I106:I108)</f>
        <v>370.1</v>
      </c>
      <c r="J109" s="243">
        <f t="shared" si="62"/>
        <v>6.4299911046867178E-2</v>
      </c>
      <c r="K109" s="244">
        <f t="shared" si="64"/>
        <v>157.53000000000003</v>
      </c>
      <c r="L109" s="245">
        <f t="shared" si="65"/>
        <v>0.74107352871995125</v>
      </c>
      <c r="M109" s="245">
        <f t="shared" si="63"/>
        <v>0.23995228184830039</v>
      </c>
    </row>
    <row r="110" spans="2:13" x14ac:dyDescent="0.25">
      <c r="B110" s="41"/>
      <c r="C110" s="41"/>
      <c r="D110" s="250"/>
      <c r="E110" s="41"/>
      <c r="F110" s="41"/>
      <c r="G110" s="41"/>
      <c r="H110" s="41"/>
      <c r="I110" s="41"/>
      <c r="J110" s="41"/>
      <c r="K110" s="41"/>
      <c r="L110" s="41"/>
      <c r="M110" s="41"/>
    </row>
    <row r="111" spans="2:13" x14ac:dyDescent="0.25">
      <c r="B111" s="232" t="s">
        <v>219</v>
      </c>
      <c r="C111" s="234"/>
      <c r="D111" s="239"/>
      <c r="E111" s="234"/>
      <c r="F111" s="234"/>
      <c r="G111" s="234"/>
      <c r="H111" s="234"/>
      <c r="I111" s="234"/>
      <c r="J111" s="234"/>
      <c r="K111" s="234"/>
      <c r="L111" s="234"/>
      <c r="M111" s="234"/>
    </row>
    <row r="112" spans="2:13" x14ac:dyDescent="0.25">
      <c r="B112" s="234" t="s">
        <v>220</v>
      </c>
      <c r="C112" s="237">
        <v>28.69</v>
      </c>
      <c r="D112" s="236">
        <v>5.63</v>
      </c>
      <c r="E112" s="247">
        <f t="shared" ref="E112:E115" si="66">D112/$D$7</f>
        <v>1.0975407678886473E-3</v>
      </c>
      <c r="F112" s="234"/>
      <c r="G112" s="237">
        <v>27.91</v>
      </c>
      <c r="H112" s="235">
        <f t="shared" ref="H112:H115" si="67">G112/$G$7</f>
        <v>3.3744408173135049E-3</v>
      </c>
      <c r="I112" s="234">
        <v>0.22</v>
      </c>
      <c r="J112" s="235">
        <f t="shared" ref="J112" si="68">I112/$I$7</f>
        <v>3.8222049257797298E-5</v>
      </c>
      <c r="K112" s="237">
        <f>I112-D112</f>
        <v>-5.41</v>
      </c>
      <c r="L112" s="238">
        <f>K112/D112</f>
        <v>-0.96092362344582594</v>
      </c>
      <c r="M112" s="238">
        <f t="shared" ref="M112" si="69">I112/G112</f>
        <v>7.8824793980652088E-3</v>
      </c>
    </row>
    <row r="113" spans="2:13" x14ac:dyDescent="0.25">
      <c r="B113" s="234" t="s">
        <v>221</v>
      </c>
      <c r="C113" s="237">
        <v>38.6</v>
      </c>
      <c r="D113" s="239">
        <v>2.54</v>
      </c>
      <c r="E113" s="247">
        <f t="shared" si="66"/>
        <v>4.9516048853235608E-4</v>
      </c>
      <c r="F113" s="234"/>
      <c r="G113" s="234">
        <v>33.72</v>
      </c>
      <c r="H113" s="235">
        <f t="shared" si="67"/>
        <v>4.0768951759158501E-3</v>
      </c>
      <c r="I113" s="237">
        <v>0.11</v>
      </c>
      <c r="J113" s="235">
        <f t="shared" ref="J113:J115" si="70">I113/$I$7</f>
        <v>1.9111024628898649E-5</v>
      </c>
      <c r="K113" s="237">
        <f t="shared" ref="K113:K115" si="71">I113-D113</f>
        <v>-2.4300000000000002</v>
      </c>
      <c r="L113" s="238">
        <f t="shared" ref="L113:L115" si="72">K113/D113</f>
        <v>-0.95669291338582685</v>
      </c>
      <c r="M113" s="238">
        <f t="shared" ref="M113:M115" si="73">I113/G113</f>
        <v>3.2621589561091344E-3</v>
      </c>
    </row>
    <row r="114" spans="2:13" x14ac:dyDescent="0.25">
      <c r="B114" s="240" t="s">
        <v>222</v>
      </c>
      <c r="C114" s="234">
        <v>33.32</v>
      </c>
      <c r="D114" s="239">
        <v>2.81</v>
      </c>
      <c r="E114" s="247">
        <f t="shared" si="66"/>
        <v>5.4779565857319707E-4</v>
      </c>
      <c r="F114" s="234"/>
      <c r="G114" s="234">
        <v>33.19</v>
      </c>
      <c r="H114" s="235">
        <f t="shared" si="67"/>
        <v>4.0128158626526415E-3</v>
      </c>
      <c r="I114" s="237">
        <v>3.03</v>
      </c>
      <c r="J114" s="235">
        <f t="shared" si="70"/>
        <v>5.2642186023238999E-4</v>
      </c>
      <c r="K114" s="237">
        <f t="shared" si="71"/>
        <v>0.21999999999999975</v>
      </c>
      <c r="L114" s="238">
        <f t="shared" si="72"/>
        <v>7.8291814946619132E-2</v>
      </c>
      <c r="M114" s="238">
        <f t="shared" si="73"/>
        <v>9.1292557999397408E-2</v>
      </c>
    </row>
    <row r="115" spans="2:13" x14ac:dyDescent="0.25">
      <c r="B115" s="241" t="s">
        <v>130</v>
      </c>
      <c r="C115" s="244">
        <f>SUM(C112:C114)</f>
        <v>100.61000000000001</v>
      </c>
      <c r="D115" s="251">
        <f>SUM(D112:D114)</f>
        <v>10.98</v>
      </c>
      <c r="E115" s="249">
        <f t="shared" si="66"/>
        <v>2.1404969149942006E-3</v>
      </c>
      <c r="F115" s="241"/>
      <c r="G115" s="241">
        <f>SUM(G112:G114)</f>
        <v>94.82</v>
      </c>
      <c r="H115" s="243">
        <f t="shared" si="67"/>
        <v>1.1464151855881996E-2</v>
      </c>
      <c r="I115" s="241">
        <f>SUM(I112:I114)</f>
        <v>3.36</v>
      </c>
      <c r="J115" s="243">
        <f t="shared" si="70"/>
        <v>5.8375493411908592E-4</v>
      </c>
      <c r="K115" s="244">
        <f t="shared" si="71"/>
        <v>-7.620000000000001</v>
      </c>
      <c r="L115" s="245">
        <f t="shared" si="72"/>
        <v>-0.69398907103825147</v>
      </c>
      <c r="M115" s="245">
        <f t="shared" si="73"/>
        <v>3.543556211769669E-2</v>
      </c>
    </row>
    <row r="118" spans="2:13" x14ac:dyDescent="0.25">
      <c r="C118" s="34"/>
      <c r="D118" s="138"/>
      <c r="E118" s="31"/>
      <c r="F118" s="31"/>
      <c r="G118" s="31"/>
    </row>
    <row r="119" spans="2:13" x14ac:dyDescent="0.25">
      <c r="C119" s="31"/>
      <c r="D119" s="138"/>
      <c r="E119" s="31"/>
      <c r="F119" s="31"/>
      <c r="G119" s="31"/>
    </row>
    <row r="120" spans="2:13" x14ac:dyDescent="0.25">
      <c r="C120" s="31"/>
      <c r="D120" s="138"/>
      <c r="E120" s="31"/>
      <c r="F120" s="31"/>
      <c r="G120" s="31"/>
    </row>
    <row r="121" spans="2:13" x14ac:dyDescent="0.25">
      <c r="C121" s="31"/>
      <c r="D121" s="138"/>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x14ac:dyDescent="0.25">
      <c r="A1" s="131"/>
      <c r="B1" s="1"/>
      <c r="C1" s="265" t="s">
        <v>213</v>
      </c>
      <c r="D1" s="265"/>
      <c r="E1" s="265"/>
      <c r="F1" s="265"/>
      <c r="G1" s="265"/>
      <c r="H1" s="265"/>
      <c r="I1" s="265"/>
      <c r="J1" s="265"/>
      <c r="K1" s="265"/>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1"/>
      <c r="B2" s="1"/>
      <c r="C2" s="1"/>
      <c r="D2" s="1"/>
      <c r="E2" s="1"/>
      <c r="F2" s="1"/>
      <c r="G2" s="1"/>
      <c r="H2" s="1"/>
      <c r="I2" s="1"/>
      <c r="J2" s="1"/>
      <c r="K2" s="1"/>
      <c r="L2" s="1"/>
      <c r="M2" s="266" t="s">
        <v>69</v>
      </c>
      <c r="N2" s="266"/>
      <c r="O2" s="266"/>
      <c r="P2" s="1"/>
      <c r="Q2" s="1"/>
      <c r="R2" s="1"/>
      <c r="S2" s="1"/>
      <c r="T2" s="1"/>
      <c r="U2" s="1"/>
      <c r="V2" s="1"/>
      <c r="W2" s="1"/>
      <c r="X2" s="1"/>
      <c r="Y2" s="1"/>
      <c r="Z2" s="1"/>
      <c r="AA2" s="1"/>
      <c r="AB2" s="1"/>
      <c r="AC2" s="2"/>
      <c r="AD2" s="1"/>
      <c r="AE2" s="1"/>
      <c r="AF2" s="1"/>
      <c r="AG2" s="1"/>
      <c r="AH2" s="1"/>
      <c r="AI2" s="1"/>
      <c r="AJ2" s="1"/>
      <c r="AK2" s="1"/>
      <c r="AL2" s="1"/>
      <c r="AM2" s="1"/>
      <c r="AN2" s="1"/>
      <c r="AO2" s="1"/>
      <c r="AP2" s="266" t="s">
        <v>69</v>
      </c>
      <c r="AQ2" s="266"/>
      <c r="AR2" s="266"/>
      <c r="AS2" s="1"/>
      <c r="AT2" s="1"/>
      <c r="AU2" s="1"/>
      <c r="AV2" s="2"/>
      <c r="AW2" s="1"/>
      <c r="AX2" s="1"/>
      <c r="AY2" s="1"/>
      <c r="AZ2" s="1"/>
      <c r="BA2" s="1"/>
      <c r="BB2" s="1"/>
      <c r="BC2" s="1"/>
      <c r="BD2" s="1"/>
      <c r="BE2" s="1"/>
      <c r="BF2" s="1"/>
      <c r="BG2" s="2"/>
      <c r="BH2" s="266" t="s">
        <v>69</v>
      </c>
      <c r="BI2" s="266"/>
      <c r="BJ2" s="266"/>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75" x14ac:dyDescent="0.25">
      <c r="A4" s="128"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75" x14ac:dyDescent="0.25">
      <c r="A5" s="8" t="s">
        <v>131</v>
      </c>
      <c r="B5" s="11" t="s">
        <v>214</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x14ac:dyDescent="0.25">
      <c r="A6" s="128" t="s">
        <v>131</v>
      </c>
      <c r="B6" s="5" t="s">
        <v>211</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x14ac:dyDescent="0.25">
      <c r="A7" s="128"/>
      <c r="B7" s="132" t="s">
        <v>215</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x14ac:dyDescent="0.25">
      <c r="A8" s="128"/>
      <c r="B8" s="12" t="s">
        <v>212</v>
      </c>
      <c r="C8" s="9">
        <f>IF('Upto Month Current'!$B$4="",0,'Upto Month Current'!$B$4)</f>
        <v>1553531</v>
      </c>
      <c r="D8" s="9">
        <f>IF('Upto Month Current'!$B$5="",0,'Upto Month Current'!$B$5)</f>
        <v>377764</v>
      </c>
      <c r="E8" s="9">
        <f>IF('Upto Month Current'!$B$6="",0,'Upto Month Current'!$B$6)</f>
        <v>65580</v>
      </c>
      <c r="F8" s="9">
        <f>IF('Upto Month Current'!$B$7="",0,'Upto Month Current'!$B$7)</f>
        <v>168972</v>
      </c>
      <c r="G8" s="9">
        <f>IF('Upto Month Current'!$B$8="",0,'Upto Month Current'!$B$8)</f>
        <v>67744</v>
      </c>
      <c r="H8" s="9">
        <f>IF('Upto Month Current'!$B$9="",0,'Upto Month Current'!$B$9)</f>
        <v>0</v>
      </c>
      <c r="I8" s="9">
        <f>IF('Upto Month Current'!$B$10="",0,'Upto Month Current'!$B$10)</f>
        <v>0</v>
      </c>
      <c r="J8" s="9">
        <f>IF('Upto Month Current'!$B$11="",0,'Upto Month Current'!$B$11)</f>
        <v>1466</v>
      </c>
      <c r="K8" s="9">
        <f>IF('Upto Month Current'!$B$12="",0,'Upto Month Current'!$B$12)</f>
        <v>0</v>
      </c>
      <c r="L8" s="9">
        <f>IF('Upto Month Current'!$B$13="",0,'Upto Month Current'!$B$13)</f>
        <v>753</v>
      </c>
      <c r="M8" s="9">
        <f>IF('Upto Month Current'!$B$14="",0,'Upto Month Current'!$B$14)</f>
        <v>7016</v>
      </c>
      <c r="N8" s="9">
        <f>IF('Upto Month Current'!$B$15="",0,'Upto Month Current'!$B$15)</f>
        <v>5999</v>
      </c>
      <c r="O8" s="9">
        <f>IF('Upto Month Current'!$B$16="",0,'Upto Month Current'!$B$16)</f>
        <v>9478</v>
      </c>
      <c r="P8" s="9">
        <f>IF('Upto Month Current'!$B$17="",0,'Upto Month Current'!$B$17)</f>
        <v>43836</v>
      </c>
      <c r="Q8" s="9">
        <f>IF('Upto Month Current'!$B$18="",0,'Upto Month Current'!$B$18)</f>
        <v>0</v>
      </c>
      <c r="R8" s="9">
        <f>IF('Upto Month Current'!$B$21="",0,'Upto Month Current'!$B$21)</f>
        <v>7505</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10316</v>
      </c>
      <c r="Z8" s="9">
        <f>IF('Upto Month Current'!$B$43="",0,'Upto Month Current'!$B$43)</f>
        <v>1345</v>
      </c>
      <c r="AA8" s="9">
        <f>IF('Upto Month Current'!$B$44="",0,'Upto Month Current'!$B$44)</f>
        <v>4018</v>
      </c>
      <c r="AB8" s="9">
        <f>IF('Upto Month Current'!$B$51="",0,'Upto Month Current'!$B$51)</f>
        <v>0</v>
      </c>
      <c r="AC8" s="121">
        <f t="shared" si="0"/>
        <v>2325323</v>
      </c>
      <c r="AD8" s="9">
        <f>IF('Upto Month Current'!$B$19="",0,'Upto Month Current'!$B$19)</f>
        <v>8797</v>
      </c>
      <c r="AE8" s="9">
        <f>IF('Upto Month Current'!$B$20="",0,'Upto Month Current'!$B$20)</f>
        <v>4667</v>
      </c>
      <c r="AF8" s="9">
        <f>IF('Upto Month Current'!$B$22="",0,'Upto Month Current'!$B$22)</f>
        <v>53835</v>
      </c>
      <c r="AG8" s="9">
        <f>IF('Upto Month Current'!$B$23="",0,'Upto Month Current'!$B$23)</f>
        <v>41</v>
      </c>
      <c r="AH8" s="9">
        <f>IF('Upto Month Current'!$B$24="",0,'Upto Month Current'!$B$24)</f>
        <v>0</v>
      </c>
      <c r="AI8" s="9">
        <f>IF('Upto Month Current'!$B$25="",0,'Upto Month Current'!$B$25)</f>
        <v>3396</v>
      </c>
      <c r="AJ8" s="9">
        <f>IF('Upto Month Current'!$B$28="",0,'Upto Month Current'!$B$28)</f>
        <v>-243</v>
      </c>
      <c r="AK8" s="9">
        <f>IF('Upto Month Current'!$B$29="",0,'Upto Month Current'!$B$29)</f>
        <v>3255</v>
      </c>
      <c r="AL8" s="9">
        <f>IF('Upto Month Current'!$B$31="",0,'Upto Month Current'!$B$31)</f>
        <v>251</v>
      </c>
      <c r="AM8" s="9">
        <f>IF('Upto Month Current'!$B$32="",0,'Upto Month Current'!$B$32)</f>
        <v>0</v>
      </c>
      <c r="AN8" s="9">
        <f>IF('Upto Month Current'!$B$33="",0,'Upto Month Current'!$B$33)</f>
        <v>41592</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5759</v>
      </c>
      <c r="AW8" s="9">
        <f>IF('Upto Month Current'!$B$46="",0,'Upto Month Current'!$B$46)</f>
        <v>6558</v>
      </c>
      <c r="AX8" s="9">
        <f>IF('Upto Month Current'!$B$47="",0,'Upto Month Current'!$B$47)</f>
        <v>3809</v>
      </c>
      <c r="AY8" s="9">
        <f>IF('Upto Month Current'!$B$49="",0,'Upto Month Current'!$B$49)</f>
        <v>0</v>
      </c>
      <c r="AZ8" s="9">
        <f>IF('Upto Month Current'!$B$50="",0,'Upto Month Current'!$B$50)</f>
        <v>0</v>
      </c>
      <c r="BA8" s="9">
        <f>IF('Upto Month Current'!$B$52="",0,'Upto Month Current'!$B$52)</f>
        <v>0</v>
      </c>
      <c r="BB8" s="9">
        <f>IF('Upto Month Current'!$B$53="",0,'Upto Month Current'!$B$53)</f>
        <v>4136</v>
      </c>
      <c r="BC8" s="9">
        <f>IF('Upto Month Current'!$B$54="",0,'Upto Month Current'!$B$54)</f>
        <v>4136</v>
      </c>
      <c r="BD8" s="9">
        <f>IF('Upto Month Current'!$B$55="",0,'Upto Month Current'!$B$55)</f>
        <v>1</v>
      </c>
      <c r="BE8" s="9">
        <f>IF('Upto Month Current'!$B$56="",0,'Upto Month Current'!$B$56)</f>
        <v>962</v>
      </c>
      <c r="BF8" s="9">
        <f>IF('Upto Month Current'!$B$58="",0,'Upto Month Current'!$B$58)</f>
        <v>12328</v>
      </c>
      <c r="BG8" s="122">
        <f t="shared" si="2"/>
        <v>153280</v>
      </c>
      <c r="BH8" s="123">
        <f t="shared" si="3"/>
        <v>2478603</v>
      </c>
      <c r="BI8" s="9">
        <f>IF('Upto Month Current'!$B$60="",0,'Upto Month Current'!$B$60)</f>
        <v>6657</v>
      </c>
      <c r="BJ8" s="124">
        <f t="shared" si="1"/>
        <v>2471946</v>
      </c>
      <c r="BK8">
        <f>'Upto Month Current'!$B$61</f>
        <v>2474041</v>
      </c>
    </row>
    <row r="9" spans="1:63" ht="15.75" x14ac:dyDescent="0.25">
      <c r="A9" s="128"/>
      <c r="B9" s="5" t="s">
        <v>210</v>
      </c>
      <c r="C9" s="126">
        <f t="shared" ref="C9:AH9" si="6">C8/C5</f>
        <v>0.63931895679713968</v>
      </c>
      <c r="D9" s="126">
        <f t="shared" si="6"/>
        <v>0.86118900089820227</v>
      </c>
      <c r="E9" s="126">
        <f t="shared" si="6"/>
        <v>0.85423993747557636</v>
      </c>
      <c r="F9" s="126">
        <f t="shared" si="6"/>
        <v>0.58340037219515728</v>
      </c>
      <c r="G9" s="126">
        <f t="shared" si="6"/>
        <v>0.63450317045529048</v>
      </c>
      <c r="H9" s="126" t="e">
        <f t="shared" si="6"/>
        <v>#DIV/0!</v>
      </c>
      <c r="I9" s="126" t="e">
        <f t="shared" si="6"/>
        <v>#DIV/0!</v>
      </c>
      <c r="J9" s="126" t="e">
        <f t="shared" si="6"/>
        <v>#DIV/0!</v>
      </c>
      <c r="K9" s="126" t="e">
        <f t="shared" si="6"/>
        <v>#DIV/0!</v>
      </c>
      <c r="L9" s="126">
        <f t="shared" si="6"/>
        <v>0.20351351351351352</v>
      </c>
      <c r="M9" s="126">
        <f t="shared" si="6"/>
        <v>0.90354153251770764</v>
      </c>
      <c r="N9" s="126">
        <f t="shared" si="6"/>
        <v>1.0121477982115741</v>
      </c>
      <c r="O9" s="126">
        <f t="shared" si="6"/>
        <v>0.75878632615483144</v>
      </c>
      <c r="P9" s="126">
        <f t="shared" si="6"/>
        <v>0.69844810554156977</v>
      </c>
      <c r="Q9" s="126" t="e">
        <f t="shared" si="6"/>
        <v>#DIV/0!</v>
      </c>
      <c r="R9" s="126">
        <f t="shared" si="6"/>
        <v>0.66515997518390502</v>
      </c>
      <c r="S9" s="126" t="e">
        <f t="shared" si="6"/>
        <v>#DIV/0!</v>
      </c>
      <c r="T9" s="126" t="e">
        <f t="shared" si="6"/>
        <v>#DIV/0!</v>
      </c>
      <c r="U9" s="126" t="e">
        <f t="shared" si="6"/>
        <v>#DIV/0!</v>
      </c>
      <c r="V9" s="126" t="e">
        <f t="shared" si="6"/>
        <v>#DIV/0!</v>
      </c>
      <c r="W9" s="126">
        <f t="shared" si="6"/>
        <v>0</v>
      </c>
      <c r="X9" s="126">
        <f t="shared" si="6"/>
        <v>0</v>
      </c>
      <c r="Y9" s="126">
        <f t="shared" si="6"/>
        <v>19.464150943396227</v>
      </c>
      <c r="Z9" s="126" t="e">
        <f t="shared" si="6"/>
        <v>#DIV/0!</v>
      </c>
      <c r="AA9" s="126" t="e">
        <f t="shared" si="6"/>
        <v>#DIV/0!</v>
      </c>
      <c r="AB9" s="126" t="e">
        <f t="shared" si="6"/>
        <v>#DIV/0!</v>
      </c>
      <c r="AC9" s="126">
        <f t="shared" si="6"/>
        <v>0.67455726181137998</v>
      </c>
      <c r="AD9" s="126">
        <f t="shared" si="6"/>
        <v>0.10923608006755078</v>
      </c>
      <c r="AE9" s="126">
        <f t="shared" si="6"/>
        <v>0.20266631926350528</v>
      </c>
      <c r="AF9" s="126">
        <f t="shared" si="6"/>
        <v>4.5723628333616446</v>
      </c>
      <c r="AG9" s="126" t="e">
        <f t="shared" si="6"/>
        <v>#DIV/0!</v>
      </c>
      <c r="AH9" s="126">
        <f t="shared" si="6"/>
        <v>0</v>
      </c>
      <c r="AI9" s="126">
        <f t="shared" ref="AI9:BJ9" si="7">AI8/AI5</f>
        <v>14.15</v>
      </c>
      <c r="AJ9" s="126">
        <f t="shared" si="7"/>
        <v>-2.5950448526270823E-2</v>
      </c>
      <c r="AK9" s="126">
        <f t="shared" si="7"/>
        <v>0.18255748738081884</v>
      </c>
      <c r="AL9" s="126">
        <f t="shared" si="7"/>
        <v>0.23791469194312795</v>
      </c>
      <c r="AM9" s="126">
        <f t="shared" si="7"/>
        <v>0</v>
      </c>
      <c r="AN9" s="126">
        <f t="shared" si="7"/>
        <v>0.52215177954930636</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0.48887945670628186</v>
      </c>
      <c r="AW9" s="126">
        <f t="shared" si="7"/>
        <v>0.62834147743604485</v>
      </c>
      <c r="AX9" s="126">
        <f t="shared" si="7"/>
        <v>1.8680725846002944</v>
      </c>
      <c r="AY9" s="126" t="e">
        <f t="shared" si="7"/>
        <v>#DIV/0!</v>
      </c>
      <c r="AZ9" s="126" t="e">
        <f t="shared" si="7"/>
        <v>#DIV/0!</v>
      </c>
      <c r="BA9" s="126" t="e">
        <f t="shared" si="7"/>
        <v>#DIV/0!</v>
      </c>
      <c r="BB9" s="126">
        <f t="shared" si="7"/>
        <v>2.183738120380148</v>
      </c>
      <c r="BC9" s="126">
        <f t="shared" si="7"/>
        <v>2.1005586592178771</v>
      </c>
      <c r="BD9" s="126">
        <f t="shared" si="7"/>
        <v>5.235602094240838E-3</v>
      </c>
      <c r="BE9" s="126">
        <f t="shared" si="7"/>
        <v>1.2792553191489362</v>
      </c>
      <c r="BF9" s="126">
        <f t="shared" si="7"/>
        <v>0.15096927466660134</v>
      </c>
      <c r="BG9" s="126">
        <f t="shared" si="7"/>
        <v>0.45847191979134261</v>
      </c>
      <c r="BH9" s="126">
        <f t="shared" si="7"/>
        <v>0.655452898205797</v>
      </c>
      <c r="BI9" s="126">
        <f t="shared" si="7"/>
        <v>0.35958515637660021</v>
      </c>
      <c r="BJ9" s="126">
        <f t="shared" si="7"/>
        <v>0.65690849240193794</v>
      </c>
    </row>
    <row r="10" spans="1:63" ht="15.75" x14ac:dyDescent="0.2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136</v>
      </c>
      <c r="B11" s="11" t="s">
        <v>214</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x14ac:dyDescent="0.25">
      <c r="A12" s="128" t="s">
        <v>136</v>
      </c>
      <c r="B12" s="5" t="s">
        <v>211</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x14ac:dyDescent="0.2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x14ac:dyDescent="0.25">
      <c r="A14" s="128"/>
      <c r="B14" s="12" t="s">
        <v>212</v>
      </c>
      <c r="C14" s="9">
        <f>IF('Upto Month Current'!$C$4="",0,'Upto Month Current'!$C$4)</f>
        <v>2836478</v>
      </c>
      <c r="D14" s="9">
        <f>IF('Upto Month Current'!$C$5="",0,'Upto Month Current'!$C$5)</f>
        <v>664715</v>
      </c>
      <c r="E14" s="9">
        <f>IF('Upto Month Current'!$C$6="",0,'Upto Month Current'!$C$6)</f>
        <v>253603</v>
      </c>
      <c r="F14" s="9">
        <f>IF('Upto Month Current'!$C$7="",0,'Upto Month Current'!$C$7)</f>
        <v>216366</v>
      </c>
      <c r="G14" s="9">
        <f>IF('Upto Month Current'!$C$8="",0,'Upto Month Current'!$C$8)</f>
        <v>169501</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41114</v>
      </c>
      <c r="M14" s="9">
        <f>IF('Upto Month Current'!$C$14="",0,'Upto Month Current'!$C$14)</f>
        <v>310599</v>
      </c>
      <c r="N14" s="9">
        <f>IF('Upto Month Current'!$C$15="",0,'Upto Month Current'!$C$15)</f>
        <v>565</v>
      </c>
      <c r="O14" s="9">
        <f>IF('Upto Month Current'!$C$16="",0,'Upto Month Current'!$C$16)</f>
        <v>3299</v>
      </c>
      <c r="P14" s="9">
        <f>IF('Upto Month Current'!$C$17="",0,'Upto Month Current'!$C$17)</f>
        <v>189838</v>
      </c>
      <c r="Q14" s="9">
        <f>IF('Upto Month Current'!$C$18="",0,'Upto Month Current'!$C$18)</f>
        <v>0</v>
      </c>
      <c r="R14" s="9">
        <f>IF('Upto Month Current'!$C$21="",0,'Upto Month Current'!$C$21)</f>
        <v>3767</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27483</v>
      </c>
      <c r="Z14" s="9">
        <f>IF('Upto Month Current'!$C$43="",0,'Upto Month Current'!$C$43)</f>
        <v>2452</v>
      </c>
      <c r="AA14" s="9">
        <f>IF('Upto Month Current'!$C$44="",0,'Upto Month Current'!$C$44)</f>
        <v>1331</v>
      </c>
      <c r="AB14" s="9">
        <f>IF('Upto Month Current'!$C$51="",0,'Upto Month Current'!$C$51)</f>
        <v>0</v>
      </c>
      <c r="AC14" s="121">
        <f t="shared" si="8"/>
        <v>4721111</v>
      </c>
      <c r="AD14" s="9">
        <f>IF('Upto Month Current'!$C$19="",0,'Upto Month Current'!$C$19)</f>
        <v>1930</v>
      </c>
      <c r="AE14" s="9">
        <f>IF('Upto Month Current'!$C$20="",0,'Upto Month Current'!$C$20)</f>
        <v>502</v>
      </c>
      <c r="AF14" s="9">
        <f>IF('Upto Month Current'!$C$22="",0,'Upto Month Current'!$C$22)</f>
        <v>20255</v>
      </c>
      <c r="AG14" s="9">
        <f>IF('Upto Month Current'!$C$23="",0,'Upto Month Current'!$C$23)</f>
        <v>0</v>
      </c>
      <c r="AH14" s="9">
        <f>IF('Upto Month Current'!$C$24="",0,'Upto Month Current'!$C$24)</f>
        <v>0</v>
      </c>
      <c r="AI14" s="9">
        <f>IF('Upto Month Current'!$C$25="",0,'Upto Month Current'!$C$25)</f>
        <v>76</v>
      </c>
      <c r="AJ14" s="9">
        <f>IF('Upto Month Current'!$C$28="",0,'Upto Month Current'!$C$28)</f>
        <v>72216</v>
      </c>
      <c r="AK14" s="9">
        <f>IF('Upto Month Current'!$C$29="",0,'Upto Month Current'!$C$29)</f>
        <v>146009</v>
      </c>
      <c r="AL14" s="9">
        <f>IF('Upto Month Current'!$C$31="",0,'Upto Month Current'!$C$31)</f>
        <v>0</v>
      </c>
      <c r="AM14" s="9">
        <f>IF('Upto Month Current'!$C$32="",0,'Upto Month Current'!$C$32)</f>
        <v>102191</v>
      </c>
      <c r="AN14" s="9">
        <f>IF('Upto Month Current'!$C$33="",0,'Upto Month Current'!$C$33)</f>
        <v>548383</v>
      </c>
      <c r="AO14" s="9">
        <f>IF('Upto Month Current'!$C$34="",0,'Upto Month Current'!$C$34)</f>
        <v>347332</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212</v>
      </c>
      <c r="AW14" s="9">
        <f>IF('Upto Month Current'!$C$46="",0,'Upto Month Current'!$C$46)</f>
        <v>659</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26170</v>
      </c>
      <c r="BC14" s="9">
        <f>IF('Upto Month Current'!$C$54="",0,'Upto Month Current'!$C$54)</f>
        <v>25480</v>
      </c>
      <c r="BD14" s="9">
        <f>IF('Upto Month Current'!$C$55="",0,'Upto Month Current'!$C$55)</f>
        <v>0</v>
      </c>
      <c r="BE14" s="9">
        <f>IF('Upto Month Current'!$C$56="",0,'Upto Month Current'!$C$56)</f>
        <v>6753</v>
      </c>
      <c r="BF14" s="9">
        <f>IF('Upto Month Current'!$C$58="",0,'Upto Month Current'!$C$58)</f>
        <v>5219</v>
      </c>
      <c r="BG14" s="122">
        <f t="shared" si="10"/>
        <v>1303507</v>
      </c>
      <c r="BH14" s="123">
        <f t="shared" si="11"/>
        <v>6024618</v>
      </c>
      <c r="BI14" s="9">
        <f>IF('Upto Month Current'!$C$60="",0,'Upto Month Current'!$C$60)</f>
        <v>68749</v>
      </c>
      <c r="BJ14" s="124">
        <f t="shared" si="9"/>
        <v>5955869</v>
      </c>
      <c r="BK14">
        <f>'Upto Month Current'!$C$61</f>
        <v>5955870</v>
      </c>
    </row>
    <row r="15" spans="1:63" ht="15.75" x14ac:dyDescent="0.25">
      <c r="A15" s="128"/>
      <c r="B15" s="5" t="s">
        <v>210</v>
      </c>
      <c r="C15" s="126">
        <f t="shared" ref="C15:AH15" si="14">C14/C11</f>
        <v>0.6086395079519642</v>
      </c>
      <c r="D15" s="126">
        <f t="shared" si="14"/>
        <v>0.90057702286549635</v>
      </c>
      <c r="E15" s="126">
        <f t="shared" si="14"/>
        <v>0.9152864747811964</v>
      </c>
      <c r="F15" s="126">
        <f t="shared" si="14"/>
        <v>0.63450253811572399</v>
      </c>
      <c r="G15" s="126">
        <f t="shared" si="14"/>
        <v>0.66664962361066316</v>
      </c>
      <c r="H15" s="126" t="e">
        <f t="shared" si="14"/>
        <v>#DIV/0!</v>
      </c>
      <c r="I15" s="126" t="e">
        <f t="shared" si="14"/>
        <v>#DIV/0!</v>
      </c>
      <c r="J15" s="126" t="e">
        <f t="shared" si="14"/>
        <v>#DIV/0!</v>
      </c>
      <c r="K15" s="126" t="e">
        <f t="shared" si="14"/>
        <v>#DIV/0!</v>
      </c>
      <c r="L15" s="126">
        <f t="shared" si="14"/>
        <v>0.7880472283983746</v>
      </c>
      <c r="M15" s="126">
        <f t="shared" si="14"/>
        <v>1.0066766275900292</v>
      </c>
      <c r="N15" s="126">
        <f t="shared" si="14"/>
        <v>2.1401515151515151</v>
      </c>
      <c r="O15" s="126">
        <f t="shared" si="14"/>
        <v>0.36778149386845038</v>
      </c>
      <c r="P15" s="126">
        <f t="shared" si="14"/>
        <v>0.78704659560619061</v>
      </c>
      <c r="Q15" s="126" t="e">
        <f t="shared" si="14"/>
        <v>#DIV/0!</v>
      </c>
      <c r="R15" s="126">
        <f t="shared" si="14"/>
        <v>0.84009812667261374</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0.68556796467483916</v>
      </c>
      <c r="AD15" s="126">
        <f t="shared" si="14"/>
        <v>0.19841677804050581</v>
      </c>
      <c r="AE15" s="126">
        <f t="shared" si="14"/>
        <v>10.039999999999999</v>
      </c>
      <c r="AF15" s="126">
        <f t="shared" si="14"/>
        <v>0.67552694770544286</v>
      </c>
      <c r="AG15" s="126" t="e">
        <f t="shared" si="14"/>
        <v>#DIV/0!</v>
      </c>
      <c r="AH15" s="126" t="e">
        <f t="shared" si="14"/>
        <v>#DIV/0!</v>
      </c>
      <c r="AI15" s="126" t="e">
        <f t="shared" ref="AI15:BJ15" si="15">AI14/AI11</f>
        <v>#DIV/0!</v>
      </c>
      <c r="AJ15" s="126">
        <f t="shared" si="15"/>
        <v>0.34208083066487294</v>
      </c>
      <c r="AK15" s="126">
        <f t="shared" si="15"/>
        <v>0.42216824970001882</v>
      </c>
      <c r="AL15" s="126" t="e">
        <f t="shared" si="15"/>
        <v>#DIV/0!</v>
      </c>
      <c r="AM15" s="126">
        <f t="shared" si="15"/>
        <v>2.9735211103675039</v>
      </c>
      <c r="AN15" s="126">
        <f t="shared" si="15"/>
        <v>0.61244266548135307</v>
      </c>
      <c r="AO15" s="126">
        <f t="shared" si="15"/>
        <v>-4.9230638394375781</v>
      </c>
      <c r="AP15" s="126" t="e">
        <f t="shared" si="15"/>
        <v>#DIV/0!</v>
      </c>
      <c r="AQ15" s="126" t="e">
        <f t="shared" si="15"/>
        <v>#DIV/0!</v>
      </c>
      <c r="AR15" s="126" t="e">
        <f t="shared" si="15"/>
        <v>#DIV/0!</v>
      </c>
      <c r="AS15" s="126" t="e">
        <f t="shared" si="15"/>
        <v>#DIV/0!</v>
      </c>
      <c r="AT15" s="126" t="e">
        <f t="shared" si="15"/>
        <v>#DIV/0!</v>
      </c>
      <c r="AU15" s="126">
        <f t="shared" si="15"/>
        <v>0</v>
      </c>
      <c r="AV15" s="126">
        <f t="shared" si="15"/>
        <v>1.0341463414634147</v>
      </c>
      <c r="AW15" s="126">
        <f t="shared" si="15"/>
        <v>1.6557788944723617</v>
      </c>
      <c r="AX15" s="126">
        <f t="shared" si="15"/>
        <v>0.45454545454545453</v>
      </c>
      <c r="AY15" s="126" t="e">
        <f t="shared" si="15"/>
        <v>#DIV/0!</v>
      </c>
      <c r="AZ15" s="126" t="e">
        <f t="shared" si="15"/>
        <v>#DIV/0!</v>
      </c>
      <c r="BA15" s="126" t="e">
        <f t="shared" si="15"/>
        <v>#DIV/0!</v>
      </c>
      <c r="BB15" s="126">
        <f t="shared" si="15"/>
        <v>1.0769547325102882</v>
      </c>
      <c r="BC15" s="126">
        <f t="shared" si="15"/>
        <v>1.0486459790929294</v>
      </c>
      <c r="BD15" s="126" t="e">
        <f t="shared" si="15"/>
        <v>#DIV/0!</v>
      </c>
      <c r="BE15" s="126">
        <f t="shared" si="15"/>
        <v>0.66841532218153021</v>
      </c>
      <c r="BF15" s="126">
        <f t="shared" si="15"/>
        <v>0.17260310215960578</v>
      </c>
      <c r="BG15" s="126">
        <f t="shared" si="15"/>
        <v>0.84328558083206318</v>
      </c>
      <c r="BH15" s="126">
        <f t="shared" si="15"/>
        <v>0.71448005501785961</v>
      </c>
      <c r="BI15" s="126">
        <f t="shared" si="15"/>
        <v>1.0748917275129379</v>
      </c>
      <c r="BJ15" s="126">
        <f t="shared" si="15"/>
        <v>0.71172539605832164</v>
      </c>
    </row>
    <row r="16" spans="1:63" ht="15.75" x14ac:dyDescent="0.2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137</v>
      </c>
      <c r="B17" s="11" t="s">
        <v>214</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x14ac:dyDescent="0.25">
      <c r="A18" s="128" t="s">
        <v>137</v>
      </c>
      <c r="B18" s="5" t="s">
        <v>211</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x14ac:dyDescent="0.25">
      <c r="A19" s="128"/>
      <c r="B19" s="132" t="s">
        <v>215</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x14ac:dyDescent="0.25">
      <c r="A20" s="128"/>
      <c r="B20" s="12" t="s">
        <v>212</v>
      </c>
      <c r="C20" s="9">
        <f>IF('Upto Month Current'!$D$4="",0,'Upto Month Current'!$D$4)</f>
        <v>597655</v>
      </c>
      <c r="D20" s="9">
        <f>IF('Upto Month Current'!$D$5="",0,'Upto Month Current'!$D$5)</f>
        <v>148195</v>
      </c>
      <c r="E20" s="9">
        <f>IF('Upto Month Current'!$D$6="",0,'Upto Month Current'!$D$6)</f>
        <v>38446</v>
      </c>
      <c r="F20" s="9">
        <f>IF('Upto Month Current'!$D$7="",0,'Upto Month Current'!$D$7)</f>
        <v>71331</v>
      </c>
      <c r="G20" s="9">
        <f>IF('Upto Month Current'!$D$8="",0,'Upto Month Current'!$D$8)</f>
        <v>46273</v>
      </c>
      <c r="H20" s="9">
        <f>IF('Upto Month Current'!$D$9="",0,'Upto Month Current'!$D$9)</f>
        <v>0</v>
      </c>
      <c r="I20" s="9">
        <f>IF('Upto Month Current'!$D$10="",0,'Upto Month Current'!$D$10)</f>
        <v>0</v>
      </c>
      <c r="J20" s="9">
        <f>IF('Upto Month Current'!$D$11="",0,'Upto Month Current'!$D$11)</f>
        <v>7</v>
      </c>
      <c r="K20" s="9">
        <f>IF('Upto Month Current'!$D$12="",0,'Upto Month Current'!$D$12)</f>
        <v>607</v>
      </c>
      <c r="L20" s="9">
        <f>IF('Upto Month Current'!$D$13="",0,'Upto Month Current'!$D$13)</f>
        <v>4319</v>
      </c>
      <c r="M20" s="9">
        <f>IF('Upto Month Current'!$D$14="",0,'Upto Month Current'!$D$14)</f>
        <v>9621</v>
      </c>
      <c r="N20" s="9">
        <f>IF('Upto Month Current'!$D$15="",0,'Upto Month Current'!$D$15)</f>
        <v>100</v>
      </c>
      <c r="O20" s="9">
        <f>IF('Upto Month Current'!$D$16="",0,'Upto Month Current'!$D$16)</f>
        <v>1104</v>
      </c>
      <c r="P20" s="9">
        <f>IF('Upto Month Current'!$D$17="",0,'Upto Month Current'!$D$17)</f>
        <v>5658</v>
      </c>
      <c r="Q20" s="9">
        <f>IF('Upto Month Current'!$D$18="",0,'Upto Month Current'!$D$18)</f>
        <v>0</v>
      </c>
      <c r="R20" s="9">
        <f>IF('Upto Month Current'!$D$21="",0,'Upto Month Current'!$D$21)</f>
        <v>1086</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582</v>
      </c>
      <c r="Z20" s="9">
        <f>IF('Upto Month Current'!$D$43="",0,'Upto Month Current'!$D$43)</f>
        <v>38</v>
      </c>
      <c r="AA20" s="9">
        <f>IF('Upto Month Current'!$D$44="",0,'Upto Month Current'!$D$44)</f>
        <v>56</v>
      </c>
      <c r="AB20" s="9">
        <f>IF('Upto Month Current'!$D$51="",0,'Upto Month Current'!$D$51)</f>
        <v>130195</v>
      </c>
      <c r="AC20" s="121">
        <f t="shared" si="16"/>
        <v>1055273</v>
      </c>
      <c r="AD20" s="9">
        <f>IF('Upto Month Current'!$D$19="",0,'Upto Month Current'!$D$19)</f>
        <v>541</v>
      </c>
      <c r="AE20" s="9">
        <f>IF('Upto Month Current'!$D$20="",0,'Upto Month Current'!$D$20)</f>
        <v>532</v>
      </c>
      <c r="AF20" s="9">
        <f>IF('Upto Month Current'!$D$22="",0,'Upto Month Current'!$D$22)</f>
        <v>85</v>
      </c>
      <c r="AG20" s="9">
        <f>IF('Upto Month Current'!$D$23="",0,'Upto Month Current'!$D$23)</f>
        <v>0</v>
      </c>
      <c r="AH20" s="9">
        <f>IF('Upto Month Current'!$D$24="",0,'Upto Month Current'!$D$24)</f>
        <v>0</v>
      </c>
      <c r="AI20" s="9">
        <f>IF('Upto Month Current'!$D$25="",0,'Upto Month Current'!$D$25)</f>
        <v>87</v>
      </c>
      <c r="AJ20" s="9">
        <f>IF('Upto Month Current'!$D$28="",0,'Upto Month Current'!$D$28)</f>
        <v>211804</v>
      </c>
      <c r="AK20" s="9">
        <f>IF('Upto Month Current'!$D$29="",0,'Upto Month Current'!$D$29)</f>
        <v>25423</v>
      </c>
      <c r="AL20" s="9">
        <f>IF('Upto Month Current'!$D$31="",0,'Upto Month Current'!$D$31)</f>
        <v>0</v>
      </c>
      <c r="AM20" s="9">
        <f>IF('Upto Month Current'!$D$32="",0,'Upto Month Current'!$D$32)</f>
        <v>140</v>
      </c>
      <c r="AN20" s="9">
        <f>IF('Upto Month Current'!$D$33="",0,'Upto Month Current'!$D$33)</f>
        <v>53784</v>
      </c>
      <c r="AO20" s="9">
        <f>IF('Upto Month Current'!$D$34="",0,'Upto Month Current'!$D$34)</f>
        <v>39916</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114</v>
      </c>
      <c r="AW20" s="9">
        <f>IF('Upto Month Current'!$D$46="",0,'Upto Month Current'!$D$46)</f>
        <v>0</v>
      </c>
      <c r="AX20" s="9">
        <f>IF('Upto Month Current'!$D$47="",0,'Upto Month Current'!$D$47)</f>
        <v>153</v>
      </c>
      <c r="AY20" s="9">
        <f>IF('Upto Month Current'!$D$49="",0,'Upto Month Current'!$D$49)</f>
        <v>0</v>
      </c>
      <c r="AZ20" s="9">
        <f>IF('Upto Month Current'!$D$50="",0,'Upto Month Current'!$D$50)</f>
        <v>0</v>
      </c>
      <c r="BA20" s="9">
        <f>IF('Upto Month Current'!$D$52="",0,'Upto Month Current'!$D$52)</f>
        <v>186487</v>
      </c>
      <c r="BB20" s="9">
        <f>IF('Upto Month Current'!$D$53="",0,'Upto Month Current'!$D$53)</f>
        <v>1933</v>
      </c>
      <c r="BC20" s="9">
        <f>IF('Upto Month Current'!$D$54="",0,'Upto Month Current'!$D$54)</f>
        <v>1933</v>
      </c>
      <c r="BD20" s="9">
        <f>IF('Upto Month Current'!$D$55="",0,'Upto Month Current'!$D$55)</f>
        <v>0</v>
      </c>
      <c r="BE20" s="9">
        <f>IF('Upto Month Current'!$D$56="",0,'Upto Month Current'!$D$56)</f>
        <v>4663</v>
      </c>
      <c r="BF20" s="9">
        <f>IF('Upto Month Current'!$D$58="",0,'Upto Month Current'!$D$58)</f>
        <v>210</v>
      </c>
      <c r="BG20" s="122">
        <f t="shared" si="18"/>
        <v>527805</v>
      </c>
      <c r="BH20" s="123">
        <f t="shared" si="19"/>
        <v>1583078</v>
      </c>
      <c r="BI20" s="9">
        <f>IF('Upto Month Current'!$D$60="",0,'Upto Month Current'!$D$60)</f>
        <v>23771</v>
      </c>
      <c r="BJ20" s="124">
        <f t="shared" si="17"/>
        <v>1559307</v>
      </c>
      <c r="BK20">
        <f>'Upto Month Current'!$D$61</f>
        <v>1559308</v>
      </c>
    </row>
    <row r="21" spans="1:63" ht="15.75" x14ac:dyDescent="0.25">
      <c r="A21" s="128"/>
      <c r="B21" s="5" t="s">
        <v>210</v>
      </c>
      <c r="C21" s="126">
        <f t="shared" ref="C21:AH21" si="22">C20/C17</f>
        <v>0.75578675016313168</v>
      </c>
      <c r="D21" s="126">
        <f t="shared" si="22"/>
        <v>0.92619559511012228</v>
      </c>
      <c r="E21" s="126">
        <f t="shared" si="22"/>
        <v>0.86032044396706053</v>
      </c>
      <c r="F21" s="126">
        <f t="shared" si="22"/>
        <v>0.75529695788905238</v>
      </c>
      <c r="G21" s="126">
        <f t="shared" si="22"/>
        <v>0.67045800310068537</v>
      </c>
      <c r="H21" s="126" t="e">
        <f t="shared" si="22"/>
        <v>#DIV/0!</v>
      </c>
      <c r="I21" s="126" t="e">
        <f t="shared" si="22"/>
        <v>#DIV/0!</v>
      </c>
      <c r="J21" s="126" t="e">
        <f t="shared" si="22"/>
        <v>#DIV/0!</v>
      </c>
      <c r="K21" s="126">
        <f t="shared" si="22"/>
        <v>0.74753694581280783</v>
      </c>
      <c r="L21" s="126">
        <f t="shared" si="22"/>
        <v>0.57303967095661401</v>
      </c>
      <c r="M21" s="126">
        <f t="shared" si="22"/>
        <v>1.4334028605482718</v>
      </c>
      <c r="N21" s="126">
        <f t="shared" si="22"/>
        <v>6.666666666666667</v>
      </c>
      <c r="O21" s="126">
        <f t="shared" si="22"/>
        <v>0.40291970802919708</v>
      </c>
      <c r="P21" s="126">
        <f t="shared" si="22"/>
        <v>0.45673232160154986</v>
      </c>
      <c r="Q21" s="126" t="e">
        <f t="shared" si="22"/>
        <v>#DIV/0!</v>
      </c>
      <c r="R21" s="126">
        <f t="shared" si="22"/>
        <v>0.7372708757637475</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0.42221479948891238</v>
      </c>
      <c r="AC21" s="126">
        <f t="shared" si="22"/>
        <v>0.7007906592501687</v>
      </c>
      <c r="AD21" s="126">
        <f t="shared" si="22"/>
        <v>0.81475903614457834</v>
      </c>
      <c r="AE21" s="126" t="e">
        <f t="shared" si="22"/>
        <v>#DIV/0!</v>
      </c>
      <c r="AF21" s="126">
        <f t="shared" si="22"/>
        <v>0.24566473988439305</v>
      </c>
      <c r="AG21" s="126" t="e">
        <f t="shared" si="22"/>
        <v>#DIV/0!</v>
      </c>
      <c r="AH21" s="126" t="e">
        <f t="shared" si="22"/>
        <v>#DIV/0!</v>
      </c>
      <c r="AI21" s="126" t="e">
        <f t="shared" ref="AI21:BJ21" si="23">AI20/AI17</f>
        <v>#DIV/0!</v>
      </c>
      <c r="AJ21" s="126">
        <f t="shared" si="23"/>
        <v>0.63033152788524494</v>
      </c>
      <c r="AK21" s="126">
        <f t="shared" si="23"/>
        <v>0.25930723567450686</v>
      </c>
      <c r="AL21" s="126" t="e">
        <f t="shared" si="23"/>
        <v>#DIV/0!</v>
      </c>
      <c r="AM21" s="126" t="e">
        <f t="shared" si="23"/>
        <v>#DIV/0!</v>
      </c>
      <c r="AN21" s="126">
        <f t="shared" si="23"/>
        <v>0.51834504293520689</v>
      </c>
      <c r="AO21" s="126">
        <f t="shared" si="23"/>
        <v>0.38658815325611129</v>
      </c>
      <c r="AP21" s="126" t="e">
        <f t="shared" si="23"/>
        <v>#DIV/0!</v>
      </c>
      <c r="AQ21" s="126" t="e">
        <f t="shared" si="23"/>
        <v>#DIV/0!</v>
      </c>
      <c r="AR21" s="126" t="e">
        <f t="shared" si="23"/>
        <v>#DIV/0!</v>
      </c>
      <c r="AS21" s="126" t="e">
        <f t="shared" si="23"/>
        <v>#DIV/0!</v>
      </c>
      <c r="AT21" s="126" t="e">
        <f t="shared" si="23"/>
        <v>#DIV/0!</v>
      </c>
      <c r="AU21" s="126" t="e">
        <f t="shared" si="23"/>
        <v>#DIV/0!</v>
      </c>
      <c r="AV21" s="126">
        <f t="shared" si="23"/>
        <v>1.6521739130434783</v>
      </c>
      <c r="AW21" s="126">
        <f t="shared" si="23"/>
        <v>0</v>
      </c>
      <c r="AX21" s="126">
        <f t="shared" si="23"/>
        <v>2.4285714285714284</v>
      </c>
      <c r="AY21" s="126" t="e">
        <f t="shared" si="23"/>
        <v>#DIV/0!</v>
      </c>
      <c r="AZ21" s="126" t="e">
        <f t="shared" si="23"/>
        <v>#DIV/0!</v>
      </c>
      <c r="BA21" s="126">
        <f t="shared" si="23"/>
        <v>0.80781009724718977</v>
      </c>
      <c r="BB21" s="126">
        <f t="shared" si="23"/>
        <v>0.75097125097125095</v>
      </c>
      <c r="BC21" s="126">
        <f t="shared" si="23"/>
        <v>0.75097125097125095</v>
      </c>
      <c r="BD21" s="126" t="e">
        <f t="shared" si="23"/>
        <v>#DIV/0!</v>
      </c>
      <c r="BE21" s="126">
        <f t="shared" si="23"/>
        <v>1.2582298974635726</v>
      </c>
      <c r="BF21" s="126">
        <f t="shared" si="23"/>
        <v>0.23307436182019978</v>
      </c>
      <c r="BG21" s="126">
        <f t="shared" si="23"/>
        <v>0.59780429626709974</v>
      </c>
      <c r="BH21" s="126">
        <f t="shared" si="23"/>
        <v>0.66272567355649714</v>
      </c>
      <c r="BI21" s="126">
        <f t="shared" si="23"/>
        <v>0.33316981555194258</v>
      </c>
      <c r="BJ21" s="126">
        <f t="shared" si="23"/>
        <v>0.67287206728258941</v>
      </c>
    </row>
    <row r="22" spans="1:63" ht="15.75" x14ac:dyDescent="0.2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138</v>
      </c>
      <c r="B23" s="11" t="s">
        <v>214</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x14ac:dyDescent="0.25">
      <c r="A24" s="128" t="s">
        <v>138</v>
      </c>
      <c r="B24" s="5" t="s">
        <v>211</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x14ac:dyDescent="0.2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x14ac:dyDescent="0.25">
      <c r="A26" s="128"/>
      <c r="B26" s="12" t="s">
        <v>212</v>
      </c>
      <c r="C26" s="9">
        <f>IF('Upto Month Current'!$E$4="",0,'Upto Month Current'!$E$4)</f>
        <v>933279</v>
      </c>
      <c r="D26" s="9">
        <f>IF('Upto Month Current'!$E$5="",0,'Upto Month Current'!$E$5)</f>
        <v>230386</v>
      </c>
      <c r="E26" s="9">
        <f>IF('Upto Month Current'!$E$6="",0,'Upto Month Current'!$E$6)</f>
        <v>61802</v>
      </c>
      <c r="F26" s="9">
        <f>IF('Upto Month Current'!$E$7="",0,'Upto Month Current'!$E$7)</f>
        <v>110383</v>
      </c>
      <c r="G26" s="9">
        <f>IF('Upto Month Current'!$E$8="",0,'Upto Month Current'!$E$8)</f>
        <v>58590</v>
      </c>
      <c r="H26" s="9">
        <f>IF('Upto Month Current'!$E$9="",0,'Upto Month Current'!$E$9)</f>
        <v>0</v>
      </c>
      <c r="I26" s="9">
        <f>IF('Upto Month Current'!$E$10="",0,'Upto Month Current'!$E$10)</f>
        <v>0</v>
      </c>
      <c r="J26" s="9">
        <f>IF('Upto Month Current'!$E$11="",0,'Upto Month Current'!$E$11)</f>
        <v>0</v>
      </c>
      <c r="K26" s="9">
        <f>IF('Upto Month Current'!$E$12="",0,'Upto Month Current'!$E$12)</f>
        <v>483</v>
      </c>
      <c r="L26" s="9">
        <f>IF('Upto Month Current'!$E$13="",0,'Upto Month Current'!$E$13)</f>
        <v>18169</v>
      </c>
      <c r="M26" s="9">
        <f>IF('Upto Month Current'!$E$14="",0,'Upto Month Current'!$E$14)</f>
        <v>24459</v>
      </c>
      <c r="N26" s="9">
        <f>IF('Upto Month Current'!$E$15="",0,'Upto Month Current'!$E$15)</f>
        <v>104</v>
      </c>
      <c r="O26" s="9">
        <f>IF('Upto Month Current'!$E$16="",0,'Upto Month Current'!$E$16)</f>
        <v>1485</v>
      </c>
      <c r="P26" s="9">
        <f>IF('Upto Month Current'!$E$17="",0,'Upto Month Current'!$E$17)</f>
        <v>20433</v>
      </c>
      <c r="Q26" s="9">
        <f>IF('Upto Month Current'!$E$18="",0,'Upto Month Current'!$E$18)</f>
        <v>0</v>
      </c>
      <c r="R26" s="9">
        <f>IF('Upto Month Current'!$E$21="",0,'Upto Month Current'!$E$21)</f>
        <v>2435</v>
      </c>
      <c r="S26" s="9">
        <f>IF('Upto Month Current'!$E$26="",0,'Upto Month Current'!$E$26)</f>
        <v>0</v>
      </c>
      <c r="T26" s="9">
        <f>IF('Upto Month Current'!$E$27="",0,'Upto Month Current'!$E$27)</f>
        <v>0</v>
      </c>
      <c r="U26" s="9">
        <f>IF('Upto Month Current'!$E$30="",0,'Upto Month Current'!$E$30)</f>
        <v>0</v>
      </c>
      <c r="V26" s="9">
        <f>IF('Upto Month Current'!$E$35="",0,'Upto Month Current'!$E$35)</f>
        <v>280361</v>
      </c>
      <c r="W26" s="9">
        <f>IF('Upto Month Current'!$E$39="",0,'Upto Month Current'!$E$39)</f>
        <v>0</v>
      </c>
      <c r="X26" s="9">
        <f>IF('Upto Month Current'!$E$40="",0,'Upto Month Current'!$E$40)</f>
        <v>0</v>
      </c>
      <c r="Y26" s="9">
        <f>IF('Upto Month Current'!$E$42="",0,'Upto Month Current'!$E$42)</f>
        <v>13136</v>
      </c>
      <c r="Z26" s="9">
        <f>IF('Upto Month Current'!$E$43="",0,'Upto Month Current'!$E$43)</f>
        <v>1244</v>
      </c>
      <c r="AA26" s="9">
        <f>IF('Upto Month Current'!$E$44="",0,'Upto Month Current'!$E$44)</f>
        <v>766</v>
      </c>
      <c r="AB26" s="9">
        <f>IF('Upto Month Current'!$E$51="",0,'Upto Month Current'!$E$51)</f>
        <v>696034</v>
      </c>
      <c r="AC26" s="121">
        <f t="shared" si="24"/>
        <v>2453549</v>
      </c>
      <c r="AD26" s="9">
        <f>IF('Upto Month Current'!$E$19="",0,'Upto Month Current'!$E$19)</f>
        <v>287</v>
      </c>
      <c r="AE26" s="9">
        <f>IF('Upto Month Current'!$E$20="",0,'Upto Month Current'!$E$20)</f>
        <v>150</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136657</v>
      </c>
      <c r="AK26" s="9">
        <f>IF('Upto Month Current'!$E$29="",0,'Upto Month Current'!$E$29)</f>
        <v>10064</v>
      </c>
      <c r="AL26" s="9">
        <f>IF('Upto Month Current'!$E$31="",0,'Upto Month Current'!$E$31)</f>
        <v>82</v>
      </c>
      <c r="AM26" s="9">
        <f>IF('Upto Month Current'!$E$32="",0,'Upto Month Current'!$E$32)</f>
        <v>0</v>
      </c>
      <c r="AN26" s="9">
        <f>IF('Upto Month Current'!$E$33="",0,'Upto Month Current'!$E$33)</f>
        <v>71184</v>
      </c>
      <c r="AO26" s="9">
        <f>IF('Upto Month Current'!$E$34="",0,'Upto Month Current'!$E$34)</f>
        <v>-160695</v>
      </c>
      <c r="AP26" s="9">
        <f>IF('Upto Month Current'!$E$36="",0,'Upto Month Current'!$E$36)</f>
        <v>205683</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186</v>
      </c>
      <c r="AY26" s="9">
        <f>IF('Upto Month Current'!$E$49="",0,'Upto Month Current'!$E$49)</f>
        <v>0</v>
      </c>
      <c r="AZ26" s="9">
        <f>IF('Upto Month Current'!$E$50="",0,'Upto Month Current'!$E$50)</f>
        <v>0</v>
      </c>
      <c r="BA26" s="9">
        <f>IF('Upto Month Current'!$E$52="",0,'Upto Month Current'!$E$52)</f>
        <v>610282</v>
      </c>
      <c r="BB26" s="9">
        <f>IF('Upto Month Current'!$E$53="",0,'Upto Month Current'!$E$53)</f>
        <v>1387</v>
      </c>
      <c r="BC26" s="9">
        <f>IF('Upto Month Current'!$E$54="",0,'Upto Month Current'!$E$54)</f>
        <v>1387</v>
      </c>
      <c r="BD26" s="9">
        <f>IF('Upto Month Current'!$E$55="",0,'Upto Month Current'!$E$55)</f>
        <v>0</v>
      </c>
      <c r="BE26" s="9">
        <f>IF('Upto Month Current'!$E$56="",0,'Upto Month Current'!$E$56)</f>
        <v>8711</v>
      </c>
      <c r="BF26" s="9">
        <f>IF('Upto Month Current'!$E$58="",0,'Upto Month Current'!$E$58)</f>
        <v>-1</v>
      </c>
      <c r="BG26" s="122">
        <f t="shared" si="26"/>
        <v>885364</v>
      </c>
      <c r="BH26" s="123">
        <f t="shared" si="27"/>
        <v>3338913</v>
      </c>
      <c r="BI26" s="9">
        <f>IF('Upto Month Current'!$E$60="",0,'Upto Month Current'!$E$60)</f>
        <v>46524</v>
      </c>
      <c r="BJ26" s="124">
        <f t="shared" si="25"/>
        <v>3292389</v>
      </c>
      <c r="BK26">
        <f>'Upto Month Current'!$E$61</f>
        <v>3292443</v>
      </c>
    </row>
    <row r="27" spans="1:63" ht="15.75" x14ac:dyDescent="0.25">
      <c r="A27" s="128"/>
      <c r="B27" s="5" t="s">
        <v>210</v>
      </c>
      <c r="C27" s="126">
        <f t="shared" ref="C27:AH27" si="30">C26/C23</f>
        <v>0.65389740873396218</v>
      </c>
      <c r="D27" s="126">
        <f t="shared" si="30"/>
        <v>0.92099876872891251</v>
      </c>
      <c r="E27" s="126">
        <f t="shared" si="30"/>
        <v>0.93331118427013804</v>
      </c>
      <c r="F27" s="126">
        <f t="shared" si="30"/>
        <v>0.64851066329827856</v>
      </c>
      <c r="G27" s="126">
        <f t="shared" si="30"/>
        <v>0.66406737013906991</v>
      </c>
      <c r="H27" s="126" t="e">
        <f t="shared" si="30"/>
        <v>#DIV/0!</v>
      </c>
      <c r="I27" s="126" t="e">
        <f t="shared" si="30"/>
        <v>#DIV/0!</v>
      </c>
      <c r="J27" s="126" t="e">
        <f t="shared" si="30"/>
        <v>#DIV/0!</v>
      </c>
      <c r="K27" s="126">
        <f t="shared" si="30"/>
        <v>0.19610231425091351</v>
      </c>
      <c r="L27" s="126">
        <f t="shared" si="30"/>
        <v>0.58814579826492297</v>
      </c>
      <c r="M27" s="126">
        <f t="shared" si="30"/>
        <v>1.4321096082908835</v>
      </c>
      <c r="N27" s="126">
        <f t="shared" si="30"/>
        <v>0.81889763779527558</v>
      </c>
      <c r="O27" s="126">
        <f t="shared" si="30"/>
        <v>0.53590761457957414</v>
      </c>
      <c r="P27" s="126">
        <f t="shared" si="30"/>
        <v>1.0240052119875713</v>
      </c>
      <c r="Q27" s="126" t="e">
        <f t="shared" si="30"/>
        <v>#DIV/0!</v>
      </c>
      <c r="R27" s="126">
        <f t="shared" si="30"/>
        <v>1.149126946672959</v>
      </c>
      <c r="S27" s="126" t="e">
        <f t="shared" si="30"/>
        <v>#DIV/0!</v>
      </c>
      <c r="T27" s="126" t="e">
        <f t="shared" si="30"/>
        <v>#DIV/0!</v>
      </c>
      <c r="U27" s="126" t="e">
        <f t="shared" si="30"/>
        <v>#DIV/0!</v>
      </c>
      <c r="V27" s="126">
        <f t="shared" si="30"/>
        <v>0.95524966353770935</v>
      </c>
      <c r="W27" s="126" t="e">
        <f t="shared" si="30"/>
        <v>#DIV/0!</v>
      </c>
      <c r="X27" s="126" t="e">
        <f t="shared" si="30"/>
        <v>#DIV/0!</v>
      </c>
      <c r="Y27" s="126">
        <f t="shared" si="30"/>
        <v>38.979228486646882</v>
      </c>
      <c r="Z27" s="126">
        <f t="shared" si="30"/>
        <v>56.545454545454547</v>
      </c>
      <c r="AA27" s="126">
        <f t="shared" si="30"/>
        <v>15.019607843137255</v>
      </c>
      <c r="AB27" s="126">
        <f t="shared" si="30"/>
        <v>0.50286096573487804</v>
      </c>
      <c r="AC27" s="126">
        <f t="shared" si="30"/>
        <v>0.6533182231270831</v>
      </c>
      <c r="AD27" s="126">
        <f t="shared" si="30"/>
        <v>0.19698009608785175</v>
      </c>
      <c r="AE27" s="126">
        <f t="shared" si="30"/>
        <v>2.5423728813559321</v>
      </c>
      <c r="AF27" s="126" t="e">
        <f t="shared" si="30"/>
        <v>#DIV/0!</v>
      </c>
      <c r="AG27" s="126" t="e">
        <f t="shared" si="30"/>
        <v>#DIV/0!</v>
      </c>
      <c r="AH27" s="126" t="e">
        <f t="shared" si="30"/>
        <v>#DIV/0!</v>
      </c>
      <c r="AI27" s="126" t="e">
        <f t="shared" ref="AI27:BJ27" si="31">AI26/AI23</f>
        <v>#DIV/0!</v>
      </c>
      <c r="AJ27" s="126">
        <f t="shared" si="31"/>
        <v>0.81630129621886383</v>
      </c>
      <c r="AK27" s="126">
        <f t="shared" si="31"/>
        <v>0.31422505307855625</v>
      </c>
      <c r="AL27" s="126">
        <f t="shared" si="31"/>
        <v>0.21134020618556701</v>
      </c>
      <c r="AM27" s="126" t="e">
        <f t="shared" si="31"/>
        <v>#DIV/0!</v>
      </c>
      <c r="AN27" s="126">
        <f t="shared" si="31"/>
        <v>0.58757397914964216</v>
      </c>
      <c r="AO27" s="126">
        <f t="shared" si="31"/>
        <v>-3.8783366317517016</v>
      </c>
      <c r="AP27" s="126">
        <f t="shared" si="31"/>
        <v>3.0453058142461615</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1.1621209380266402</v>
      </c>
      <c r="BB27" s="126">
        <f t="shared" si="31"/>
        <v>1.2060869565217391</v>
      </c>
      <c r="BC27" s="126">
        <f t="shared" si="31"/>
        <v>1.2060869565217391</v>
      </c>
      <c r="BD27" s="126" t="e">
        <f t="shared" si="31"/>
        <v>#DIV/0!</v>
      </c>
      <c r="BE27" s="126">
        <f t="shared" si="31"/>
        <v>4.1779376498800955</v>
      </c>
      <c r="BF27" s="126">
        <f t="shared" si="31"/>
        <v>-1.9880715705765406E-3</v>
      </c>
      <c r="BG27" s="126">
        <f t="shared" si="31"/>
        <v>0.92081635030301645</v>
      </c>
      <c r="BH27" s="126">
        <f t="shared" si="31"/>
        <v>0.70784402349111242</v>
      </c>
      <c r="BI27" s="126">
        <f t="shared" si="31"/>
        <v>0.44308149446195749</v>
      </c>
      <c r="BJ27" s="126">
        <f t="shared" si="31"/>
        <v>0.71387182657826287</v>
      </c>
    </row>
    <row r="28" spans="1:63" ht="15.75" x14ac:dyDescent="0.2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139</v>
      </c>
      <c r="B29" s="11" t="s">
        <v>214</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x14ac:dyDescent="0.25">
      <c r="A30" s="128" t="s">
        <v>139</v>
      </c>
      <c r="B30" s="5" t="s">
        <v>211</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x14ac:dyDescent="0.2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x14ac:dyDescent="0.25">
      <c r="A32" s="128"/>
      <c r="B32" s="12" t="s">
        <v>212</v>
      </c>
      <c r="C32" s="9">
        <f>IF('Upto Month Current'!$F$4="",0,'Upto Month Current'!$F$4)</f>
        <v>1403536</v>
      </c>
      <c r="D32" s="9">
        <f>IF('Upto Month Current'!$F$5="",0,'Upto Month Current'!$F$5)</f>
        <v>350122</v>
      </c>
      <c r="E32" s="9">
        <f>IF('Upto Month Current'!$F$6="",0,'Upto Month Current'!$F$6)</f>
        <v>111381</v>
      </c>
      <c r="F32" s="9">
        <f>IF('Upto Month Current'!$F$7="",0,'Upto Month Current'!$F$7)</f>
        <v>121816</v>
      </c>
      <c r="G32" s="9">
        <f>IF('Upto Month Current'!$F$8="",0,'Upto Month Current'!$F$8)</f>
        <v>84986</v>
      </c>
      <c r="H32" s="9">
        <f>IF('Upto Month Current'!$F$9="",0,'Upto Month Current'!$F$9)</f>
        <v>0</v>
      </c>
      <c r="I32" s="9">
        <f>IF('Upto Month Current'!$F$10="",0,'Upto Month Current'!$F$10)</f>
        <v>0</v>
      </c>
      <c r="J32" s="9">
        <f>IF('Upto Month Current'!$F$11="",0,'Upto Month Current'!$F$11)</f>
        <v>1511</v>
      </c>
      <c r="K32" s="9">
        <f>IF('Upto Month Current'!$F$12="",0,'Upto Month Current'!$F$12)</f>
        <v>389</v>
      </c>
      <c r="L32" s="9">
        <f>IF('Upto Month Current'!$F$13="",0,'Upto Month Current'!$F$13)</f>
        <v>16902</v>
      </c>
      <c r="M32" s="9">
        <f>IF('Upto Month Current'!$F$14="",0,'Upto Month Current'!$F$14)</f>
        <v>36327</v>
      </c>
      <c r="N32" s="9">
        <f>IF('Upto Month Current'!$F$15="",0,'Upto Month Current'!$F$15)</f>
        <v>61</v>
      </c>
      <c r="O32" s="9">
        <f>IF('Upto Month Current'!$F$16="",0,'Upto Month Current'!$F$16)</f>
        <v>3222</v>
      </c>
      <c r="P32" s="9">
        <f>IF('Upto Month Current'!$F$17="",0,'Upto Month Current'!$F$17)</f>
        <v>131978</v>
      </c>
      <c r="Q32" s="9">
        <f>IF('Upto Month Current'!$F$18="",0,'Upto Month Current'!$F$18)</f>
        <v>0</v>
      </c>
      <c r="R32" s="9">
        <f>IF('Upto Month Current'!$F$21="",0,'Upto Month Current'!$F$21)</f>
        <v>4228</v>
      </c>
      <c r="S32" s="9">
        <f>IF('Upto Month Current'!$F$26="",0,'Upto Month Current'!$F$26)</f>
        <v>0</v>
      </c>
      <c r="T32" s="9">
        <f>IF('Upto Month Current'!$F$27="",0,'Upto Month Current'!$F$27)</f>
        <v>0</v>
      </c>
      <c r="U32" s="9">
        <f>IF('Upto Month Current'!$F$30="",0,'Upto Month Current'!$F$30)</f>
        <v>0</v>
      </c>
      <c r="V32" s="9">
        <f>IF('Upto Month Current'!$F$35="",0,'Upto Month Current'!$F$35)</f>
        <v>6715</v>
      </c>
      <c r="W32" s="9">
        <f>IF('Upto Month Current'!$F$39="",0,'Upto Month Current'!$F$39)</f>
        <v>0</v>
      </c>
      <c r="X32" s="9">
        <f>IF('Upto Month Current'!$F$40="",0,'Upto Month Current'!$F$40)</f>
        <v>0</v>
      </c>
      <c r="Y32" s="9">
        <f>IF('Upto Month Current'!$F$42="",0,'Upto Month Current'!$F$42)</f>
        <v>17890</v>
      </c>
      <c r="Z32" s="9">
        <f>IF('Upto Month Current'!$F$43="",0,'Upto Month Current'!$F$43)</f>
        <v>1881</v>
      </c>
      <c r="AA32" s="9">
        <f>IF('Upto Month Current'!$F$44="",0,'Upto Month Current'!$F$44)</f>
        <v>1431</v>
      </c>
      <c r="AB32" s="9">
        <f>IF('Upto Month Current'!$F$51="",0,'Upto Month Current'!$F$51)</f>
        <v>0</v>
      </c>
      <c r="AC32" s="121">
        <f t="shared" si="32"/>
        <v>2294376</v>
      </c>
      <c r="AD32" s="9">
        <f>IF('Upto Month Current'!$F$19="",0,'Upto Month Current'!$F$19)</f>
        <v>1924</v>
      </c>
      <c r="AE32" s="9">
        <f>IF('Upto Month Current'!$F$20="",0,'Upto Month Current'!$F$20)</f>
        <v>8424</v>
      </c>
      <c r="AF32" s="9">
        <f>IF('Upto Month Current'!$F$22="",0,'Upto Month Current'!$F$22)</f>
        <v>1687</v>
      </c>
      <c r="AG32" s="9">
        <f>IF('Upto Month Current'!$F$23="",0,'Upto Month Current'!$F$23)</f>
        <v>0</v>
      </c>
      <c r="AH32" s="9">
        <f>IF('Upto Month Current'!$F$24="",0,'Upto Month Current'!$F$24)</f>
        <v>0</v>
      </c>
      <c r="AI32" s="9">
        <f>IF('Upto Month Current'!$F$25="",0,'Upto Month Current'!$F$25)</f>
        <v>222</v>
      </c>
      <c r="AJ32" s="9">
        <f>IF('Upto Month Current'!$F$28="",0,'Upto Month Current'!$F$28)</f>
        <v>126394</v>
      </c>
      <c r="AK32" s="9">
        <f>IF('Upto Month Current'!$F$29="",0,'Upto Month Current'!$F$29)</f>
        <v>144580</v>
      </c>
      <c r="AL32" s="9">
        <f>IF('Upto Month Current'!$F$31="",0,'Upto Month Current'!$F$31)</f>
        <v>0</v>
      </c>
      <c r="AM32" s="9">
        <f>IF('Upto Month Current'!$F$32="",0,'Upto Month Current'!$F$32)</f>
        <v>2116</v>
      </c>
      <c r="AN32" s="9">
        <f>IF('Upto Month Current'!$F$33="",0,'Upto Month Current'!$F$33)</f>
        <v>449368</v>
      </c>
      <c r="AO32" s="9">
        <f>IF('Upto Month Current'!$F$34="",0,'Upto Month Current'!$F$34)</f>
        <v>31126</v>
      </c>
      <c r="AP32" s="9">
        <f>IF('Upto Month Current'!$F$36="",0,'Upto Month Current'!$F$36)</f>
        <v>14767</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12</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14939</v>
      </c>
      <c r="BC32" s="9">
        <f>IF('Upto Month Current'!$F$54="",0,'Upto Month Current'!$F$54)</f>
        <v>14939</v>
      </c>
      <c r="BD32" s="9">
        <f>IF('Upto Month Current'!$F$55="",0,'Upto Month Current'!$F$55)</f>
        <v>0</v>
      </c>
      <c r="BE32" s="9">
        <f>IF('Upto Month Current'!$F$56="",0,'Upto Month Current'!$F$56)</f>
        <v>42022</v>
      </c>
      <c r="BF32" s="9">
        <f>IF('Upto Month Current'!$F$58="",0,'Upto Month Current'!$F$58)</f>
        <v>296096</v>
      </c>
      <c r="BG32" s="122">
        <f t="shared" si="34"/>
        <v>1148616</v>
      </c>
      <c r="BH32" s="123">
        <f t="shared" si="35"/>
        <v>3442992</v>
      </c>
      <c r="BI32" s="9">
        <f>IF('Upto Month Current'!$F$60="",0,'Upto Month Current'!$F$60)</f>
        <v>35781</v>
      </c>
      <c r="BJ32" s="124">
        <f t="shared" si="33"/>
        <v>3407211</v>
      </c>
      <c r="BK32">
        <f>'Upto Month Current'!$F$61</f>
        <v>3407250</v>
      </c>
    </row>
    <row r="33" spans="1:63" ht="15.75" x14ac:dyDescent="0.25">
      <c r="A33" s="128"/>
      <c r="B33" s="5" t="s">
        <v>210</v>
      </c>
      <c r="C33" s="126">
        <f t="shared" ref="C33:AH33" si="38">C32/C29</f>
        <v>0.55898393783827915</v>
      </c>
      <c r="D33" s="126">
        <f t="shared" si="38"/>
        <v>0.89345554948784556</v>
      </c>
      <c r="E33" s="126">
        <f t="shared" si="38"/>
        <v>0.87508642363293521</v>
      </c>
      <c r="F33" s="126">
        <f t="shared" si="38"/>
        <v>0.62145313185523776</v>
      </c>
      <c r="G33" s="126">
        <f t="shared" si="38"/>
        <v>0.62894822533376749</v>
      </c>
      <c r="H33" s="126" t="e">
        <f t="shared" si="38"/>
        <v>#DIV/0!</v>
      </c>
      <c r="I33" s="126" t="e">
        <f t="shared" si="38"/>
        <v>#DIV/0!</v>
      </c>
      <c r="J33" s="126">
        <f t="shared" si="38"/>
        <v>1.3723887375113533</v>
      </c>
      <c r="K33" s="126">
        <f t="shared" si="38"/>
        <v>0.26883206634416035</v>
      </c>
      <c r="L33" s="126">
        <f t="shared" si="38"/>
        <v>0.56830637840018827</v>
      </c>
      <c r="M33" s="126">
        <f t="shared" si="38"/>
        <v>0.74362858488055517</v>
      </c>
      <c r="N33" s="126">
        <f t="shared" si="38"/>
        <v>0.24796747967479674</v>
      </c>
      <c r="O33" s="126">
        <f t="shared" si="38"/>
        <v>0.52871677059402689</v>
      </c>
      <c r="P33" s="126">
        <f t="shared" si="38"/>
        <v>0.82755204414346628</v>
      </c>
      <c r="Q33" s="126" t="e">
        <f t="shared" si="38"/>
        <v>#DIV/0!</v>
      </c>
      <c r="R33" s="126">
        <f t="shared" si="38"/>
        <v>1.095053095053095</v>
      </c>
      <c r="S33" s="126" t="e">
        <f t="shared" si="38"/>
        <v>#DIV/0!</v>
      </c>
      <c r="T33" s="126" t="e">
        <f t="shared" si="38"/>
        <v>#DIV/0!</v>
      </c>
      <c r="U33" s="126" t="e">
        <f t="shared" si="38"/>
        <v>#DIV/0!</v>
      </c>
      <c r="V33" s="126">
        <f t="shared" si="38"/>
        <v>0.36812674743709228</v>
      </c>
      <c r="W33" s="126" t="e">
        <f t="shared" si="38"/>
        <v>#DIV/0!</v>
      </c>
      <c r="X33" s="126" t="e">
        <f t="shared" si="38"/>
        <v>#DIV/0!</v>
      </c>
      <c r="Y33" s="126">
        <f t="shared" si="38"/>
        <v>29.472817133443161</v>
      </c>
      <c r="Z33" s="126" t="e">
        <f t="shared" si="38"/>
        <v>#DIV/0!</v>
      </c>
      <c r="AA33" s="126">
        <f t="shared" si="38"/>
        <v>357.75</v>
      </c>
      <c r="AB33" s="126" t="e">
        <f t="shared" si="38"/>
        <v>#DIV/0!</v>
      </c>
      <c r="AC33" s="126">
        <f t="shared" si="38"/>
        <v>0.63191345030721546</v>
      </c>
      <c r="AD33" s="126">
        <f t="shared" si="38"/>
        <v>0.37986179664363279</v>
      </c>
      <c r="AE33" s="126">
        <f t="shared" si="38"/>
        <v>0.34159198734844493</v>
      </c>
      <c r="AF33" s="126">
        <f t="shared" si="38"/>
        <v>0.30835313471029063</v>
      </c>
      <c r="AG33" s="126" t="e">
        <f t="shared" si="38"/>
        <v>#DIV/0!</v>
      </c>
      <c r="AH33" s="126" t="e">
        <f t="shared" si="38"/>
        <v>#DIV/0!</v>
      </c>
      <c r="AI33" s="126">
        <f t="shared" ref="AI33:BJ33" si="39">AI32/AI29</f>
        <v>1.7619047619047619</v>
      </c>
      <c r="AJ33" s="126">
        <f t="shared" si="39"/>
        <v>0.56237847554382892</v>
      </c>
      <c r="AK33" s="126">
        <f t="shared" si="39"/>
        <v>0.37212726144912917</v>
      </c>
      <c r="AL33" s="126" t="e">
        <f t="shared" si="39"/>
        <v>#DIV/0!</v>
      </c>
      <c r="AM33" s="126">
        <f t="shared" si="39"/>
        <v>1.6352395672333848</v>
      </c>
      <c r="AN33" s="126">
        <f t="shared" si="39"/>
        <v>0.88015590876595073</v>
      </c>
      <c r="AO33" s="126">
        <f t="shared" si="39"/>
        <v>0.16448244520070177</v>
      </c>
      <c r="AP33" s="126">
        <f t="shared" si="39"/>
        <v>0.91674944127141789</v>
      </c>
      <c r="AQ33" s="126" t="e">
        <f t="shared" si="39"/>
        <v>#DIV/0!</v>
      </c>
      <c r="AR33" s="126" t="e">
        <f t="shared" si="39"/>
        <v>#DIV/0!</v>
      </c>
      <c r="AS33" s="126" t="e">
        <f t="shared" si="39"/>
        <v>#DIV/0!</v>
      </c>
      <c r="AT33" s="126" t="e">
        <f t="shared" si="39"/>
        <v>#DIV/0!</v>
      </c>
      <c r="AU33" s="126" t="e">
        <f t="shared" si="39"/>
        <v>#DIV/0!</v>
      </c>
      <c r="AV33" s="126">
        <f t="shared" si="39"/>
        <v>0.70588235294117652</v>
      </c>
      <c r="AW33" s="126">
        <f t="shared" si="39"/>
        <v>0</v>
      </c>
      <c r="AX33" s="126" t="e">
        <f t="shared" si="39"/>
        <v>#DIV/0!</v>
      </c>
      <c r="AY33" s="126" t="e">
        <f t="shared" si="39"/>
        <v>#DIV/0!</v>
      </c>
      <c r="AZ33" s="126" t="e">
        <f t="shared" si="39"/>
        <v>#DIV/0!</v>
      </c>
      <c r="BA33" s="126" t="e">
        <f t="shared" si="39"/>
        <v>#DIV/0!</v>
      </c>
      <c r="BB33" s="126">
        <f t="shared" si="39"/>
        <v>1.363669557279781</v>
      </c>
      <c r="BC33" s="126">
        <f t="shared" si="39"/>
        <v>1.36329622193831</v>
      </c>
      <c r="BD33" s="126" t="e">
        <f t="shared" si="39"/>
        <v>#DIV/0!</v>
      </c>
      <c r="BE33" s="126">
        <f t="shared" si="39"/>
        <v>8.5099230457675166</v>
      </c>
      <c r="BF33" s="126">
        <f t="shared" si="39"/>
        <v>1.0952159021135253</v>
      </c>
      <c r="BG33" s="126">
        <f t="shared" si="39"/>
        <v>0.69066876562266055</v>
      </c>
      <c r="BH33" s="126">
        <f t="shared" si="39"/>
        <v>0.6503711449883337</v>
      </c>
      <c r="BI33" s="126">
        <f t="shared" si="39"/>
        <v>0.41553147754590114</v>
      </c>
      <c r="BJ33" s="126">
        <f t="shared" si="39"/>
        <v>0.65425414557722206</v>
      </c>
    </row>
    <row r="34" spans="1:63" ht="15.75" x14ac:dyDescent="0.2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140</v>
      </c>
      <c r="B35" s="11" t="s">
        <v>214</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x14ac:dyDescent="0.25">
      <c r="A36" s="128" t="s">
        <v>140</v>
      </c>
      <c r="B36" s="5" t="s">
        <v>211</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x14ac:dyDescent="0.2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x14ac:dyDescent="0.25">
      <c r="A38" s="128"/>
      <c r="B38" s="12" t="s">
        <v>212</v>
      </c>
      <c r="C38" s="9">
        <f>IF('Upto Month Current'!$G$4="",0,'Upto Month Current'!$G$4)</f>
        <v>2934243</v>
      </c>
      <c r="D38" s="9">
        <f>IF('Upto Month Current'!$G$5="",0,'Upto Month Current'!$G$5)</f>
        <v>902940</v>
      </c>
      <c r="E38" s="9">
        <f>IF('Upto Month Current'!$G$6="",0,'Upto Month Current'!$G$6)</f>
        <v>162648</v>
      </c>
      <c r="F38" s="9">
        <f>IF('Upto Month Current'!$G$7="",0,'Upto Month Current'!$G$7)</f>
        <v>489155</v>
      </c>
      <c r="G38" s="9">
        <f>IF('Upto Month Current'!$G$8="",0,'Upto Month Current'!$G$8)</f>
        <v>164370</v>
      </c>
      <c r="H38" s="9">
        <f>IF('Upto Month Current'!$G$9="",0,'Upto Month Current'!$G$9)</f>
        <v>0</v>
      </c>
      <c r="I38" s="9">
        <f>IF('Upto Month Current'!$G$10="",0,'Upto Month Current'!$G$10)</f>
        <v>0</v>
      </c>
      <c r="J38" s="9">
        <f>IF('Upto Month Current'!$G$11="",0,'Upto Month Current'!$G$11)</f>
        <v>936238</v>
      </c>
      <c r="K38" s="9">
        <f>IF('Upto Month Current'!$G$12="",0,'Upto Month Current'!$G$12)</f>
        <v>1542</v>
      </c>
      <c r="L38" s="9">
        <f>IF('Upto Month Current'!$G$13="",0,'Upto Month Current'!$G$13)</f>
        <v>55976</v>
      </c>
      <c r="M38" s="9">
        <f>IF('Upto Month Current'!$G$14="",0,'Upto Month Current'!$G$14)</f>
        <v>190080</v>
      </c>
      <c r="N38" s="9">
        <f>IF('Upto Month Current'!$G$15="",0,'Upto Month Current'!$G$15)</f>
        <v>416</v>
      </c>
      <c r="O38" s="9">
        <f>IF('Upto Month Current'!$G$16="",0,'Upto Month Current'!$G$16)</f>
        <v>4613</v>
      </c>
      <c r="P38" s="9">
        <f>IF('Upto Month Current'!$G$17="",0,'Upto Month Current'!$G$17)</f>
        <v>8646</v>
      </c>
      <c r="Q38" s="9">
        <f>IF('Upto Month Current'!$G$18="",0,'Upto Month Current'!$G$18)</f>
        <v>0</v>
      </c>
      <c r="R38" s="9">
        <f>IF('Upto Month Current'!$G$21="",0,'Upto Month Current'!$G$21)</f>
        <v>5760</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6123</v>
      </c>
      <c r="Z38" s="9">
        <f>IF('Upto Month Current'!$G$43="",0,'Upto Month Current'!$G$43)</f>
        <v>794</v>
      </c>
      <c r="AA38" s="9">
        <f>IF('Upto Month Current'!$G$44="",0,'Upto Month Current'!$G$44)</f>
        <v>1077</v>
      </c>
      <c r="AB38" s="9">
        <f>IF('Upto Month Current'!$G$51="",0,'Upto Month Current'!$G$51)</f>
        <v>0</v>
      </c>
      <c r="AC38" s="121">
        <f t="shared" si="40"/>
        <v>5864621</v>
      </c>
      <c r="AD38" s="9">
        <f>IF('Upto Month Current'!$G$19="",0,'Upto Month Current'!$G$19)</f>
        <v>2157</v>
      </c>
      <c r="AE38" s="9">
        <f>IF('Upto Month Current'!$G$20="",0,'Upto Month Current'!$G$20)</f>
        <v>1262</v>
      </c>
      <c r="AF38" s="9">
        <f>IF('Upto Month Current'!$G$22="",0,'Upto Month Current'!$G$22)</f>
        <v>3781</v>
      </c>
      <c r="AG38" s="9">
        <f>IF('Upto Month Current'!$G$23="",0,'Upto Month Current'!$G$23)</f>
        <v>0</v>
      </c>
      <c r="AH38" s="9">
        <f>IF('Upto Month Current'!$G$24="",0,'Upto Month Current'!$G$24)</f>
        <v>0</v>
      </c>
      <c r="AI38" s="9">
        <f>IF('Upto Month Current'!$G$25="",0,'Upto Month Current'!$G$25)</f>
        <v>13</v>
      </c>
      <c r="AJ38" s="9">
        <f>IF('Upto Month Current'!$G$28="",0,'Upto Month Current'!$G$28)</f>
        <v>99811</v>
      </c>
      <c r="AK38" s="9">
        <f>IF('Upto Month Current'!$G$29="",0,'Upto Month Current'!$G$29)</f>
        <v>11692</v>
      </c>
      <c r="AL38" s="9">
        <f>IF('Upto Month Current'!$G$31="",0,'Upto Month Current'!$G$31)</f>
        <v>524814</v>
      </c>
      <c r="AM38" s="9">
        <f>IF('Upto Month Current'!$G$32="",0,'Upto Month Current'!$G$32)</f>
        <v>21870</v>
      </c>
      <c r="AN38" s="9">
        <f>IF('Upto Month Current'!$G$33="",0,'Upto Month Current'!$G$33)</f>
        <v>422625</v>
      </c>
      <c r="AO38" s="9">
        <f>IF('Upto Month Current'!$G$34="",0,'Upto Month Current'!$G$34)</f>
        <v>921</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0</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21812</v>
      </c>
      <c r="BC38" s="9">
        <f>IF('Upto Month Current'!$G$54="",0,'Upto Month Current'!$G$54)</f>
        <v>21812</v>
      </c>
      <c r="BD38" s="9">
        <f>IF('Upto Month Current'!$G$55="",0,'Upto Month Current'!$G$55)</f>
        <v>0</v>
      </c>
      <c r="BE38" s="9">
        <f>IF('Upto Month Current'!$G$56="",0,'Upto Month Current'!$G$56)</f>
        <v>23786</v>
      </c>
      <c r="BF38" s="9">
        <f>IF('Upto Month Current'!$G$58="",0,'Upto Month Current'!$G$58)</f>
        <v>61</v>
      </c>
      <c r="BG38" s="122">
        <f t="shared" si="42"/>
        <v>1156417</v>
      </c>
      <c r="BH38" s="123">
        <f t="shared" si="43"/>
        <v>7021038</v>
      </c>
      <c r="BI38" s="9">
        <f>IF('Upto Month Current'!$G$60="",0,'Upto Month Current'!$G$60)</f>
        <v>10562</v>
      </c>
      <c r="BJ38" s="124">
        <f t="shared" si="41"/>
        <v>7010476</v>
      </c>
      <c r="BK38">
        <f>'Upto Month Current'!$G$61</f>
        <v>7010626</v>
      </c>
    </row>
    <row r="39" spans="1:63" ht="15.75" x14ac:dyDescent="0.25">
      <c r="A39" s="128"/>
      <c r="B39" s="5" t="s">
        <v>210</v>
      </c>
      <c r="C39" s="126">
        <f t="shared" ref="C39:AH39" si="46">C38/C35</f>
        <v>0.68314340073868363</v>
      </c>
      <c r="D39" s="126">
        <f t="shared" si="46"/>
        <v>0.98834052837590525</v>
      </c>
      <c r="E39" s="126">
        <f t="shared" si="46"/>
        <v>1.0226346763241285</v>
      </c>
      <c r="F39" s="126">
        <f t="shared" si="46"/>
        <v>0.75608813595999724</v>
      </c>
      <c r="G39" s="126">
        <f t="shared" si="46"/>
        <v>0.75590833628424403</v>
      </c>
      <c r="H39" s="126" t="e">
        <f t="shared" si="46"/>
        <v>#DIV/0!</v>
      </c>
      <c r="I39" s="126" t="e">
        <f t="shared" si="46"/>
        <v>#DIV/0!</v>
      </c>
      <c r="J39" s="126">
        <f t="shared" si="46"/>
        <v>1.0497389213983543</v>
      </c>
      <c r="K39" s="126">
        <f t="shared" si="46"/>
        <v>1.5343283582089553E-2</v>
      </c>
      <c r="L39" s="126">
        <f t="shared" si="46"/>
        <v>0.42648056014811314</v>
      </c>
      <c r="M39" s="126">
        <f t="shared" si="46"/>
        <v>0.91289814423483306</v>
      </c>
      <c r="N39" s="126">
        <f t="shared" si="46"/>
        <v>1.1751412429378532</v>
      </c>
      <c r="O39" s="126">
        <f t="shared" si="46"/>
        <v>0.850793065289561</v>
      </c>
      <c r="P39" s="126">
        <f t="shared" si="46"/>
        <v>0.98440168507343728</v>
      </c>
      <c r="Q39" s="126" t="e">
        <f t="shared" si="46"/>
        <v>#DIV/0!</v>
      </c>
      <c r="R39" s="126">
        <f t="shared" si="46"/>
        <v>0.51346050989481196</v>
      </c>
      <c r="S39" s="126" t="e">
        <f t="shared" si="46"/>
        <v>#DIV/0!</v>
      </c>
      <c r="T39" s="126" t="e">
        <f t="shared" si="46"/>
        <v>#DIV/0!</v>
      </c>
      <c r="U39" s="126" t="e">
        <f t="shared" si="46"/>
        <v>#DIV/0!</v>
      </c>
      <c r="V39" s="126" t="e">
        <f t="shared" si="46"/>
        <v>#DIV/0!</v>
      </c>
      <c r="W39" s="126" t="e">
        <f t="shared" si="46"/>
        <v>#DIV/0!</v>
      </c>
      <c r="X39" s="126" t="e">
        <f t="shared" si="46"/>
        <v>#DIV/0!</v>
      </c>
      <c r="Y39" s="126">
        <f t="shared" si="46"/>
        <v>17.103351955307261</v>
      </c>
      <c r="Z39" s="126">
        <f t="shared" si="46"/>
        <v>16.893617021276597</v>
      </c>
      <c r="AA39" s="126">
        <f t="shared" si="46"/>
        <v>2.4716006884681584E-2</v>
      </c>
      <c r="AB39" s="126" t="e">
        <f t="shared" si="46"/>
        <v>#DIV/0!</v>
      </c>
      <c r="AC39" s="126">
        <f t="shared" si="46"/>
        <v>0.76823886135582165</v>
      </c>
      <c r="AD39" s="126">
        <f t="shared" si="46"/>
        <v>0.9070647603027755</v>
      </c>
      <c r="AE39" s="126">
        <f t="shared" si="46"/>
        <v>48.53846153846154</v>
      </c>
      <c r="AF39" s="126">
        <f t="shared" si="46"/>
        <v>0.66672544524775168</v>
      </c>
      <c r="AG39" s="126" t="e">
        <f t="shared" si="46"/>
        <v>#DIV/0!</v>
      </c>
      <c r="AH39" s="126" t="e">
        <f t="shared" si="46"/>
        <v>#DIV/0!</v>
      </c>
      <c r="AI39" s="126">
        <f t="shared" ref="AI39:BJ39" si="47">AI38/AI35</f>
        <v>3.6516853932584269E-2</v>
      </c>
      <c r="AJ39" s="126">
        <f t="shared" si="47"/>
        <v>1.0643781858510888</v>
      </c>
      <c r="AK39" s="126">
        <f t="shared" si="47"/>
        <v>0.10038981333608092</v>
      </c>
      <c r="AL39" s="126">
        <f t="shared" si="47"/>
        <v>0.94439755773213874</v>
      </c>
      <c r="AM39" s="126">
        <f t="shared" si="47"/>
        <v>0.29116131694913</v>
      </c>
      <c r="AN39" s="126">
        <f t="shared" si="47"/>
        <v>1.0772868049094455</v>
      </c>
      <c r="AO39" s="126">
        <f t="shared" si="47"/>
        <v>-2.5194911776774721E-2</v>
      </c>
      <c r="AP39" s="126" t="e">
        <f t="shared" si="47"/>
        <v>#DIV/0!</v>
      </c>
      <c r="AQ39" s="126" t="e">
        <f t="shared" si="47"/>
        <v>#DIV/0!</v>
      </c>
      <c r="AR39" s="126" t="e">
        <f t="shared" si="47"/>
        <v>#DIV/0!</v>
      </c>
      <c r="AS39" s="126" t="e">
        <f t="shared" si="47"/>
        <v>#DIV/0!</v>
      </c>
      <c r="AT39" s="126" t="e">
        <f t="shared" si="47"/>
        <v>#DIV/0!</v>
      </c>
      <c r="AU39" s="126" t="e">
        <f t="shared" si="47"/>
        <v>#DIV/0!</v>
      </c>
      <c r="AV39" s="126">
        <f t="shared" si="47"/>
        <v>0</v>
      </c>
      <c r="AW39" s="126">
        <f t="shared" si="47"/>
        <v>0</v>
      </c>
      <c r="AX39" s="126" t="e">
        <f t="shared" si="47"/>
        <v>#DIV/0!</v>
      </c>
      <c r="AY39" s="126" t="e">
        <f t="shared" si="47"/>
        <v>#DIV/0!</v>
      </c>
      <c r="AZ39" s="126" t="e">
        <f t="shared" si="47"/>
        <v>#DIV/0!</v>
      </c>
      <c r="BA39" s="126" t="e">
        <f t="shared" si="47"/>
        <v>#DIV/0!</v>
      </c>
      <c r="BB39" s="126">
        <f t="shared" si="47"/>
        <v>8.0665680473372774</v>
      </c>
      <c r="BC39" s="126">
        <f t="shared" si="47"/>
        <v>8.0516795865633082</v>
      </c>
      <c r="BD39" s="126" t="e">
        <f t="shared" si="47"/>
        <v>#DIV/0!</v>
      </c>
      <c r="BE39" s="126">
        <f t="shared" si="47"/>
        <v>53.693002257336346</v>
      </c>
      <c r="BF39" s="126">
        <f t="shared" si="47"/>
        <v>30.5</v>
      </c>
      <c r="BG39" s="126">
        <f t="shared" si="47"/>
        <v>0.95438354694682637</v>
      </c>
      <c r="BH39" s="126">
        <f t="shared" si="47"/>
        <v>0.79373754527846285</v>
      </c>
      <c r="BI39" s="126">
        <f t="shared" si="47"/>
        <v>0.3021253468348637</v>
      </c>
      <c r="BJ39" s="126">
        <f t="shared" si="47"/>
        <v>0.79568818495758853</v>
      </c>
    </row>
    <row r="40" spans="1:63" ht="15.75" x14ac:dyDescent="0.2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141</v>
      </c>
      <c r="B41" s="11" t="s">
        <v>214</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x14ac:dyDescent="0.25">
      <c r="A42" s="128" t="s">
        <v>141</v>
      </c>
      <c r="B42" s="5" t="s">
        <v>211</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x14ac:dyDescent="0.2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x14ac:dyDescent="0.25">
      <c r="A44" s="128"/>
      <c r="B44" s="12" t="s">
        <v>212</v>
      </c>
      <c r="C44" s="9">
        <f>IF('Upto Month Current'!$H$4="",0,'Upto Month Current'!$H$4)</f>
        <v>3319194</v>
      </c>
      <c r="D44" s="9">
        <f>IF('Upto Month Current'!$H$5="",0,'Upto Month Current'!$H$5)</f>
        <v>872564</v>
      </c>
      <c r="E44" s="9">
        <f>IF('Upto Month Current'!$H$6="",0,'Upto Month Current'!$H$6)</f>
        <v>210433</v>
      </c>
      <c r="F44" s="9">
        <f>IF('Upto Month Current'!$H$7="",0,'Upto Month Current'!$H$7)</f>
        <v>396580</v>
      </c>
      <c r="G44" s="9">
        <f>IF('Upto Month Current'!$H$8="",0,'Upto Month Current'!$H$8)</f>
        <v>192431</v>
      </c>
      <c r="H44" s="9">
        <f>IF('Upto Month Current'!$H$9="",0,'Upto Month Current'!$H$9)</f>
        <v>0</v>
      </c>
      <c r="I44" s="9">
        <f>IF('Upto Month Current'!$H$10="",0,'Upto Month Current'!$H$10)</f>
        <v>0</v>
      </c>
      <c r="J44" s="9">
        <f>IF('Upto Month Current'!$H$11="",0,'Upto Month Current'!$H$11)</f>
        <v>376764</v>
      </c>
      <c r="K44" s="9">
        <f>IF('Upto Month Current'!$H$12="",0,'Upto Month Current'!$H$12)</f>
        <v>5859</v>
      </c>
      <c r="L44" s="9">
        <f>IF('Upto Month Current'!$H$13="",0,'Upto Month Current'!$H$13)</f>
        <v>91239</v>
      </c>
      <c r="M44" s="9">
        <f>IF('Upto Month Current'!$H$14="",0,'Upto Month Current'!$H$14)</f>
        <v>153389</v>
      </c>
      <c r="N44" s="9">
        <f>IF('Upto Month Current'!$H$15="",0,'Upto Month Current'!$H$15)</f>
        <v>243</v>
      </c>
      <c r="O44" s="9">
        <f>IF('Upto Month Current'!$H$16="",0,'Upto Month Current'!$H$16)</f>
        <v>8173</v>
      </c>
      <c r="P44" s="9">
        <f>IF('Upto Month Current'!$H$17="",0,'Upto Month Current'!$H$17)</f>
        <v>136280</v>
      </c>
      <c r="Q44" s="9">
        <f>IF('Upto Month Current'!$H$18="",0,'Upto Month Current'!$H$18)</f>
        <v>0</v>
      </c>
      <c r="R44" s="9">
        <f>IF('Upto Month Current'!$H$21="",0,'Upto Month Current'!$H$21)</f>
        <v>7120</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23634</v>
      </c>
      <c r="Z44" s="9">
        <f>IF('Upto Month Current'!$H$43="",0,'Upto Month Current'!$H$43)</f>
        <v>3102</v>
      </c>
      <c r="AA44" s="9">
        <f>IF('Upto Month Current'!$H$44="",0,'Upto Month Current'!$H$44)</f>
        <v>5616</v>
      </c>
      <c r="AB44" s="9">
        <f>IF('Upto Month Current'!$H$51="",0,'Upto Month Current'!$H$51)</f>
        <v>0</v>
      </c>
      <c r="AC44" s="121">
        <f t="shared" si="48"/>
        <v>5802621</v>
      </c>
      <c r="AD44" s="9">
        <f>IF('Upto Month Current'!$H$19="",0,'Upto Month Current'!$H$19)</f>
        <v>8612</v>
      </c>
      <c r="AE44" s="9">
        <f>IF('Upto Month Current'!$H$20="",0,'Upto Month Current'!$H$20)</f>
        <v>1235</v>
      </c>
      <c r="AF44" s="9">
        <f>IF('Upto Month Current'!$H$22="",0,'Upto Month Current'!$H$22)</f>
        <v>5981</v>
      </c>
      <c r="AG44" s="9">
        <f>IF('Upto Month Current'!$H$23="",0,'Upto Month Current'!$H$23)</f>
        <v>0</v>
      </c>
      <c r="AH44" s="9">
        <f>IF('Upto Month Current'!$H$24="",0,'Upto Month Current'!$H$24)</f>
        <v>0</v>
      </c>
      <c r="AI44" s="9">
        <f>IF('Upto Month Current'!$H$25="",0,'Upto Month Current'!$H$25)</f>
        <v>9523</v>
      </c>
      <c r="AJ44" s="9">
        <f>IF('Upto Month Current'!$H$28="",0,'Upto Month Current'!$H$28)</f>
        <v>10734</v>
      </c>
      <c r="AK44" s="9">
        <f>IF('Upto Month Current'!$H$29="",0,'Upto Month Current'!$H$29)</f>
        <v>13570</v>
      </c>
      <c r="AL44" s="9">
        <f>IF('Upto Month Current'!$H$31="",0,'Upto Month Current'!$H$31)</f>
        <v>0</v>
      </c>
      <c r="AM44" s="9">
        <f>IF('Upto Month Current'!$H$32="",0,'Upto Month Current'!$H$32)</f>
        <v>0</v>
      </c>
      <c r="AN44" s="9">
        <f>IF('Upto Month Current'!$H$33="",0,'Upto Month Current'!$H$33)</f>
        <v>230412</v>
      </c>
      <c r="AO44" s="9">
        <f>IF('Upto Month Current'!$H$34="",0,'Upto Month Current'!$H$34)</f>
        <v>11520530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72</v>
      </c>
      <c r="AW44" s="9">
        <f>IF('Upto Month Current'!$H$46="",0,'Upto Month Current'!$H$46)</f>
        <v>2302</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12916</v>
      </c>
      <c r="BC44" s="9">
        <f>IF('Upto Month Current'!$H$54="",0,'Upto Month Current'!$H$54)</f>
        <v>12916</v>
      </c>
      <c r="BD44" s="9">
        <f>IF('Upto Month Current'!$H$55="",0,'Upto Month Current'!$H$55)</f>
        <v>0</v>
      </c>
      <c r="BE44" s="9">
        <f>IF('Upto Month Current'!$H$56="",0,'Upto Month Current'!$H$56)</f>
        <v>7066</v>
      </c>
      <c r="BF44" s="9">
        <f>IF('Upto Month Current'!$H$58="",0,'Upto Month Current'!$H$58)</f>
        <v>5829</v>
      </c>
      <c r="BG44" s="122">
        <f t="shared" si="50"/>
        <v>11841698</v>
      </c>
      <c r="BH44" s="123">
        <f t="shared" si="51"/>
        <v>17644319</v>
      </c>
      <c r="BI44" s="9">
        <f>IF('Upto Month Current'!$H$60="",0,'Upto Month Current'!$H$60)</f>
        <v>176</v>
      </c>
      <c r="BJ44" s="124">
        <f t="shared" si="49"/>
        <v>17644143</v>
      </c>
      <c r="BK44">
        <f>'Upto Month Current'!$H$61</f>
        <v>17644172</v>
      </c>
    </row>
    <row r="45" spans="1:63" ht="15.75" x14ac:dyDescent="0.25">
      <c r="A45" s="128"/>
      <c r="B45" s="5" t="s">
        <v>210</v>
      </c>
      <c r="C45" s="126">
        <f t="shared" ref="C45:AH45" si="54">C44/C41</f>
        <v>0.57152573471804713</v>
      </c>
      <c r="D45" s="126">
        <f t="shared" si="54"/>
        <v>0.87020921386727512</v>
      </c>
      <c r="E45" s="126">
        <f t="shared" si="54"/>
        <v>0.97071699088019703</v>
      </c>
      <c r="F45" s="126">
        <f t="shared" si="54"/>
        <v>0.63575984828203125</v>
      </c>
      <c r="G45" s="126">
        <f t="shared" si="54"/>
        <v>0.61421467238649707</v>
      </c>
      <c r="H45" s="126" t="e">
        <f t="shared" si="54"/>
        <v>#DIV/0!</v>
      </c>
      <c r="I45" s="126" t="e">
        <f t="shared" si="54"/>
        <v>#DIV/0!</v>
      </c>
      <c r="J45" s="126">
        <f t="shared" si="54"/>
        <v>1.0776786505991012</v>
      </c>
      <c r="K45" s="126">
        <f t="shared" si="54"/>
        <v>6.897891427965952E-2</v>
      </c>
      <c r="L45" s="126">
        <f t="shared" si="54"/>
        <v>0.49791532508922626</v>
      </c>
      <c r="M45" s="126">
        <f t="shared" si="54"/>
        <v>0.96100568249453366</v>
      </c>
      <c r="N45" s="126">
        <f t="shared" si="54"/>
        <v>0.24695121951219512</v>
      </c>
      <c r="O45" s="126">
        <f t="shared" si="54"/>
        <v>0.44154511075094544</v>
      </c>
      <c r="P45" s="126">
        <f t="shared" si="54"/>
        <v>0.99460658740758578</v>
      </c>
      <c r="Q45" s="126" t="e">
        <f t="shared" si="54"/>
        <v>#DIV/0!</v>
      </c>
      <c r="R45" s="126">
        <f t="shared" si="54"/>
        <v>1.0855313309955785</v>
      </c>
      <c r="S45" s="126" t="e">
        <f t="shared" si="54"/>
        <v>#DIV/0!</v>
      </c>
      <c r="T45" s="126" t="e">
        <f t="shared" si="54"/>
        <v>#DIV/0!</v>
      </c>
      <c r="U45" s="126" t="e">
        <f t="shared" si="54"/>
        <v>#DIV/0!</v>
      </c>
      <c r="V45" s="126" t="e">
        <f t="shared" si="54"/>
        <v>#DIV/0!</v>
      </c>
      <c r="W45" s="126" t="e">
        <f t="shared" si="54"/>
        <v>#DIV/0!</v>
      </c>
      <c r="X45" s="126" t="e">
        <f t="shared" si="54"/>
        <v>#DIV/0!</v>
      </c>
      <c r="Y45" s="126">
        <f t="shared" si="54"/>
        <v>5.5284210526315789</v>
      </c>
      <c r="Z45" s="126">
        <f t="shared" si="54"/>
        <v>4.854460093896714</v>
      </c>
      <c r="AA45" s="126">
        <f t="shared" si="54"/>
        <v>8.9712460063897765</v>
      </c>
      <c r="AB45" s="126" t="e">
        <f t="shared" si="54"/>
        <v>#DIV/0!</v>
      </c>
      <c r="AC45" s="126">
        <f t="shared" si="54"/>
        <v>0.65123448026399444</v>
      </c>
      <c r="AD45" s="126">
        <f t="shared" si="54"/>
        <v>0.8721012658227848</v>
      </c>
      <c r="AE45" s="126">
        <f t="shared" si="54"/>
        <v>3.2077922077922079</v>
      </c>
      <c r="AF45" s="126">
        <f t="shared" si="54"/>
        <v>0.83967429453881792</v>
      </c>
      <c r="AG45" s="126" t="e">
        <f t="shared" si="54"/>
        <v>#DIV/0!</v>
      </c>
      <c r="AH45" s="126" t="e">
        <f t="shared" si="54"/>
        <v>#DIV/0!</v>
      </c>
      <c r="AI45" s="126">
        <f t="shared" ref="AI45:BJ45" si="55">AI44/AI41</f>
        <v>0.92708333333333337</v>
      </c>
      <c r="AJ45" s="126">
        <f t="shared" si="55"/>
        <v>0.99232689285384112</v>
      </c>
      <c r="AK45" s="126">
        <f t="shared" si="55"/>
        <v>0.47244368624447308</v>
      </c>
      <c r="AL45" s="126" t="e">
        <f t="shared" si="55"/>
        <v>#DIV/0!</v>
      </c>
      <c r="AM45" s="126">
        <f t="shared" si="55"/>
        <v>0</v>
      </c>
      <c r="AN45" s="126">
        <f t="shared" si="55"/>
        <v>0.80949988581868004</v>
      </c>
      <c r="AO45" s="126">
        <f t="shared" si="55"/>
        <v>0.68549228279492336</v>
      </c>
      <c r="AP45" s="126" t="e">
        <f t="shared" si="55"/>
        <v>#DIV/0!</v>
      </c>
      <c r="AQ45" s="126" t="e">
        <f t="shared" si="55"/>
        <v>#DIV/0!</v>
      </c>
      <c r="AR45" s="126" t="e">
        <f t="shared" si="55"/>
        <v>#DIV/0!</v>
      </c>
      <c r="AS45" s="126" t="e">
        <f t="shared" si="55"/>
        <v>#DIV/0!</v>
      </c>
      <c r="AT45" s="126" t="e">
        <f t="shared" si="55"/>
        <v>#DIV/0!</v>
      </c>
      <c r="AU45" s="126" t="e">
        <f t="shared" si="55"/>
        <v>#DIV/0!</v>
      </c>
      <c r="AV45" s="126">
        <f t="shared" si="55"/>
        <v>0.28235294117647058</v>
      </c>
      <c r="AW45" s="126">
        <f t="shared" si="55"/>
        <v>2.3112449799196786</v>
      </c>
      <c r="AX45" s="126">
        <f t="shared" si="55"/>
        <v>0</v>
      </c>
      <c r="AY45" s="126" t="e">
        <f t="shared" si="55"/>
        <v>#DIV/0!</v>
      </c>
      <c r="AZ45" s="126" t="e">
        <f t="shared" si="55"/>
        <v>#DIV/0!</v>
      </c>
      <c r="BA45" s="126" t="e">
        <f t="shared" si="55"/>
        <v>#DIV/0!</v>
      </c>
      <c r="BB45" s="126">
        <f t="shared" si="55"/>
        <v>3.3635416666666669</v>
      </c>
      <c r="BC45" s="126">
        <f t="shared" si="55"/>
        <v>3.3635416666666669</v>
      </c>
      <c r="BD45" s="126" t="e">
        <f t="shared" si="55"/>
        <v>#DIV/0!</v>
      </c>
      <c r="BE45" s="126">
        <f t="shared" si="55"/>
        <v>0.71539941277715902</v>
      </c>
      <c r="BF45" s="126">
        <f t="shared" si="55"/>
        <v>2.095255212077642</v>
      </c>
      <c r="BG45" s="126">
        <f t="shared" si="55"/>
        <v>0.68928388841931043</v>
      </c>
      <c r="BH45" s="126">
        <f t="shared" si="55"/>
        <v>0.67628930553887179</v>
      </c>
      <c r="BI45" s="126" t="e">
        <f t="shared" si="55"/>
        <v>#DIV/0!</v>
      </c>
      <c r="BJ45" s="126">
        <f t="shared" si="55"/>
        <v>0.676282559632851</v>
      </c>
    </row>
    <row r="46" spans="1:63" ht="15.75" x14ac:dyDescent="0.2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34</v>
      </c>
      <c r="B47" s="11" t="s">
        <v>214</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x14ac:dyDescent="0.25">
      <c r="A48" s="128" t="s">
        <v>34</v>
      </c>
      <c r="B48" s="5" t="s">
        <v>211</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x14ac:dyDescent="0.2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x14ac:dyDescent="0.25">
      <c r="A50" s="128"/>
      <c r="B50" s="12" t="s">
        <v>212</v>
      </c>
      <c r="C50" s="9">
        <f>IF('Upto Month Current'!$I$4="",0,'Upto Month Current'!$I$4)</f>
        <v>8361</v>
      </c>
      <c r="D50" s="9">
        <f>IF('Upto Month Current'!$I$5="",0,'Upto Month Current'!$I$5)</f>
        <v>2067</v>
      </c>
      <c r="E50" s="9">
        <f>IF('Upto Month Current'!$I$6="",0,'Upto Month Current'!$I$6)</f>
        <v>479</v>
      </c>
      <c r="F50" s="9">
        <f>IF('Upto Month Current'!$I$7="",0,'Upto Month Current'!$I$7)</f>
        <v>916</v>
      </c>
      <c r="G50" s="9">
        <f>IF('Upto Month Current'!$I$8="",0,'Upto Month Current'!$I$8)</f>
        <v>406</v>
      </c>
      <c r="H50" s="9">
        <f>IF('Upto Month Current'!$I$9="",0,'Upto Month Current'!$I$9)</f>
        <v>0</v>
      </c>
      <c r="I50" s="9">
        <f>IF('Upto Month Current'!$I$10="",0,'Upto Month Current'!$I$10)</f>
        <v>0</v>
      </c>
      <c r="J50" s="9">
        <f>IF('Upto Month Current'!$I$11="",0,'Upto Month Current'!$I$11)</f>
        <v>249</v>
      </c>
      <c r="K50" s="9">
        <f>IF('Upto Month Current'!$I$12="",0,'Upto Month Current'!$I$12)</f>
        <v>0</v>
      </c>
      <c r="L50" s="9">
        <f>IF('Upto Month Current'!$I$13="",0,'Upto Month Current'!$I$13)</f>
        <v>189</v>
      </c>
      <c r="M50" s="9">
        <f>IF('Upto Month Current'!$I$14="",0,'Upto Month Current'!$I$14)</f>
        <v>173</v>
      </c>
      <c r="N50" s="9">
        <f>IF('Upto Month Current'!$I$15="",0,'Upto Month Current'!$I$15)</f>
        <v>0</v>
      </c>
      <c r="O50" s="9">
        <f>IF('Upto Month Current'!$I$16="",0,'Upto Month Current'!$I$16)</f>
        <v>0</v>
      </c>
      <c r="P50" s="9">
        <f>IF('Upto Month Current'!$I$17="",0,'Upto Month Current'!$I$17)</f>
        <v>38</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21">
        <f t="shared" si="56"/>
        <v>12880</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281857</v>
      </c>
      <c r="AK50" s="9">
        <f>IF('Upto Month Current'!$I$29="",0,'Upto Month Current'!$I$29)</f>
        <v>0</v>
      </c>
      <c r="AL50" s="9">
        <f>IF('Upto Month Current'!$I$31="",0,'Upto Month Current'!$I$31)</f>
        <v>5826311</v>
      </c>
      <c r="AM50" s="9">
        <f>IF('Upto Month Current'!$I$32="",0,'Upto Month Current'!$I$32)</f>
        <v>0</v>
      </c>
      <c r="AN50" s="9">
        <f>IF('Upto Month Current'!$I$33="",0,'Upto Month Current'!$I$33)</f>
        <v>0</v>
      </c>
      <c r="AO50" s="9">
        <f>IF('Upto Month Current'!$I$34="",0,'Upto Month Current'!$I$34)</f>
        <v>727093</v>
      </c>
      <c r="AP50" s="9">
        <f>IF('Upto Month Current'!$I$36="",0,'Upto Month Current'!$I$36)</f>
        <v>0</v>
      </c>
      <c r="AQ50" s="9">
        <f>IF('Upto Month Current'!$I$37="",0,'Upto Month Current'!$I$37)</f>
        <v>261281</v>
      </c>
      <c r="AR50" s="9">
        <v>0</v>
      </c>
      <c r="AS50" s="9">
        <f>IF('Upto Month Current'!$I$38="",0,'Upto Month Current'!$I$38)</f>
        <v>0</v>
      </c>
      <c r="AT50" s="9">
        <f>IF('Upto Month Current'!$I$41="",0,'Upto Month Current'!$I$41)</f>
        <v>109108</v>
      </c>
      <c r="AU50" s="9">
        <v>0</v>
      </c>
      <c r="AV50" s="9">
        <f>IF('Upto Month Current'!$I$45="",0,'Upto Month Current'!$I$45)</f>
        <v>0</v>
      </c>
      <c r="AW50" s="9">
        <f>IF('Upto Month Current'!$I$46="",0,'Upto Month Current'!$I$46)</f>
        <v>0</v>
      </c>
      <c r="AX50" s="9">
        <f>IF('Upto Month Current'!$I$47="",0,'Upto Month Current'!$I$47)</f>
        <v>0</v>
      </c>
      <c r="AY50" s="9">
        <f>IF('Upto Month Current'!$I$49="",0,'Upto Month Current'!$I$49)</f>
        <v>643143</v>
      </c>
      <c r="AZ50" s="9">
        <f>IF('Upto Month Current'!$I$50="",0,'Upto Month Current'!$I$50)</f>
        <v>1181724</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3316</v>
      </c>
      <c r="BG50" s="122">
        <f t="shared" si="58"/>
        <v>9033834</v>
      </c>
      <c r="BH50" s="123">
        <f t="shared" si="59"/>
        <v>9046714</v>
      </c>
      <c r="BI50" s="9">
        <f>IF('Upto Month Current'!$I$60="",0,'Upto Month Current'!$I$60)-'Upto Month Current'!I57</f>
        <v>176584</v>
      </c>
      <c r="BJ50" s="124">
        <f t="shared" si="57"/>
        <v>8870130</v>
      </c>
      <c r="BK50" s="99">
        <f>'Upto Month Current'!$I$61</f>
        <v>8870130</v>
      </c>
    </row>
    <row r="51" spans="1:64" ht="15.75" x14ac:dyDescent="0.25">
      <c r="A51" s="128"/>
      <c r="B51" s="5" t="s">
        <v>210</v>
      </c>
      <c r="C51" s="126">
        <f t="shared" ref="C51:AH51" si="62">C50/C47</f>
        <v>0.56565861579054189</v>
      </c>
      <c r="D51" s="126">
        <f t="shared" si="62"/>
        <v>0.80868544600938963</v>
      </c>
      <c r="E51" s="126">
        <f t="shared" si="62"/>
        <v>0.83159722222222221</v>
      </c>
      <c r="F51" s="126">
        <f t="shared" si="62"/>
        <v>0.5169300225733634</v>
      </c>
      <c r="G51" s="126">
        <f t="shared" si="62"/>
        <v>0.64139020537124802</v>
      </c>
      <c r="H51" s="126" t="e">
        <f t="shared" si="62"/>
        <v>#DIV/0!</v>
      </c>
      <c r="I51" s="126" t="e">
        <f t="shared" si="62"/>
        <v>#DIV/0!</v>
      </c>
      <c r="J51" s="126">
        <f t="shared" si="62"/>
        <v>0.55829596412556048</v>
      </c>
      <c r="K51" s="126" t="e">
        <f t="shared" si="62"/>
        <v>#DIV/0!</v>
      </c>
      <c r="L51" s="126">
        <f t="shared" si="62"/>
        <v>0.47607052896725438</v>
      </c>
      <c r="M51" s="126">
        <f t="shared" si="62"/>
        <v>1.453781512605042</v>
      </c>
      <c r="N51" s="126" t="e">
        <f t="shared" si="62"/>
        <v>#DIV/0!</v>
      </c>
      <c r="O51" s="126" t="e">
        <f t="shared" si="62"/>
        <v>#DIV/0!</v>
      </c>
      <c r="P51" s="126">
        <f t="shared" si="62"/>
        <v>0.34862385321100919</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0.60099855349727027</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1.4553016377868193</v>
      </c>
      <c r="AK51" s="126">
        <f t="shared" si="63"/>
        <v>0</v>
      </c>
      <c r="AL51" s="126">
        <f t="shared" si="63"/>
        <v>0.92273146241804183</v>
      </c>
      <c r="AM51" s="126" t="e">
        <f t="shared" si="63"/>
        <v>#DIV/0!</v>
      </c>
      <c r="AN51" s="126" t="e">
        <f t="shared" si="63"/>
        <v>#DIV/0!</v>
      </c>
      <c r="AO51" s="126" t="e">
        <f t="shared" si="63"/>
        <v>#DIV/0!</v>
      </c>
      <c r="AP51" s="126" t="e">
        <f t="shared" si="63"/>
        <v>#DIV/0!</v>
      </c>
      <c r="AQ51" s="126">
        <f t="shared" si="63"/>
        <v>0.287568815720251</v>
      </c>
      <c r="AR51" s="126" t="e">
        <f t="shared" si="63"/>
        <v>#DIV/0!</v>
      </c>
      <c r="AS51" s="126" t="e">
        <f t="shared" si="63"/>
        <v>#DIV/0!</v>
      </c>
      <c r="AT51" s="126">
        <f t="shared" si="63"/>
        <v>0.19084968234866082</v>
      </c>
      <c r="AU51" s="126" t="e">
        <f t="shared" si="63"/>
        <v>#DIV/0!</v>
      </c>
      <c r="AV51" s="126" t="e">
        <f t="shared" si="63"/>
        <v>#DIV/0!</v>
      </c>
      <c r="AW51" s="126" t="e">
        <f t="shared" si="63"/>
        <v>#DIV/0!</v>
      </c>
      <c r="AX51" s="126" t="e">
        <f t="shared" si="63"/>
        <v>#DIV/0!</v>
      </c>
      <c r="AY51" s="126">
        <f t="shared" si="63"/>
        <v>4.4115552933752209</v>
      </c>
      <c r="AZ51" s="126">
        <f t="shared" si="63"/>
        <v>1.1963263595446014</v>
      </c>
      <c r="BA51" s="126" t="e">
        <f t="shared" si="63"/>
        <v>#DIV/0!</v>
      </c>
      <c r="BB51" s="126" t="e">
        <f t="shared" si="63"/>
        <v>#DIV/0!</v>
      </c>
      <c r="BC51" s="126" t="e">
        <f t="shared" si="63"/>
        <v>#DIV/0!</v>
      </c>
      <c r="BD51" s="126" t="e">
        <f t="shared" si="63"/>
        <v>#DIV/0!</v>
      </c>
      <c r="BE51" s="126" t="e">
        <f t="shared" si="63"/>
        <v>#DIV/0!</v>
      </c>
      <c r="BF51" s="126">
        <f t="shared" si="63"/>
        <v>3.8487430070335893E-2</v>
      </c>
      <c r="BG51" s="126">
        <f t="shared" si="63"/>
        <v>0.98002104577999571</v>
      </c>
      <c r="BH51" s="126">
        <f t="shared" si="63"/>
        <v>0.97914189737441626</v>
      </c>
      <c r="BI51" s="126">
        <f t="shared" si="63"/>
        <v>0.29175333869749903</v>
      </c>
      <c r="BJ51" s="126">
        <f t="shared" si="63"/>
        <v>1.0273274358421993</v>
      </c>
    </row>
    <row r="52" spans="1:64" ht="15.75" x14ac:dyDescent="0.2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142</v>
      </c>
      <c r="B53" s="11" t="s">
        <v>214</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x14ac:dyDescent="0.25">
      <c r="A54" s="128" t="s">
        <v>142</v>
      </c>
      <c r="B54" s="5" t="s">
        <v>211</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x14ac:dyDescent="0.2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x14ac:dyDescent="0.25">
      <c r="A56" s="128"/>
      <c r="B56" s="12" t="s">
        <v>212</v>
      </c>
      <c r="C56" s="9">
        <f>IF('Upto Month Current'!$J$4="",0,'Upto Month Current'!$J$4)</f>
        <v>500806</v>
      </c>
      <c r="D56" s="9">
        <f>IF('Upto Month Current'!$J$5="",0,'Upto Month Current'!$J$5)</f>
        <v>122175</v>
      </c>
      <c r="E56" s="9">
        <f>IF('Upto Month Current'!$J$6="",0,'Upto Month Current'!$J$6)</f>
        <v>27184</v>
      </c>
      <c r="F56" s="9">
        <f>IF('Upto Month Current'!$J$7="",0,'Upto Month Current'!$J$7)</f>
        <v>44271</v>
      </c>
      <c r="G56" s="9">
        <f>IF('Upto Month Current'!$J$8="",0,'Upto Month Current'!$J$8)</f>
        <v>30913</v>
      </c>
      <c r="H56" s="9">
        <f>IF('Upto Month Current'!$J$9="",0,'Upto Month Current'!$J$9)</f>
        <v>0</v>
      </c>
      <c r="I56" s="9">
        <f>IF('Upto Month Current'!$J$10="",0,'Upto Month Current'!$J$10)</f>
        <v>0</v>
      </c>
      <c r="J56" s="9">
        <f>IF('Upto Month Current'!$J$11="",0,'Upto Month Current'!$J$11)</f>
        <v>0</v>
      </c>
      <c r="K56" s="9">
        <f>IF('Upto Month Current'!$J$12="",0,'Upto Month Current'!$J$12)</f>
        <v>1017</v>
      </c>
      <c r="L56" s="9">
        <f>IF('Upto Month Current'!$J$13="",0,'Upto Month Current'!$J$13)</f>
        <v>1230</v>
      </c>
      <c r="M56" s="9">
        <f>IF('Upto Month Current'!$J$14="",0,'Upto Month Current'!$J$14)</f>
        <v>45757</v>
      </c>
      <c r="N56" s="9">
        <f>IF('Upto Month Current'!$J$15="",0,'Upto Month Current'!$J$15)</f>
        <v>6570</v>
      </c>
      <c r="O56" s="9">
        <f>IF('Upto Month Current'!$J$16="",0,'Upto Month Current'!$J$16)</f>
        <v>748</v>
      </c>
      <c r="P56" s="9">
        <f>IF('Upto Month Current'!$J$17="",0,'Upto Month Current'!$J$17)</f>
        <v>6562</v>
      </c>
      <c r="Q56" s="9">
        <f>IF('Upto Month Current'!$J$18="",0,'Upto Month Current'!$J$18)</f>
        <v>0</v>
      </c>
      <c r="R56" s="9">
        <f>IF('Upto Month Current'!$J$21="",0,'Upto Month Current'!$J$21)</f>
        <v>1218</v>
      </c>
      <c r="S56" s="9">
        <f>IF('Upto Month Current'!$J$26="",0,'Upto Month Current'!$J$26)</f>
        <v>797946</v>
      </c>
      <c r="T56" s="9">
        <f>IF('Upto Month Current'!$J$27="",0,'Upto Month Current'!$J$27)</f>
        <v>723284</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2601</v>
      </c>
      <c r="Z56" s="9">
        <f>IF('Upto Month Current'!$J$43="",0,'Upto Month Current'!$J$43)</f>
        <v>314</v>
      </c>
      <c r="AA56" s="9">
        <f>IF('Upto Month Current'!$J$44="",0,'Upto Month Current'!$J$44)</f>
        <v>780</v>
      </c>
      <c r="AB56" s="9">
        <f>IF('Upto Month Current'!$J$51="",0,'Upto Month Current'!$J$51)</f>
        <v>0</v>
      </c>
      <c r="AC56" s="121">
        <f t="shared" si="64"/>
        <v>2313376</v>
      </c>
      <c r="AD56" s="9">
        <f>IF('Upto Month Current'!$J$19="",0,'Upto Month Current'!$J$19)</f>
        <v>645</v>
      </c>
      <c r="AE56" s="9">
        <f>IF('Upto Month Current'!$J$20="",0,'Upto Month Current'!$J$20)</f>
        <v>160</v>
      </c>
      <c r="AF56" s="9">
        <f>IF('Upto Month Current'!$J$22="",0,'Upto Month Current'!$J$22)</f>
        <v>1743</v>
      </c>
      <c r="AG56" s="9">
        <f>IF('Upto Month Current'!$J$23="",0,'Upto Month Current'!$J$23)</f>
        <v>0</v>
      </c>
      <c r="AH56" s="9">
        <f>IF('Upto Month Current'!$J$24="",0,'Upto Month Current'!$J$24)</f>
        <v>0</v>
      </c>
      <c r="AI56" s="9">
        <f>IF('Upto Month Current'!$J$25="",0,'Upto Month Current'!$J$25)</f>
        <v>117</v>
      </c>
      <c r="AJ56" s="9">
        <f>IF('Upto Month Current'!$J$28="",0,'Upto Month Current'!$J$28)</f>
        <v>846</v>
      </c>
      <c r="AK56" s="9">
        <f>IF('Upto Month Current'!$J$29="",0,'Upto Month Current'!$J$29)</f>
        <v>163340</v>
      </c>
      <c r="AL56" s="9">
        <f>IF('Upto Month Current'!$J$31="",0,'Upto Month Current'!$J$31)</f>
        <v>70969</v>
      </c>
      <c r="AM56" s="9">
        <f>IF('Upto Month Current'!$J$32="",0,'Upto Month Current'!$J$32)</f>
        <v>10</v>
      </c>
      <c r="AN56" s="9">
        <f>IF('Upto Month Current'!$J$33="",0,'Upto Month Current'!$J$33)</f>
        <v>220076</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310</v>
      </c>
      <c r="AW56" s="9">
        <f>IF('Upto Month Current'!$J$46="",0,'Upto Month Current'!$J$46)</f>
        <v>273</v>
      </c>
      <c r="AX56" s="9">
        <f>IF('Upto Month Current'!$J$47="",0,'Upto Month Current'!$J$47)</f>
        <v>429</v>
      </c>
      <c r="AY56" s="9">
        <f>IF('Upto Month Current'!$J$49="",0,'Upto Month Current'!$J$49)</f>
        <v>0</v>
      </c>
      <c r="AZ56" s="9">
        <f>IF('Upto Month Current'!$J$50="",0,'Upto Month Current'!$J$50)</f>
        <v>0</v>
      </c>
      <c r="BA56" s="9">
        <f>IF('Upto Month Current'!$J$52="",0,'Upto Month Current'!$J$52)</f>
        <v>0</v>
      </c>
      <c r="BB56" s="9">
        <f>IF('Upto Month Current'!$J$53="",0,'Upto Month Current'!$J$53)</f>
        <v>20338</v>
      </c>
      <c r="BC56" s="9">
        <f>IF('Upto Month Current'!$J$54="",0,'Upto Month Current'!$J$54)</f>
        <v>20082</v>
      </c>
      <c r="BD56" s="9">
        <f>IF('Upto Month Current'!$J$55="",0,'Upto Month Current'!$J$55)</f>
        <v>2</v>
      </c>
      <c r="BE56" s="9">
        <f>IF('Upto Month Current'!$J$56="",0,'Upto Month Current'!$J$56)</f>
        <v>2831</v>
      </c>
      <c r="BF56" s="9">
        <f>IF('Upto Month Current'!$J$58="",0,'Upto Month Current'!$J$58)</f>
        <v>-25958</v>
      </c>
      <c r="BG56" s="122">
        <f t="shared" si="66"/>
        <v>476213</v>
      </c>
      <c r="BH56" s="123">
        <f t="shared" si="67"/>
        <v>2789589</v>
      </c>
      <c r="BI56" s="9">
        <f>IF('Upto Month Current'!$J$60="",0,'Upto Month Current'!$J$60)</f>
        <v>0</v>
      </c>
      <c r="BJ56" s="124">
        <f t="shared" si="65"/>
        <v>2789589</v>
      </c>
      <c r="BK56">
        <f>'Upto Month Current'!$J$61</f>
        <v>2789668</v>
      </c>
      <c r="BL56" s="30"/>
    </row>
    <row r="57" spans="1:64" ht="15.75" x14ac:dyDescent="0.25">
      <c r="A57" s="128"/>
      <c r="B57" s="5" t="s">
        <v>210</v>
      </c>
      <c r="C57" s="126">
        <f t="shared" ref="C57:AH57" si="69">C56/C53</f>
        <v>0.56690804494911129</v>
      </c>
      <c r="D57" s="126">
        <f t="shared" si="69"/>
        <v>0.85476513635664009</v>
      </c>
      <c r="E57" s="126">
        <f t="shared" si="69"/>
        <v>0.71450349576828054</v>
      </c>
      <c r="F57" s="126">
        <f t="shared" si="69"/>
        <v>0.64044846292947555</v>
      </c>
      <c r="G57" s="126">
        <f t="shared" si="69"/>
        <v>0.48703365263423243</v>
      </c>
      <c r="H57" s="126" t="e">
        <f t="shared" si="69"/>
        <v>#DIV/0!</v>
      </c>
      <c r="I57" s="126" t="e">
        <f t="shared" si="69"/>
        <v>#DIV/0!</v>
      </c>
      <c r="J57" s="126" t="e">
        <f t="shared" si="69"/>
        <v>#DIV/0!</v>
      </c>
      <c r="K57" s="126">
        <f t="shared" si="69"/>
        <v>7.2642857142857142</v>
      </c>
      <c r="L57" s="126">
        <f t="shared" si="69"/>
        <v>0.83389830508474572</v>
      </c>
      <c r="M57" s="126">
        <f t="shared" si="69"/>
        <v>0.72841746660935736</v>
      </c>
      <c r="N57" s="126">
        <f t="shared" si="69"/>
        <v>1.1398334489937543</v>
      </c>
      <c r="O57" s="126">
        <f t="shared" si="69"/>
        <v>0.3643448611787628</v>
      </c>
      <c r="P57" s="126">
        <f t="shared" si="69"/>
        <v>0.80151459631122512</v>
      </c>
      <c r="Q57" s="126" t="e">
        <f t="shared" si="69"/>
        <v>#DIV/0!</v>
      </c>
      <c r="R57" s="126">
        <f t="shared" si="69"/>
        <v>1.2466734902763561</v>
      </c>
      <c r="S57" s="126">
        <f t="shared" si="69"/>
        <v>1.0462327173079318</v>
      </c>
      <c r="T57" s="126">
        <f t="shared" si="69"/>
        <v>0.72072757927630693</v>
      </c>
      <c r="U57" s="126" t="e">
        <f t="shared" si="69"/>
        <v>#DIV/0!</v>
      </c>
      <c r="V57" s="126" t="e">
        <f t="shared" si="69"/>
        <v>#DIV/0!</v>
      </c>
      <c r="W57" s="126" t="e">
        <f t="shared" si="69"/>
        <v>#DIV/0!</v>
      </c>
      <c r="X57" s="126" t="e">
        <f t="shared" si="69"/>
        <v>#DIV/0!</v>
      </c>
      <c r="Y57" s="126">
        <f t="shared" si="69"/>
        <v>12.504807692307692</v>
      </c>
      <c r="Z57" s="126">
        <f t="shared" si="69"/>
        <v>22.428571428571427</v>
      </c>
      <c r="AA57" s="126">
        <f t="shared" si="69"/>
        <v>3.4210526315789473</v>
      </c>
      <c r="AB57" s="126" t="e">
        <f t="shared" si="69"/>
        <v>#DIV/0!</v>
      </c>
      <c r="AC57" s="126">
        <f t="shared" si="69"/>
        <v>0.75971167831554665</v>
      </c>
      <c r="AD57" s="126">
        <f t="shared" si="69"/>
        <v>0.38949275362318841</v>
      </c>
      <c r="AE57" s="126">
        <f t="shared" si="69"/>
        <v>1.6326530612244898</v>
      </c>
      <c r="AF57" s="126">
        <f t="shared" si="69"/>
        <v>1.4193811074918568</v>
      </c>
      <c r="AG57" s="126" t="e">
        <f t="shared" si="69"/>
        <v>#DIV/0!</v>
      </c>
      <c r="AH57" s="126" t="e">
        <f t="shared" si="69"/>
        <v>#DIV/0!</v>
      </c>
      <c r="AI57" s="126">
        <f t="shared" ref="AI57:BJ57" si="70">AI56/AI53</f>
        <v>6.5</v>
      </c>
      <c r="AJ57" s="126">
        <f t="shared" si="70"/>
        <v>0.15169445938676707</v>
      </c>
      <c r="AK57" s="126">
        <f t="shared" si="70"/>
        <v>0.73467368326361715</v>
      </c>
      <c r="AL57" s="126">
        <f t="shared" si="70"/>
        <v>0.38022298300035895</v>
      </c>
      <c r="AM57" s="126" t="e">
        <f t="shared" si="70"/>
        <v>#DIV/0!</v>
      </c>
      <c r="AN57" s="126">
        <f t="shared" si="70"/>
        <v>0.67903314388680103</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1.1439114391143912</v>
      </c>
      <c r="AW57" s="126">
        <f t="shared" si="70"/>
        <v>1.1142857142857143</v>
      </c>
      <c r="AX57" s="126">
        <f t="shared" si="70"/>
        <v>0.72711864406779658</v>
      </c>
      <c r="AY57" s="126" t="e">
        <f t="shared" si="70"/>
        <v>#DIV/0!</v>
      </c>
      <c r="AZ57" s="126" t="e">
        <f t="shared" si="70"/>
        <v>#DIV/0!</v>
      </c>
      <c r="BA57" s="126" t="e">
        <f t="shared" si="70"/>
        <v>#DIV/0!</v>
      </c>
      <c r="BB57" s="126">
        <f t="shared" si="70"/>
        <v>0.95703731589101693</v>
      </c>
      <c r="BC57" s="126">
        <f t="shared" si="70"/>
        <v>0.94499082396122536</v>
      </c>
      <c r="BD57" s="126">
        <f t="shared" si="70"/>
        <v>1.11731843575419E-2</v>
      </c>
      <c r="BE57" s="126">
        <f t="shared" si="70"/>
        <v>1.505050505050505</v>
      </c>
      <c r="BF57" s="126">
        <f t="shared" si="70"/>
        <v>0.2516870927707105</v>
      </c>
      <c r="BG57" s="126">
        <f t="shared" si="70"/>
        <v>0.69602246153126612</v>
      </c>
      <c r="BH57" s="126">
        <f t="shared" si="70"/>
        <v>0.74802688895902492</v>
      </c>
      <c r="BI57" s="126">
        <f t="shared" si="70"/>
        <v>0</v>
      </c>
      <c r="BJ57" s="126">
        <f t="shared" si="70"/>
        <v>0.74804694780035086</v>
      </c>
    </row>
    <row r="58" spans="1:64" ht="15.75" x14ac:dyDescent="0.2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42</v>
      </c>
      <c r="B59" s="11" t="s">
        <v>214</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x14ac:dyDescent="0.25">
      <c r="A60" s="128">
        <v>12</v>
      </c>
      <c r="B60" s="5" t="s">
        <v>211</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x14ac:dyDescent="0.2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x14ac:dyDescent="0.25">
      <c r="A62" s="128"/>
      <c r="B62" s="12" t="s">
        <v>212</v>
      </c>
      <c r="C62" s="9">
        <f>IF('Upto Month Current'!$K$4="",0,'Upto Month Current'!$K$4)</f>
        <v>983365</v>
      </c>
      <c r="D62" s="9">
        <f>IF('Upto Month Current'!$K$5="",0,'Upto Month Current'!$K$5)</f>
        <v>239967</v>
      </c>
      <c r="E62" s="9">
        <f>IF('Upto Month Current'!$K$6="",0,'Upto Month Current'!$K$6)</f>
        <v>7091</v>
      </c>
      <c r="F62" s="9">
        <f>IF('Upto Month Current'!$K$7="",0,'Upto Month Current'!$K$7)</f>
        <v>94222</v>
      </c>
      <c r="G62" s="9">
        <f>IF('Upto Month Current'!$K$8="",0,'Upto Month Current'!$K$8)</f>
        <v>56393</v>
      </c>
      <c r="H62" s="9">
        <f>IF('Upto Month Current'!$K$9="",0,'Upto Month Current'!$K$9)</f>
        <v>0</v>
      </c>
      <c r="I62" s="9">
        <f>IF('Upto Month Current'!$K$10="",0,'Upto Month Current'!$K$10)</f>
        <v>0</v>
      </c>
      <c r="J62" s="9">
        <f>IF('Upto Month Current'!$K$11="",0,'Upto Month Current'!$K$11)</f>
        <v>33</v>
      </c>
      <c r="K62" s="9">
        <f>IF('Upto Month Current'!$K$12="",0,'Upto Month Current'!$K$12)</f>
        <v>0</v>
      </c>
      <c r="L62" s="9">
        <f>IF('Upto Month Current'!$K$13="",0,'Upto Month Current'!$K$13)</f>
        <v>281</v>
      </c>
      <c r="M62" s="9">
        <f>IF('Upto Month Current'!$K$14="",0,'Upto Month Current'!$K$14)</f>
        <v>103462</v>
      </c>
      <c r="N62" s="9">
        <f>IF('Upto Month Current'!$K$15="",0,'Upto Month Current'!$K$15)</f>
        <v>154</v>
      </c>
      <c r="O62" s="9">
        <f>IF('Upto Month Current'!$K$16="",0,'Upto Month Current'!$K$16)</f>
        <v>8268</v>
      </c>
      <c r="P62" s="9">
        <f>IF('Upto Month Current'!$K$17="",0,'Upto Month Current'!$K$17)</f>
        <v>123530</v>
      </c>
      <c r="Q62" s="9">
        <f>IF('Upto Month Current'!$K$18="",0,'Upto Month Current'!$K$18)</f>
        <v>0</v>
      </c>
      <c r="R62" s="9">
        <f>IF('Upto Month Current'!$K$21="",0,'Upto Month Current'!$K$21)</f>
        <v>2086</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2719</v>
      </c>
      <c r="Z62" s="9">
        <f>IF('Upto Month Current'!$K$43="",0,'Upto Month Current'!$K$43)</f>
        <v>420</v>
      </c>
      <c r="AA62" s="9">
        <f>IF('Upto Month Current'!$K$44="",0,'Upto Month Current'!$K$44)</f>
        <v>1182</v>
      </c>
      <c r="AB62" s="9">
        <f>IF('Upto Month Current'!$K$51="",0,'Upto Month Current'!$K$51)</f>
        <v>0</v>
      </c>
      <c r="AC62" s="121">
        <f t="shared" si="71"/>
        <v>1623173</v>
      </c>
      <c r="AD62" s="9">
        <f>IF('Upto Month Current'!$K$19="",0,'Upto Month Current'!$K$19)</f>
        <v>2745</v>
      </c>
      <c r="AE62" s="9">
        <f>IF('Upto Month Current'!$K$20="",0,'Upto Month Current'!$K$20)</f>
        <v>393</v>
      </c>
      <c r="AF62" s="9">
        <f>IF('Upto Month Current'!$K$22="",0,'Upto Month Current'!$K$22)</f>
        <v>193</v>
      </c>
      <c r="AG62" s="9">
        <f>IF('Upto Month Current'!$K$23="",0,'Upto Month Current'!$K$23)</f>
        <v>0</v>
      </c>
      <c r="AH62" s="9">
        <f>IF('Upto Month Current'!$K$24="",0,'Upto Month Current'!$K$24)</f>
        <v>0</v>
      </c>
      <c r="AI62" s="9">
        <f>IF('Upto Month Current'!$K$25="",0,'Upto Month Current'!$K$25)</f>
        <v>62</v>
      </c>
      <c r="AJ62" s="9">
        <f>IF('Upto Month Current'!$K$28="",0,'Upto Month Current'!$K$28)</f>
        <v>4650</v>
      </c>
      <c r="AK62" s="9">
        <f>IF('Upto Month Current'!$K$29="",0,'Upto Month Current'!$K$29)</f>
        <v>10633</v>
      </c>
      <c r="AL62" s="9">
        <f>IF('Upto Month Current'!$K$31="",0,'Upto Month Current'!$K$31)</f>
        <v>42</v>
      </c>
      <c r="AM62" s="9">
        <f>IF('Upto Month Current'!$K$32="",0,'Upto Month Current'!$K$32)</f>
        <v>107</v>
      </c>
      <c r="AN62" s="9">
        <f>IF('Upto Month Current'!$K$33="",0,'Upto Month Current'!$K$33)</f>
        <v>58180</v>
      </c>
      <c r="AO62" s="9">
        <f>IF('Upto Month Current'!$K$34="",0,'Upto Month Current'!$K$34)</f>
        <v>110690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2127</v>
      </c>
      <c r="AW62" s="9">
        <f>IF('Upto Month Current'!$K$46="",0,'Upto Month Current'!$K$46)</f>
        <v>1089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1739</v>
      </c>
      <c r="BC62" s="9">
        <f>IF('Upto Month Current'!$K$54="",0,'Upto Month Current'!$K$54)</f>
        <v>1739</v>
      </c>
      <c r="BD62" s="9">
        <f>IF('Upto Month Current'!$K$55="",0,'Upto Month Current'!$K$55)</f>
        <v>0</v>
      </c>
      <c r="BE62" s="9">
        <f>IF('Upto Month Current'!$K$56="",0,'Upto Month Current'!$K$56)</f>
        <v>2832</v>
      </c>
      <c r="BF62" s="9">
        <f>IF('Upto Month Current'!$K$58="",0,'Upto Month Current'!$K$58)</f>
        <v>880624</v>
      </c>
      <c r="BG62" s="122">
        <f t="shared" si="73"/>
        <v>1077845</v>
      </c>
      <c r="BH62" s="123">
        <f t="shared" si="74"/>
        <v>2701018</v>
      </c>
      <c r="BI62" s="9">
        <f>IF('Upto Month Current'!$K$60="",0,'Upto Month Current'!$K$60)</f>
        <v>0</v>
      </c>
      <c r="BJ62" s="124">
        <f t="shared" si="72"/>
        <v>2701018</v>
      </c>
      <c r="BK62">
        <f>'Upto Month Current'!$K$61</f>
        <v>2701018</v>
      </c>
    </row>
    <row r="63" spans="1:64" ht="15.75" x14ac:dyDescent="0.25">
      <c r="A63" s="128"/>
      <c r="B63" s="5" t="s">
        <v>210</v>
      </c>
      <c r="C63" s="126">
        <f t="shared" ref="C63:AH63" si="77">C62/C59</f>
        <v>0.74584137299160236</v>
      </c>
      <c r="D63" s="126">
        <f t="shared" si="77"/>
        <v>0.94129437930750437</v>
      </c>
      <c r="E63" s="126">
        <f t="shared" si="77"/>
        <v>0.28178025034770515</v>
      </c>
      <c r="F63" s="126">
        <f t="shared" si="77"/>
        <v>0.72906365824028718</v>
      </c>
      <c r="G63" s="126">
        <f t="shared" si="77"/>
        <v>0.65333951225163645</v>
      </c>
      <c r="H63" s="126" t="e">
        <f t="shared" si="77"/>
        <v>#DIV/0!</v>
      </c>
      <c r="I63" s="126" t="e">
        <f t="shared" si="77"/>
        <v>#DIV/0!</v>
      </c>
      <c r="J63" s="126">
        <f t="shared" si="77"/>
        <v>1.3171549453181129E-3</v>
      </c>
      <c r="K63" s="126">
        <f t="shared" si="77"/>
        <v>0</v>
      </c>
      <c r="L63" s="126">
        <f t="shared" si="77"/>
        <v>0.2273462783171521</v>
      </c>
      <c r="M63" s="126">
        <f t="shared" si="77"/>
        <v>0.90255775001744709</v>
      </c>
      <c r="N63" s="126">
        <f t="shared" si="77"/>
        <v>0.21241379310344827</v>
      </c>
      <c r="O63" s="126">
        <f t="shared" si="77"/>
        <v>0.40914489311163893</v>
      </c>
      <c r="P63" s="126">
        <f t="shared" si="77"/>
        <v>1.1641144041841398</v>
      </c>
      <c r="Q63" s="126" t="e">
        <f t="shared" si="77"/>
        <v>#DIV/0!</v>
      </c>
      <c r="R63" s="126">
        <f t="shared" si="77"/>
        <v>0.69906166219839139</v>
      </c>
      <c r="S63" s="126" t="e">
        <f t="shared" si="77"/>
        <v>#DIV/0!</v>
      </c>
      <c r="T63" s="126" t="e">
        <f t="shared" si="77"/>
        <v>#DIV/0!</v>
      </c>
      <c r="U63" s="126" t="e">
        <f t="shared" si="77"/>
        <v>#DIV/0!</v>
      </c>
      <c r="V63" s="126" t="e">
        <f t="shared" si="77"/>
        <v>#DIV/0!</v>
      </c>
      <c r="W63" s="126" t="e">
        <f t="shared" si="77"/>
        <v>#DIV/0!</v>
      </c>
      <c r="X63" s="126" t="e">
        <f t="shared" si="77"/>
        <v>#DIV/0!</v>
      </c>
      <c r="Y63" s="126">
        <f t="shared" si="77"/>
        <v>1.4745119305856833</v>
      </c>
      <c r="Z63" s="126">
        <f t="shared" si="77"/>
        <v>0.60171919770773641</v>
      </c>
      <c r="AA63" s="126">
        <f t="shared" si="77"/>
        <v>2.6561797752808989</v>
      </c>
      <c r="AB63" s="126" t="e">
        <f t="shared" si="77"/>
        <v>#DIV/0!</v>
      </c>
      <c r="AC63" s="126">
        <f t="shared" si="77"/>
        <v>0.77732437358547313</v>
      </c>
      <c r="AD63" s="126">
        <f t="shared" si="77"/>
        <v>0.22616791628903354</v>
      </c>
      <c r="AE63" s="126">
        <f t="shared" si="77"/>
        <v>5.24</v>
      </c>
      <c r="AF63" s="126">
        <f t="shared" si="77"/>
        <v>0.49487179487179489</v>
      </c>
      <c r="AG63" s="126" t="e">
        <f t="shared" si="77"/>
        <v>#DIV/0!</v>
      </c>
      <c r="AH63" s="126" t="e">
        <f t="shared" si="77"/>
        <v>#DIV/0!</v>
      </c>
      <c r="AI63" s="126">
        <f t="shared" ref="AI63:BJ63" si="78">AI62/AI59</f>
        <v>20.666666666666668</v>
      </c>
      <c r="AJ63" s="126">
        <f t="shared" si="78"/>
        <v>1.263243683781581</v>
      </c>
      <c r="AK63" s="126">
        <f t="shared" si="78"/>
        <v>1.0421444673135352</v>
      </c>
      <c r="AL63" s="126">
        <f t="shared" si="78"/>
        <v>0.18025751072961374</v>
      </c>
      <c r="AM63" s="126">
        <f t="shared" si="78"/>
        <v>21.4</v>
      </c>
      <c r="AN63" s="126">
        <f t="shared" si="78"/>
        <v>0.61480910061185023</v>
      </c>
      <c r="AO63" s="126">
        <f t="shared" si="78"/>
        <v>0.5676672256668257</v>
      </c>
      <c r="AP63" s="126" t="e">
        <f t="shared" si="78"/>
        <v>#DIV/0!</v>
      </c>
      <c r="AQ63" s="126" t="e">
        <f t="shared" si="78"/>
        <v>#DIV/0!</v>
      </c>
      <c r="AR63" s="126" t="e">
        <f t="shared" si="78"/>
        <v>#DIV/0!</v>
      </c>
      <c r="AS63" s="126" t="e">
        <f t="shared" si="78"/>
        <v>#DIV/0!</v>
      </c>
      <c r="AT63" s="126" t="e">
        <f t="shared" si="78"/>
        <v>#DIV/0!</v>
      </c>
      <c r="AU63" s="126" t="e">
        <f t="shared" si="78"/>
        <v>#DIV/0!</v>
      </c>
      <c r="AV63" s="126">
        <f t="shared" si="78"/>
        <v>1.3244084682440846</v>
      </c>
      <c r="AW63" s="126">
        <f t="shared" si="78"/>
        <v>1.0955734406438631</v>
      </c>
      <c r="AX63" s="126">
        <f t="shared" si="78"/>
        <v>0</v>
      </c>
      <c r="AY63" s="126" t="e">
        <f t="shared" si="78"/>
        <v>#DIV/0!</v>
      </c>
      <c r="AZ63" s="126" t="e">
        <f t="shared" si="78"/>
        <v>#DIV/0!</v>
      </c>
      <c r="BA63" s="126" t="e">
        <f t="shared" si="78"/>
        <v>#DIV/0!</v>
      </c>
      <c r="BB63" s="126">
        <f t="shared" si="78"/>
        <v>0.5080338884019866</v>
      </c>
      <c r="BC63" s="126">
        <f t="shared" si="78"/>
        <v>0.5080338884019866</v>
      </c>
      <c r="BD63" s="126">
        <f t="shared" si="78"/>
        <v>0</v>
      </c>
      <c r="BE63" s="126">
        <f t="shared" si="78"/>
        <v>51.490909090909092</v>
      </c>
      <c r="BF63" s="126">
        <f t="shared" si="78"/>
        <v>0.95399271796016216</v>
      </c>
      <c r="BG63" s="126">
        <f t="shared" si="78"/>
        <v>0.86294080959971564</v>
      </c>
      <c r="BH63" s="126">
        <f t="shared" si="78"/>
        <v>0.809368717583141</v>
      </c>
      <c r="BI63" s="126">
        <f t="shared" si="78"/>
        <v>0</v>
      </c>
      <c r="BJ63" s="126">
        <f t="shared" si="78"/>
        <v>0.85852487909691799</v>
      </c>
    </row>
    <row r="64" spans="1:64" ht="15.75" x14ac:dyDescent="0.2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143</v>
      </c>
      <c r="B65" s="11" t="s">
        <v>214</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x14ac:dyDescent="0.25">
      <c r="A66" s="128" t="s">
        <v>143</v>
      </c>
      <c r="B66" s="5" t="s">
        <v>211</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x14ac:dyDescent="0.2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x14ac:dyDescent="0.25">
      <c r="A68" s="128"/>
      <c r="B68" s="12" t="s">
        <v>212</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1838346</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1838346</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41874955</v>
      </c>
      <c r="BG68" s="122">
        <f t="shared" si="81"/>
        <v>41874955</v>
      </c>
      <c r="BH68" s="123">
        <f t="shared" si="82"/>
        <v>43713301</v>
      </c>
      <c r="BI68" s="9">
        <f>IF('Upto Month Current'!$L$60="",0,'Upto Month Current'!$L$60)</f>
        <v>41859397</v>
      </c>
      <c r="BJ68" s="124">
        <f t="shared" si="80"/>
        <v>1853904</v>
      </c>
      <c r="BK68">
        <f>'Upto Month Current'!$L$61</f>
        <v>1853904</v>
      </c>
    </row>
    <row r="69" spans="1:63" ht="15.75" x14ac:dyDescent="0.25">
      <c r="A69" s="128"/>
      <c r="B69" s="5" t="s">
        <v>210</v>
      </c>
      <c r="C69" s="126" t="e">
        <f t="shared" ref="C69:AH69" si="85">C68/C65</f>
        <v>#DIV/0!</v>
      </c>
      <c r="D69" s="126" t="e">
        <f t="shared" si="85"/>
        <v>#DIV/0!</v>
      </c>
      <c r="E69" s="126" t="e">
        <f t="shared" si="85"/>
        <v>#DIV/0!</v>
      </c>
      <c r="F69" s="126" t="e">
        <f t="shared" si="85"/>
        <v>#DIV/0!</v>
      </c>
      <c r="G69" s="126" t="e">
        <f t="shared" si="85"/>
        <v>#DIV/0!</v>
      </c>
      <c r="H69" s="126">
        <f t="shared" si="85"/>
        <v>0.68966570264195792</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0.68966570264195792</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0.58241881080006896</v>
      </c>
      <c r="BG69" s="126">
        <f t="shared" si="86"/>
        <v>0.58241881080006896</v>
      </c>
      <c r="BH69" s="126">
        <f t="shared" si="86"/>
        <v>0.5862527447424738</v>
      </c>
      <c r="BI69" s="126">
        <f t="shared" si="86"/>
        <v>0.58254074086444385</v>
      </c>
      <c r="BJ69" s="126">
        <f t="shared" si="86"/>
        <v>0.68477536985879373</v>
      </c>
    </row>
    <row r="70" spans="1:63" ht="15.75" x14ac:dyDescent="0.2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8"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x14ac:dyDescent="0.2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x14ac:dyDescent="0.2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x14ac:dyDescent="0.25">
      <c r="A74" s="128"/>
      <c r="B74" s="12" t="str">
        <f>B68</f>
        <v>Actuals upto Sep' 20</v>
      </c>
      <c r="C74" s="5">
        <f>C8+C14+C20+C26+C32+C38+C44+C50+C56+C62+C68</f>
        <v>15070448</v>
      </c>
      <c r="D74" s="5">
        <f t="shared" ref="D74:AB74" si="95">D8+D14+D20+D26+D32+D38+D44+D50+D56+D62+D68</f>
        <v>3910895</v>
      </c>
      <c r="E74" s="5">
        <f t="shared" si="95"/>
        <v>938647</v>
      </c>
      <c r="F74" s="5">
        <f t="shared" si="95"/>
        <v>1714012</v>
      </c>
      <c r="G74" s="5">
        <f t="shared" si="95"/>
        <v>871607</v>
      </c>
      <c r="H74" s="5">
        <f t="shared" si="95"/>
        <v>1838346</v>
      </c>
      <c r="I74" s="5">
        <f t="shared" si="95"/>
        <v>0</v>
      </c>
      <c r="J74" s="5">
        <f t="shared" si="95"/>
        <v>1316268</v>
      </c>
      <c r="K74" s="5">
        <f t="shared" si="95"/>
        <v>9897</v>
      </c>
      <c r="L74" s="5">
        <f t="shared" si="95"/>
        <v>230172</v>
      </c>
      <c r="M74" s="5">
        <f t="shared" si="95"/>
        <v>880883</v>
      </c>
      <c r="N74" s="5">
        <f t="shared" si="95"/>
        <v>14212</v>
      </c>
      <c r="O74" s="5">
        <f t="shared" si="95"/>
        <v>40390</v>
      </c>
      <c r="P74" s="5">
        <f t="shared" si="95"/>
        <v>666799</v>
      </c>
      <c r="Q74" s="5">
        <f t="shared" si="95"/>
        <v>0</v>
      </c>
      <c r="R74" s="5">
        <f t="shared" si="95"/>
        <v>35205</v>
      </c>
      <c r="S74" s="5">
        <f t="shared" si="95"/>
        <v>797946</v>
      </c>
      <c r="T74" s="5">
        <f t="shared" si="95"/>
        <v>723284</v>
      </c>
      <c r="U74" s="5">
        <f t="shared" si="95"/>
        <v>0</v>
      </c>
      <c r="V74" s="5">
        <f t="shared" si="95"/>
        <v>287076</v>
      </c>
      <c r="W74" s="5">
        <f t="shared" si="95"/>
        <v>0</v>
      </c>
      <c r="X74" s="5">
        <f t="shared" si="95"/>
        <v>0</v>
      </c>
      <c r="Y74" s="5">
        <f t="shared" si="95"/>
        <v>104486</v>
      </c>
      <c r="Z74" s="5">
        <f t="shared" si="95"/>
        <v>11590</v>
      </c>
      <c r="AA74" s="5">
        <f t="shared" si="95"/>
        <v>16257</v>
      </c>
      <c r="AB74" s="5">
        <f t="shared" si="95"/>
        <v>826229</v>
      </c>
      <c r="AC74" s="121">
        <f t="shared" si="88"/>
        <v>30304649</v>
      </c>
      <c r="AD74" s="5">
        <f>AD8+AD14+AD20+AD26+AD32+AD38+AD44+AD50+AD56+AD62+AD68</f>
        <v>27638</v>
      </c>
      <c r="AE74" s="5">
        <f t="shared" ref="AE74:BF74" si="96">AE8+AE14+AE20+AE26+AE32+AE38+AE44+AE50+AE56+AE62+AE68</f>
        <v>17326</v>
      </c>
      <c r="AF74" s="5">
        <f t="shared" si="96"/>
        <v>87560</v>
      </c>
      <c r="AG74" s="5">
        <f t="shared" si="96"/>
        <v>41</v>
      </c>
      <c r="AH74" s="5">
        <f t="shared" si="96"/>
        <v>0</v>
      </c>
      <c r="AI74" s="5">
        <f t="shared" si="96"/>
        <v>13496</v>
      </c>
      <c r="AJ74" s="5">
        <f t="shared" si="96"/>
        <v>944726</v>
      </c>
      <c r="AK74" s="5">
        <f t="shared" si="96"/>
        <v>528566</v>
      </c>
      <c r="AL74" s="5">
        <f t="shared" si="96"/>
        <v>6422469</v>
      </c>
      <c r="AM74" s="5">
        <f t="shared" si="96"/>
        <v>126434</v>
      </c>
      <c r="AN74" s="5">
        <f t="shared" si="96"/>
        <v>2095604</v>
      </c>
      <c r="AO74" s="5">
        <f t="shared" si="96"/>
        <v>12616913</v>
      </c>
      <c r="AP74" s="5">
        <f t="shared" si="96"/>
        <v>220450</v>
      </c>
      <c r="AQ74" s="5">
        <f t="shared" si="96"/>
        <v>261281</v>
      </c>
      <c r="AR74" s="5">
        <f t="shared" si="96"/>
        <v>0</v>
      </c>
      <c r="AS74" s="5">
        <f t="shared" si="96"/>
        <v>0</v>
      </c>
      <c r="AT74" s="5">
        <f t="shared" si="96"/>
        <v>109108</v>
      </c>
      <c r="AU74" s="5">
        <f t="shared" si="96"/>
        <v>0</v>
      </c>
      <c r="AV74" s="5">
        <f t="shared" si="96"/>
        <v>8606</v>
      </c>
      <c r="AW74" s="5">
        <f t="shared" si="96"/>
        <v>10881</v>
      </c>
      <c r="AX74" s="5">
        <f t="shared" si="96"/>
        <v>4697</v>
      </c>
      <c r="AY74" s="5">
        <f t="shared" si="96"/>
        <v>643143</v>
      </c>
      <c r="AZ74" s="5">
        <f t="shared" si="96"/>
        <v>1181724</v>
      </c>
      <c r="BA74" s="5">
        <f t="shared" si="96"/>
        <v>796769</v>
      </c>
      <c r="BB74" s="5">
        <f t="shared" si="96"/>
        <v>105370</v>
      </c>
      <c r="BC74" s="5">
        <f t="shared" si="96"/>
        <v>104424</v>
      </c>
      <c r="BD74" s="5">
        <f t="shared" si="96"/>
        <v>3</v>
      </c>
      <c r="BE74" s="5">
        <f t="shared" si="96"/>
        <v>99626</v>
      </c>
      <c r="BF74" s="5">
        <f t="shared" si="96"/>
        <v>43052679</v>
      </c>
      <c r="BG74" s="6">
        <f>BG8+BG14+BG20+BG26+BG32+BG38+BG44+BG50+BG56+BG62+BG68</f>
        <v>69479534</v>
      </c>
      <c r="BH74" s="125">
        <f>AC74+BG74</f>
        <v>99784183</v>
      </c>
      <c r="BI74" s="5">
        <f t="shared" si="92"/>
        <v>42228201</v>
      </c>
      <c r="BJ74" s="49">
        <f t="shared" si="92"/>
        <v>57555982</v>
      </c>
      <c r="BK74" s="30">
        <f>'Upto Month Current'!N61-'Upto Month Current'!M61</f>
        <v>57558431</v>
      </c>
    </row>
    <row r="75" spans="1:63" ht="15.75" x14ac:dyDescent="0.25">
      <c r="A75" s="128"/>
      <c r="B75" s="5" t="s">
        <v>210</v>
      </c>
      <c r="C75" s="126">
        <f t="shared" ref="C75:AH75" si="97">C74/C71</f>
        <v>0.6243275525165245</v>
      </c>
      <c r="D75" s="126">
        <f t="shared" si="97"/>
        <v>0.91046327552089401</v>
      </c>
      <c r="E75" s="126">
        <f t="shared" si="97"/>
        <v>0.90985288572544676</v>
      </c>
      <c r="F75" s="126">
        <f t="shared" si="97"/>
        <v>0.66896600981741727</v>
      </c>
      <c r="G75" s="126">
        <f t="shared" si="97"/>
        <v>0.65310537271516111</v>
      </c>
      <c r="H75" s="126">
        <f t="shared" si="97"/>
        <v>0.68966570264195792</v>
      </c>
      <c r="I75" s="126" t="e">
        <f t="shared" si="97"/>
        <v>#DIV/0!</v>
      </c>
      <c r="J75" s="126">
        <f t="shared" si="97"/>
        <v>1.0379966642614651</v>
      </c>
      <c r="K75" s="126">
        <f t="shared" si="97"/>
        <v>5.198004201680672E-2</v>
      </c>
      <c r="L75" s="126">
        <f t="shared" si="97"/>
        <v>0.52117207790002329</v>
      </c>
      <c r="M75" s="126">
        <f t="shared" si="97"/>
        <v>0.94278332475332938</v>
      </c>
      <c r="N75" s="126">
        <f t="shared" si="97"/>
        <v>0.98653338886575037</v>
      </c>
      <c r="O75" s="126">
        <f t="shared" si="97"/>
        <v>0.50959512484386627</v>
      </c>
      <c r="P75" s="126">
        <f t="shared" si="97"/>
        <v>0.88200925925925922</v>
      </c>
      <c r="Q75" s="126" t="e">
        <f t="shared" si="97"/>
        <v>#DIV/0!</v>
      </c>
      <c r="R75" s="126">
        <f t="shared" si="97"/>
        <v>0.78233333333333333</v>
      </c>
      <c r="S75" s="126">
        <f t="shared" si="97"/>
        <v>1.0462327173079318</v>
      </c>
      <c r="T75" s="126">
        <f t="shared" si="97"/>
        <v>0.72072757927630693</v>
      </c>
      <c r="U75" s="126" t="e">
        <f t="shared" si="97"/>
        <v>#DIV/0!</v>
      </c>
      <c r="V75" s="126">
        <f t="shared" si="97"/>
        <v>0.90103481718857403</v>
      </c>
      <c r="W75" s="126">
        <f t="shared" si="97"/>
        <v>0</v>
      </c>
      <c r="X75" s="126">
        <f t="shared" si="97"/>
        <v>0</v>
      </c>
      <c r="Y75" s="126">
        <f t="shared" si="97"/>
        <v>12.806226253217305</v>
      </c>
      <c r="Z75" s="126">
        <f t="shared" si="97"/>
        <v>8.1619718309859159</v>
      </c>
      <c r="AA75" s="126">
        <f t="shared" si="97"/>
        <v>0.36183756593736782</v>
      </c>
      <c r="AB75" s="126">
        <f t="shared" si="97"/>
        <v>0.48816786902293047</v>
      </c>
      <c r="AC75" s="126">
        <f t="shared" si="97"/>
        <v>0.69521938170663344</v>
      </c>
      <c r="AD75" s="126">
        <f t="shared" si="97"/>
        <v>0.22380578341741503</v>
      </c>
      <c r="AE75" s="126">
        <f t="shared" si="97"/>
        <v>0.35810838741680789</v>
      </c>
      <c r="AF75" s="126">
        <f t="shared" si="97"/>
        <v>1.4125542452449706</v>
      </c>
      <c r="AG75" s="126" t="e">
        <f t="shared" si="97"/>
        <v>#DIV/0!</v>
      </c>
      <c r="AH75" s="126">
        <f t="shared" si="97"/>
        <v>0</v>
      </c>
      <c r="AI75" s="126">
        <f t="shared" ref="AI75:BJ75" si="98">AI74/AI71</f>
        <v>1.2252383113935543</v>
      </c>
      <c r="AJ75" s="126">
        <f t="shared" si="98"/>
        <v>0.7520649972615302</v>
      </c>
      <c r="AK75" s="126">
        <f t="shared" si="98"/>
        <v>0.41615962157429626</v>
      </c>
      <c r="AL75" s="126">
        <f t="shared" si="98"/>
        <v>0.90992499546629191</v>
      </c>
      <c r="AM75" s="126">
        <f t="shared" si="98"/>
        <v>1.141101083032491</v>
      </c>
      <c r="AN75" s="126">
        <f t="shared" si="98"/>
        <v>0.74677748810133004</v>
      </c>
      <c r="AO75" s="126">
        <f t="shared" si="98"/>
        <v>0.73234832182127463</v>
      </c>
      <c r="AP75" s="126">
        <f t="shared" si="98"/>
        <v>2.6354170402515273</v>
      </c>
      <c r="AQ75" s="126">
        <f t="shared" si="98"/>
        <v>0.287568815720251</v>
      </c>
      <c r="AR75" s="126" t="e">
        <f t="shared" si="98"/>
        <v>#DIV/0!</v>
      </c>
      <c r="AS75" s="126" t="e">
        <f t="shared" si="98"/>
        <v>#DIV/0!</v>
      </c>
      <c r="AT75" s="126">
        <f t="shared" si="98"/>
        <v>0.19084968234866082</v>
      </c>
      <c r="AU75" s="126">
        <f t="shared" si="98"/>
        <v>0</v>
      </c>
      <c r="AV75" s="126">
        <f t="shared" si="98"/>
        <v>0.59470665468868777</v>
      </c>
      <c r="AW75" s="126">
        <f t="shared" si="98"/>
        <v>0.80570159200296187</v>
      </c>
      <c r="AX75" s="126">
        <f t="shared" si="98"/>
        <v>1.5415162454873645</v>
      </c>
      <c r="AY75" s="126">
        <f t="shared" si="98"/>
        <v>4.4115552933752209</v>
      </c>
      <c r="AZ75" s="126">
        <f t="shared" si="98"/>
        <v>1.1963263595446014</v>
      </c>
      <c r="BA75" s="126">
        <f t="shared" si="98"/>
        <v>1.0539272486772486</v>
      </c>
      <c r="BB75" s="126">
        <f t="shared" si="98"/>
        <v>1.4616248907630633</v>
      </c>
      <c r="BC75" s="126">
        <f t="shared" si="98"/>
        <v>1.4468769051709804</v>
      </c>
      <c r="BD75" s="126">
        <f t="shared" si="98"/>
        <v>6.9605568445475635E-3</v>
      </c>
      <c r="BE75" s="126">
        <f t="shared" si="98"/>
        <v>2.94403073286052</v>
      </c>
      <c r="BF75" s="126">
        <f t="shared" si="98"/>
        <v>0.58822440639451545</v>
      </c>
      <c r="BG75" s="126">
        <f t="shared" si="98"/>
        <v>0.65038377955189419</v>
      </c>
      <c r="BH75" s="126">
        <f t="shared" si="98"/>
        <v>0.6633767647621801</v>
      </c>
      <c r="BI75" s="126">
        <f t="shared" si="98"/>
        <v>0.57820779058034599</v>
      </c>
      <c r="BJ75" s="126">
        <f t="shared" si="98"/>
        <v>0.74375521188346383</v>
      </c>
    </row>
    <row r="76" spans="1:63" x14ac:dyDescent="0.25">
      <c r="BF76" s="30">
        <f>BF74-BF68</f>
        <v>1177724</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2021-11-08T05:56:36Z</cp:lastPrinted>
  <dcterms:created xsi:type="dcterms:W3CDTF">2015-06-05T18:17:20Z</dcterms:created>
  <dcterms:modified xsi:type="dcterms:W3CDTF">2022-01-28T07:54:14Z</dcterms:modified>
</cp:coreProperties>
</file>